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9\PAGINA WEB\SGTO NOVIEMBRE 2019\"/>
    </mc:Choice>
  </mc:AlternateContent>
  <bookViews>
    <workbookView xWindow="0" yWindow="0" windowWidth="24000" windowHeight="9735"/>
  </bookViews>
  <sheets>
    <sheet name="ADMINISTRATIVA" sheetId="2" r:id="rId1"/>
    <sheet name="PLANEACION" sheetId="3" r:id="rId2"/>
    <sheet name="HACIENDA" sheetId="4" r:id="rId3"/>
    <sheet name="AGUAS E INFRAESTRUCTURA" sheetId="5" r:id="rId4"/>
    <sheet name="INTERIOR" sheetId="21" r:id="rId5"/>
    <sheet name="CULTURA" sheetId="7" r:id="rId6"/>
    <sheet name="TURISMO" sheetId="20" r:id="rId7"/>
    <sheet name="AGRICULTURA" sheetId="10" r:id="rId8"/>
    <sheet name="PRIVADA" sheetId="11" r:id="rId9"/>
    <sheet name="EDUCACION" sheetId="12" r:id="rId10"/>
    <sheet name="FAMILIA" sheetId="13" r:id="rId11"/>
    <sheet name="REPR JUDICIAL" sheetId="14" r:id="rId12"/>
    <sheet name="SALUD" sheetId="22" r:id="rId13"/>
    <sheet name="TIC" sheetId="19" r:id="rId14"/>
    <sheet name="INDEPORTES" sheetId="8" r:id="rId15"/>
    <sheet name="PROMOTORA" sheetId="16" r:id="rId16"/>
    <sheet name="IDTQ" sheetId="1" r:id="rId17"/>
  </sheets>
  <externalReferences>
    <externalReference r:id="rId18"/>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6">#REF!</definedName>
    <definedName name="_1._Apoyo_con_equipos_para_la_seguridad_vial_Licenciamiento_de_software_para_comunicaciones" localSheetId="14">#REF!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5">#REF!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12" hidden="1">SALUD!$A$12:$KO$12</definedName>
    <definedName name="_xlnm.Print_Area" localSheetId="1">PLANEACION!$A$1:$AQ$10</definedName>
    <definedName name="CODIGO_DIVIPOLA" localSheetId="0">#REF!</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6">#REF!</definedName>
    <definedName name="CODIGO_DIVIPOLA" localSheetId="14">#REF!</definedName>
    <definedName name="CODIGO_DIVIPOLA" localSheetId="4">#REF!</definedName>
    <definedName name="CODIGO_DIVIPOLA" localSheetId="1">#REF!</definedName>
    <definedName name="CODIGO_DIVIPOLA" localSheetId="8">#REF!</definedName>
    <definedName name="CODIGO_DIVIPOLA" localSheetId="15">#REF!</definedName>
    <definedName name="CODIGO_DIVIPOLA" localSheetId="11">#REF!</definedName>
    <definedName name="CODIGO_DIVIPOLA" localSheetId="12">#REF!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6">#REF!</definedName>
    <definedName name="DboREGISTRO_LEY_617" localSheetId="14">#REF!</definedName>
    <definedName name="DboREGISTRO_LEY_617" localSheetId="4">#REF!</definedName>
    <definedName name="DboREGISTRO_LEY_617" localSheetId="1">#REF!</definedName>
    <definedName name="DboREGISTRO_LEY_617" localSheetId="8">#REF!</definedName>
    <definedName name="DboREGISTRO_LEY_617" localSheetId="15">#REF!</definedName>
    <definedName name="DboREGISTRO_LEY_617" localSheetId="11">#REF!</definedName>
    <definedName name="DboREGISTRO_LEY_617" localSheetId="12">#REF!</definedName>
    <definedName name="DboREGISTRO_LEY_617" localSheetId="6">#REF!</definedName>
    <definedName name="DboREGISTRO_LEY_617">#REF!</definedName>
    <definedName name="ññ" localSheetId="0">#REF!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6">#REF!</definedName>
    <definedName name="ññ" localSheetId="14">#REF!</definedName>
    <definedName name="ññ" localSheetId="4">#REF!</definedName>
    <definedName name="ññ" localSheetId="1">#REF!</definedName>
    <definedName name="ññ" localSheetId="8">#REF!</definedName>
    <definedName name="ññ" localSheetId="15">#REF!</definedName>
    <definedName name="ññ" localSheetId="11">#REF!</definedName>
    <definedName name="ññ" localSheetId="12">#REF!</definedName>
    <definedName name="ññ" localSheetId="6">#REF!</definedName>
    <definedName name="ññ">#REF!</definedName>
    <definedName name="_xlnm.Print_Titles" localSheetId="1">PLANEACION!$1:$7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4" i="12" l="1"/>
  <c r="Q71" i="12"/>
  <c r="Q67" i="12"/>
  <c r="Q60" i="12"/>
  <c r="Q58" i="12"/>
  <c r="Q54" i="12"/>
  <c r="Q35" i="12"/>
  <c r="Q33" i="12"/>
  <c r="Q30" i="12"/>
  <c r="Q29" i="12"/>
  <c r="Q27" i="12"/>
  <c r="Q356" i="22" l="1"/>
  <c r="R355" i="22"/>
  <c r="R348" i="22"/>
  <c r="Q348" i="22" s="1"/>
  <c r="R337" i="22"/>
  <c r="Q346" i="22" s="1"/>
  <c r="Q337" i="22"/>
  <c r="R328" i="22"/>
  <c r="Q328" i="22" s="1"/>
  <c r="R323" i="22"/>
  <c r="Q323" i="22" s="1"/>
  <c r="R319" i="22"/>
  <c r="V306" i="22"/>
  <c r="V304" i="22"/>
  <c r="V303" i="22"/>
  <c r="R302" i="22" s="1"/>
  <c r="Q296" i="22"/>
  <c r="Q291" i="22"/>
  <c r="R288" i="22"/>
  <c r="Q288" i="22" s="1"/>
  <c r="V284" i="22"/>
  <c r="V283" i="22"/>
  <c r="R274" i="22" s="1"/>
  <c r="V282" i="22"/>
  <c r="V273" i="22"/>
  <c r="V271" i="22"/>
  <c r="V266" i="22"/>
  <c r="V264" i="22"/>
  <c r="R259" i="22" s="1"/>
  <c r="V263" i="22"/>
  <c r="V262" i="22"/>
  <c r="V260" i="22"/>
  <c r="AD259" i="22"/>
  <c r="AC259" i="22"/>
  <c r="V259" i="22"/>
  <c r="Q257" i="22"/>
  <c r="V255" i="22"/>
  <c r="V252" i="22"/>
  <c r="R250" i="22"/>
  <c r="Q250" i="22"/>
  <c r="R218" i="22"/>
  <c r="Q241" i="22" s="1"/>
  <c r="Q207" i="22"/>
  <c r="AO202" i="22"/>
  <c r="R202" i="22"/>
  <c r="Q209" i="22" s="1"/>
  <c r="R190" i="22"/>
  <c r="Q190" i="22" s="1"/>
  <c r="AD180" i="22"/>
  <c r="AC180" i="22"/>
  <c r="R180" i="22"/>
  <c r="Q184" i="22" s="1"/>
  <c r="V175" i="22"/>
  <c r="V156" i="22"/>
  <c r="R155" i="22" s="1"/>
  <c r="V154" i="22"/>
  <c r="V152" i="22"/>
  <c r="V150" i="22"/>
  <c r="V148" i="22"/>
  <c r="V146" i="22"/>
  <c r="V144" i="22"/>
  <c r="V142" i="22"/>
  <c r="V140" i="22"/>
  <c r="V136" i="22"/>
  <c r="V133" i="22"/>
  <c r="V131" i="22"/>
  <c r="R131" i="22" s="1"/>
  <c r="Q126" i="22"/>
  <c r="R121" i="22"/>
  <c r="Q121" i="22" s="1"/>
  <c r="R107" i="22"/>
  <c r="Q107" i="22" s="1"/>
  <c r="AE85" i="22"/>
  <c r="AE107" i="22" s="1"/>
  <c r="R85" i="22"/>
  <c r="Q85" i="22" s="1"/>
  <c r="V78" i="22"/>
  <c r="AD56" i="22"/>
  <c r="AD85" i="22" s="1"/>
  <c r="AD107" i="22" s="1"/>
  <c r="AC56" i="22"/>
  <c r="AC85" i="22" s="1"/>
  <c r="R56" i="22"/>
  <c r="Q62" i="22" s="1"/>
  <c r="V49" i="22"/>
  <c r="Q49" i="22" s="1"/>
  <c r="R49" i="22"/>
  <c r="Q51" i="22" s="1"/>
  <c r="R13" i="22"/>
  <c r="Q13" i="22" s="1"/>
  <c r="AC107" i="22" l="1"/>
  <c r="AN85" i="22"/>
  <c r="Q274" i="22"/>
  <c r="Q280" i="22"/>
  <c r="Q147" i="22"/>
  <c r="Q131" i="22"/>
  <c r="Q67" i="22"/>
  <c r="R362" i="22"/>
  <c r="Q196" i="22"/>
  <c r="Q225" i="22"/>
  <c r="Q326" i="22"/>
  <c r="V362" i="22"/>
  <c r="Q33" i="22"/>
  <c r="Q79" i="22"/>
  <c r="Q101" i="22"/>
  <c r="Q180" i="22"/>
  <c r="Q202" i="22"/>
  <c r="Q234" i="22"/>
  <c r="Q112" i="22"/>
  <c r="Q23" i="22"/>
  <c r="Q96" i="22"/>
  <c r="Q116" i="22"/>
  <c r="Q352" i="22"/>
  <c r="Q56" i="22"/>
  <c r="Q218" i="22"/>
  <c r="R201" i="21"/>
  <c r="Q201" i="21"/>
  <c r="AN194" i="21"/>
  <c r="R194" i="21"/>
  <c r="Q194" i="21" s="1"/>
  <c r="M185" i="21"/>
  <c r="V178" i="21"/>
  <c r="V177" i="21"/>
  <c r="V176" i="21"/>
  <c r="V175" i="21"/>
  <c r="V172" i="21"/>
  <c r="V170" i="21"/>
  <c r="V168" i="21"/>
  <c r="V166" i="21"/>
  <c r="R165" i="21" s="1"/>
  <c r="Q165" i="21" s="1"/>
  <c r="AN165" i="21"/>
  <c r="V161" i="21"/>
  <c r="V160" i="21"/>
  <c r="AN159" i="21"/>
  <c r="V159" i="21"/>
  <c r="R159" i="21"/>
  <c r="Q159" i="21" s="1"/>
  <c r="V157" i="21"/>
  <c r="V156" i="21"/>
  <c r="V155" i="21"/>
  <c r="V154" i="21"/>
  <c r="V153" i="21"/>
  <c r="V152" i="21"/>
  <c r="V150" i="21"/>
  <c r="V149" i="21"/>
  <c r="V148" i="21"/>
  <c r="V147" i="21"/>
  <c r="V146" i="21"/>
  <c r="V145" i="21"/>
  <c r="V142" i="21"/>
  <c r="V140" i="21"/>
  <c r="V139" i="21"/>
  <c r="V138" i="21"/>
  <c r="V137" i="21"/>
  <c r="V135" i="21"/>
  <c r="V134" i="21"/>
  <c r="V133" i="21"/>
  <c r="V132" i="21"/>
  <c r="V131" i="21"/>
  <c r="V129" i="21"/>
  <c r="V128" i="21"/>
  <c r="R128" i="21" s="1"/>
  <c r="M128" i="21"/>
  <c r="V125" i="21"/>
  <c r="V123" i="21"/>
  <c r="V120" i="21"/>
  <c r="V119" i="21"/>
  <c r="V118" i="21"/>
  <c r="V117" i="21"/>
  <c r="V115" i="21"/>
  <c r="V114" i="21"/>
  <c r="V113" i="21"/>
  <c r="V111" i="21"/>
  <c r="V110" i="21"/>
  <c r="R109" i="21" s="1"/>
  <c r="AN109" i="21"/>
  <c r="V109" i="21"/>
  <c r="V106" i="21"/>
  <c r="V103" i="21"/>
  <c r="V102" i="21"/>
  <c r="R100" i="21" s="1"/>
  <c r="AN100" i="21"/>
  <c r="V96" i="21"/>
  <c r="V95" i="21"/>
  <c r="V93" i="21"/>
  <c r="V91" i="21"/>
  <c r="V88" i="21"/>
  <c r="V87" i="21"/>
  <c r="V86" i="21"/>
  <c r="V85" i="21"/>
  <c r="V80" i="21"/>
  <c r="V79" i="21"/>
  <c r="V78" i="21"/>
  <c r="V77" i="21"/>
  <c r="V74" i="21"/>
  <c r="V73" i="21"/>
  <c r="V72" i="21"/>
  <c r="AN71" i="21"/>
  <c r="V71" i="21"/>
  <c r="R71" i="21" s="1"/>
  <c r="V67" i="21"/>
  <c r="V65" i="21"/>
  <c r="V63" i="21"/>
  <c r="V62" i="21"/>
  <c r="V59" i="21"/>
  <c r="V57" i="21"/>
  <c r="V55" i="21"/>
  <c r="R54" i="21" s="1"/>
  <c r="AN54" i="21"/>
  <c r="V51" i="21"/>
  <c r="V49" i="21"/>
  <c r="V47" i="21"/>
  <c r="V44" i="21"/>
  <c r="V41" i="21"/>
  <c r="V39" i="21"/>
  <c r="V38" i="21"/>
  <c r="V37" i="21"/>
  <c r="V36" i="21"/>
  <c r="V35" i="21"/>
  <c r="V34" i="21"/>
  <c r="V33" i="21"/>
  <c r="V31" i="21"/>
  <c r="V29" i="21"/>
  <c r="V27" i="21"/>
  <c r="V26" i="21"/>
  <c r="V25" i="21"/>
  <c r="V24" i="21"/>
  <c r="V23" i="21"/>
  <c r="V22" i="21"/>
  <c r="V21" i="21"/>
  <c r="V19" i="21"/>
  <c r="V18" i="21"/>
  <c r="V206" i="21" s="1"/>
  <c r="V17" i="21"/>
  <c r="V16" i="21"/>
  <c r="M16" i="21"/>
  <c r="V14" i="21"/>
  <c r="Q92" i="21" l="1"/>
  <c r="Q95" i="21"/>
  <c r="Q84" i="21"/>
  <c r="Q71" i="21"/>
  <c r="Q82" i="21"/>
  <c r="Q61" i="21"/>
  <c r="Q68" i="21"/>
  <c r="Q54" i="21"/>
  <c r="Q102" i="21"/>
  <c r="Q100" i="21"/>
  <c r="Q106" i="21"/>
  <c r="Q114" i="21"/>
  <c r="Q109" i="21"/>
  <c r="Q146" i="21"/>
  <c r="Q132" i="21"/>
  <c r="Q128" i="21"/>
  <c r="Q142" i="21"/>
  <c r="Q130" i="21"/>
  <c r="Q161" i="21"/>
  <c r="R13" i="21"/>
  <c r="R206" i="21" l="1"/>
  <c r="Q50" i="21"/>
  <c r="Q15" i="21"/>
  <c r="Q16" i="21"/>
  <c r="Q13" i="21"/>
  <c r="Q21" i="21"/>
  <c r="V82" i="20" l="1"/>
  <c r="V81" i="20"/>
  <c r="AN79" i="20"/>
  <c r="R79" i="20"/>
  <c r="Q79" i="20" s="1"/>
  <c r="AN66" i="20"/>
  <c r="R66" i="20"/>
  <c r="Q66" i="20"/>
  <c r="AN60" i="20"/>
  <c r="R60" i="20"/>
  <c r="Q63" i="20" s="1"/>
  <c r="Q60" i="20"/>
  <c r="V55" i="20"/>
  <c r="Q55" i="20" s="1"/>
  <c r="V52" i="20"/>
  <c r="Q52" i="20"/>
  <c r="V50" i="20"/>
  <c r="AN49" i="20"/>
  <c r="R49" i="20"/>
  <c r="Q49" i="20"/>
  <c r="V45" i="20"/>
  <c r="Q38" i="20"/>
  <c r="V33" i="20"/>
  <c r="AN32" i="20"/>
  <c r="R32" i="20"/>
  <c r="Q40" i="20" s="1"/>
  <c r="Q32" i="20"/>
  <c r="V23" i="20"/>
  <c r="R22" i="20" s="1"/>
  <c r="AN22" i="20"/>
  <c r="M22" i="20"/>
  <c r="Q17" i="20"/>
  <c r="V14" i="20"/>
  <c r="V85" i="20" s="1"/>
  <c r="AN13" i="20"/>
  <c r="R13" i="20"/>
  <c r="Q13" i="20"/>
  <c r="Q28" i="20" l="1"/>
  <c r="Q25" i="20"/>
  <c r="Q22" i="20"/>
  <c r="Q44" i="20"/>
  <c r="R85" i="20"/>
  <c r="Q47" i="5"/>
  <c r="Q53" i="5"/>
  <c r="Q45" i="5"/>
  <c r="Q40" i="5"/>
  <c r="Q59" i="5"/>
  <c r="Q58" i="5"/>
  <c r="Q56" i="5"/>
  <c r="S36" i="10" l="1"/>
  <c r="S35" i="10"/>
  <c r="S42" i="10"/>
  <c r="S41" i="10"/>
  <c r="S49" i="10" l="1"/>
  <c r="S47" i="10"/>
  <c r="V23" i="19" l="1"/>
  <c r="V18" i="19"/>
  <c r="V16" i="19"/>
  <c r="V25" i="7" l="1"/>
  <c r="V23" i="7"/>
  <c r="V18" i="7"/>
  <c r="V16" i="7"/>
  <c r="V70" i="12" l="1"/>
  <c r="V67" i="12"/>
  <c r="V61" i="12"/>
  <c r="V60" i="12"/>
  <c r="S28" i="13" l="1"/>
  <c r="S27" i="13"/>
  <c r="S24" i="13"/>
  <c r="V24" i="2" l="1"/>
  <c r="V23" i="2"/>
  <c r="V64" i="3" l="1"/>
  <c r="V55" i="3"/>
  <c r="V82" i="12" l="1"/>
  <c r="S90" i="13" l="1"/>
  <c r="S80" i="13"/>
  <c r="S79" i="13"/>
  <c r="V76" i="12" l="1"/>
  <c r="V65" i="3"/>
  <c r="V59" i="3"/>
  <c r="S39" i="10" l="1"/>
  <c r="S38" i="10"/>
  <c r="S37" i="10"/>
  <c r="V27" i="5" l="1"/>
  <c r="V29" i="5"/>
  <c r="S39" i="13" l="1"/>
  <c r="S33" i="13"/>
  <c r="S20" i="13"/>
  <c r="S19" i="13"/>
  <c r="S18" i="13"/>
  <c r="S17" i="13"/>
  <c r="S16" i="13"/>
  <c r="S13" i="13"/>
  <c r="S61" i="10" l="1"/>
  <c r="S60" i="10"/>
  <c r="S74" i="10" l="1"/>
  <c r="S71" i="10"/>
  <c r="V20" i="4" l="1"/>
  <c r="V19" i="4"/>
  <c r="V12" i="4"/>
  <c r="V15" i="7" l="1"/>
  <c r="V42" i="7"/>
  <c r="V73" i="12" l="1"/>
  <c r="V68" i="12"/>
  <c r="V36" i="12"/>
  <c r="V35" i="12"/>
  <c r="V62" i="3" l="1"/>
  <c r="V61" i="3"/>
  <c r="V60" i="3"/>
  <c r="V54" i="8"/>
  <c r="V20" i="19" l="1"/>
  <c r="V22" i="19"/>
  <c r="V21" i="19"/>
  <c r="V19" i="19"/>
  <c r="V21" i="2" l="1"/>
  <c r="V17" i="2"/>
  <c r="T24" i="11" l="1"/>
  <c r="T22" i="11"/>
  <c r="V54" i="12" l="1"/>
  <c r="S117" i="13"/>
  <c r="V85" i="12" l="1"/>
  <c r="V89" i="12"/>
  <c r="V62" i="12"/>
  <c r="S36" i="13"/>
  <c r="V15" i="4" l="1"/>
  <c r="V14" i="4"/>
  <c r="V13" i="4"/>
  <c r="V38" i="12" l="1"/>
  <c r="V16" i="12"/>
  <c r="V25" i="8" l="1"/>
  <c r="V45" i="8"/>
  <c r="V43" i="8"/>
  <c r="V38" i="8"/>
  <c r="W19" i="14" l="1"/>
  <c r="W17" i="14"/>
  <c r="W13" i="14"/>
  <c r="V56" i="5" l="1"/>
  <c r="S50" i="10" l="1"/>
  <c r="S48" i="10"/>
  <c r="S46" i="10"/>
  <c r="S45" i="10"/>
  <c r="V57" i="3" l="1"/>
  <c r="V30" i="7" l="1"/>
  <c r="V28" i="7"/>
  <c r="V51" i="8" l="1"/>
  <c r="V37" i="5" l="1"/>
  <c r="J52" i="10"/>
  <c r="V17" i="5"/>
  <c r="R16" i="5" l="1"/>
  <c r="Q16" i="5"/>
  <c r="S23" i="10"/>
  <c r="S66" i="10"/>
  <c r="S65" i="10"/>
  <c r="V31" i="5"/>
  <c r="V53" i="5" l="1"/>
  <c r="V55" i="5"/>
  <c r="S52" i="13"/>
  <c r="S46" i="13"/>
  <c r="V52" i="7"/>
  <c r="V24" i="7"/>
  <c r="S19" i="16"/>
  <c r="O19" i="16" s="1"/>
  <c r="S22" i="16"/>
  <c r="V120" i="3"/>
  <c r="V119" i="3"/>
  <c r="V118" i="3"/>
  <c r="V117" i="3"/>
  <c r="V116" i="3"/>
  <c r="V115" i="3"/>
  <c r="V112" i="3"/>
  <c r="V111" i="3"/>
  <c r="V100" i="3"/>
  <c r="V101" i="3"/>
  <c r="V102" i="3"/>
  <c r="V103" i="3"/>
  <c r="V104" i="3"/>
  <c r="V105" i="3"/>
  <c r="V106" i="3"/>
  <c r="V107" i="3"/>
  <c r="V108" i="3"/>
  <c r="V109" i="3"/>
  <c r="V113" i="3"/>
  <c r="V114" i="3"/>
  <c r="V121" i="3"/>
  <c r="V123" i="3"/>
  <c r="S37" i="13"/>
  <c r="V137" i="3"/>
  <c r="V139" i="3"/>
  <c r="V146" i="3"/>
  <c r="V149" i="3"/>
  <c r="V153" i="3"/>
  <c r="R136" i="3"/>
  <c r="Q155" i="3"/>
  <c r="Q152" i="3"/>
  <c r="Q151" i="3"/>
  <c r="Q148" i="3"/>
  <c r="Q145" i="3"/>
  <c r="Q143" i="3"/>
  <c r="Q141" i="3"/>
  <c r="Q138" i="3"/>
  <c r="R12" i="1"/>
  <c r="Q15" i="1"/>
  <c r="Q12" i="1"/>
  <c r="S23" i="16"/>
  <c r="O12" i="16"/>
  <c r="N12" i="16" s="1"/>
  <c r="O16" i="16"/>
  <c r="O18" i="16"/>
  <c r="O21" i="16"/>
  <c r="N21" i="16" s="1"/>
  <c r="N18" i="16"/>
  <c r="N16" i="16"/>
  <c r="V25" i="19"/>
  <c r="R16" i="19"/>
  <c r="R18" i="19"/>
  <c r="R23" i="19"/>
  <c r="R25" i="19"/>
  <c r="S92" i="13"/>
  <c r="S88" i="13"/>
  <c r="S81" i="13"/>
  <c r="S134" i="13"/>
  <c r="S126" i="13"/>
  <c r="S127" i="13"/>
  <c r="S132" i="13"/>
  <c r="O123" i="13"/>
  <c r="N133" i="13"/>
  <c r="N131" i="13"/>
  <c r="O54" i="10"/>
  <c r="N54" i="10"/>
  <c r="V21" i="4"/>
  <c r="R19" i="4"/>
  <c r="Q20" i="4"/>
  <c r="R12" i="4"/>
  <c r="Q14" i="4" s="1"/>
  <c r="Q12" i="4"/>
  <c r="V12" i="5"/>
  <c r="R12" i="5"/>
  <c r="Q12" i="5"/>
  <c r="V28" i="12"/>
  <c r="R27" i="12" s="1"/>
  <c r="V13" i="12"/>
  <c r="V128" i="12" s="1"/>
  <c r="V15" i="12"/>
  <c r="V22" i="12"/>
  <c r="V25" i="12"/>
  <c r="V71" i="3"/>
  <c r="V92" i="3"/>
  <c r="V90" i="3"/>
  <c r="V88" i="3"/>
  <c r="Q23" i="19"/>
  <c r="Q18" i="19"/>
  <c r="O45" i="10"/>
  <c r="N45" i="10"/>
  <c r="O22" i="10"/>
  <c r="N22" i="10" s="1"/>
  <c r="N25" i="10"/>
  <c r="V63" i="3"/>
  <c r="V58" i="3"/>
  <c r="V99" i="3"/>
  <c r="V98" i="3"/>
  <c r="V97" i="3"/>
  <c r="V95" i="3"/>
  <c r="V74" i="12"/>
  <c r="V41" i="12"/>
  <c r="R37" i="12" s="1"/>
  <c r="V55" i="12"/>
  <c r="V57" i="12"/>
  <c r="V69" i="12"/>
  <c r="V71" i="12"/>
  <c r="V115" i="12"/>
  <c r="R115" i="12" s="1"/>
  <c r="Q115" i="12" s="1"/>
  <c r="V57" i="5"/>
  <c r="V58" i="5"/>
  <c r="V54" i="5"/>
  <c r="V51" i="5"/>
  <c r="R40" i="5" s="1"/>
  <c r="V20" i="2"/>
  <c r="V16" i="2"/>
  <c r="R16" i="2"/>
  <c r="Q16" i="2"/>
  <c r="Q16" i="19"/>
  <c r="V54" i="7"/>
  <c r="R49" i="8"/>
  <c r="Q49" i="8"/>
  <c r="R29" i="8"/>
  <c r="Q29" i="8" s="1"/>
  <c r="R111" i="12"/>
  <c r="Q113" i="12"/>
  <c r="Q111" i="12"/>
  <c r="Q18" i="1"/>
  <c r="V14" i="7"/>
  <c r="R12" i="7" s="1"/>
  <c r="Q12" i="7" s="1"/>
  <c r="V26" i="7"/>
  <c r="V22" i="7"/>
  <c r="R15" i="7" s="1"/>
  <c r="Q23" i="7" s="1"/>
  <c r="V32" i="7"/>
  <c r="V33" i="7"/>
  <c r="V34" i="7"/>
  <c r="R32" i="7" s="1"/>
  <c r="Q32" i="7" s="1"/>
  <c r="V35" i="7"/>
  <c r="V36" i="7"/>
  <c r="V37" i="7"/>
  <c r="V38" i="7"/>
  <c r="V39" i="7"/>
  <c r="V44" i="7"/>
  <c r="R42" i="7" s="1"/>
  <c r="Q42" i="7" s="1"/>
  <c r="V46" i="7"/>
  <c r="V47" i="7"/>
  <c r="R11" i="3"/>
  <c r="R34" i="3"/>
  <c r="V56" i="3"/>
  <c r="R52" i="3"/>
  <c r="V68" i="3"/>
  <c r="V69" i="3"/>
  <c r="V70" i="3"/>
  <c r="V72" i="3"/>
  <c r="V73" i="3"/>
  <c r="V74" i="3"/>
  <c r="V75" i="3"/>
  <c r="V76" i="3"/>
  <c r="V81" i="3"/>
  <c r="V83" i="3"/>
  <c r="R68" i="3"/>
  <c r="V85" i="3"/>
  <c r="V87" i="3"/>
  <c r="V89" i="3"/>
  <c r="V93" i="3"/>
  <c r="R84" i="3"/>
  <c r="R94" i="3"/>
  <c r="R100" i="3"/>
  <c r="V133" i="3"/>
  <c r="V134" i="3"/>
  <c r="R124" i="3"/>
  <c r="R157" i="3"/>
  <c r="T20" i="11"/>
  <c r="P19" i="11"/>
  <c r="O19" i="11"/>
  <c r="T13" i="11"/>
  <c r="T15" i="11"/>
  <c r="T25" i="11"/>
  <c r="P16" i="11"/>
  <c r="R12" i="8"/>
  <c r="Q12" i="8" s="1"/>
  <c r="R20" i="8"/>
  <c r="Q20" i="8"/>
  <c r="R23" i="8"/>
  <c r="Q23" i="8" s="1"/>
  <c r="R37" i="8"/>
  <c r="Q40" i="8" s="1"/>
  <c r="Q136" i="3"/>
  <c r="Q80" i="3"/>
  <c r="Q68" i="3"/>
  <c r="V46" i="12"/>
  <c r="V77" i="12"/>
  <c r="V80" i="12"/>
  <c r="V84" i="12"/>
  <c r="R84" i="12" s="1"/>
  <c r="V100" i="12"/>
  <c r="V104" i="12"/>
  <c r="Q103" i="12" s="1"/>
  <c r="V126" i="12"/>
  <c r="R126" i="12" s="1"/>
  <c r="V127" i="12"/>
  <c r="R105" i="12"/>
  <c r="Q105" i="12" s="1"/>
  <c r="R44" i="12"/>
  <c r="Q48" i="12" s="1"/>
  <c r="R76" i="12"/>
  <c r="Q78" i="12" s="1"/>
  <c r="R92" i="12"/>
  <c r="R98" i="12"/>
  <c r="R119" i="12"/>
  <c r="Q119" i="12" s="1"/>
  <c r="R121" i="12"/>
  <c r="Q101" i="12"/>
  <c r="Q99" i="12"/>
  <c r="Q45" i="12"/>
  <c r="R26" i="5"/>
  <c r="R60" i="5"/>
  <c r="R18" i="5"/>
  <c r="R20" i="5"/>
  <c r="R21" i="5"/>
  <c r="V50" i="7"/>
  <c r="V53" i="7"/>
  <c r="V55" i="7"/>
  <c r="V157" i="3"/>
  <c r="S25" i="13"/>
  <c r="S26" i="13"/>
  <c r="S31" i="13"/>
  <c r="S32" i="13"/>
  <c r="S35" i="13"/>
  <c r="S41" i="13"/>
  <c r="S42" i="13"/>
  <c r="S59" i="13"/>
  <c r="S62" i="13"/>
  <c r="S63" i="13"/>
  <c r="S65" i="13"/>
  <c r="S66" i="13"/>
  <c r="S74" i="13"/>
  <c r="S114" i="13"/>
  <c r="S115" i="13"/>
  <c r="S135" i="13"/>
  <c r="V61" i="5"/>
  <c r="V18" i="2"/>
  <c r="V19" i="2"/>
  <c r="V22" i="2"/>
  <c r="V26" i="2"/>
  <c r="V22" i="4"/>
  <c r="S75" i="10"/>
  <c r="W21" i="14"/>
  <c r="R17" i="2"/>
  <c r="V20" i="1"/>
  <c r="V57" i="8"/>
  <c r="R20" i="1"/>
  <c r="AN60" i="5"/>
  <c r="AN19" i="4"/>
  <c r="AN12" i="4"/>
  <c r="AN136" i="3"/>
  <c r="AN100" i="3"/>
  <c r="AN94" i="3"/>
  <c r="AN84" i="3"/>
  <c r="AN68" i="3"/>
  <c r="AL124" i="3"/>
  <c r="AN124" i="3"/>
  <c r="AN52" i="3"/>
  <c r="AN34" i="3"/>
  <c r="AN11" i="3"/>
  <c r="AN12" i="1"/>
  <c r="AA16" i="16"/>
  <c r="Z16" i="16"/>
  <c r="Y16" i="16"/>
  <c r="AK16" i="16" s="1"/>
  <c r="X16" i="16"/>
  <c r="W16" i="16"/>
  <c r="V16" i="16"/>
  <c r="AK12" i="16"/>
  <c r="S13" i="14"/>
  <c r="R13" i="14"/>
  <c r="AL19" i="11"/>
  <c r="AL16" i="11"/>
  <c r="O16" i="11"/>
  <c r="AL12" i="11"/>
  <c r="P12" i="11"/>
  <c r="O12" i="11"/>
  <c r="Q54" i="8"/>
  <c r="AN23" i="8"/>
  <c r="Q18" i="8"/>
  <c r="N74" i="10"/>
  <c r="N73" i="10"/>
  <c r="N72" i="10"/>
  <c r="N71" i="10"/>
  <c r="AK70" i="10"/>
  <c r="N70" i="10"/>
  <c r="N66" i="10"/>
  <c r="AK65" i="10"/>
  <c r="N65" i="10"/>
  <c r="N63" i="10"/>
  <c r="N62" i="10"/>
  <c r="N61" i="10"/>
  <c r="AK60" i="10"/>
  <c r="N60" i="10"/>
  <c r="AK57" i="10"/>
  <c r="N57" i="10"/>
  <c r="AK54" i="10"/>
  <c r="N53" i="10"/>
  <c r="N52" i="10"/>
  <c r="N51" i="10"/>
  <c r="AK45" i="10"/>
  <c r="N43" i="10"/>
  <c r="N40" i="10"/>
  <c r="N37" i="10"/>
  <c r="AK35" i="10"/>
  <c r="N35" i="10"/>
  <c r="AK27" i="10"/>
  <c r="O27" i="10"/>
  <c r="N30" i="10"/>
  <c r="AK22" i="10"/>
  <c r="N20" i="10"/>
  <c r="AK19" i="10"/>
  <c r="N19" i="10"/>
  <c r="N17" i="10"/>
  <c r="N16" i="10"/>
  <c r="N15" i="10"/>
  <c r="N14" i="10"/>
  <c r="AK12" i="10"/>
  <c r="N12" i="10"/>
  <c r="N29" i="10"/>
  <c r="N27" i="10"/>
  <c r="N31" i="10"/>
  <c r="N28" i="10"/>
  <c r="O75" i="10"/>
  <c r="R21" i="2"/>
  <c r="Q24" i="2"/>
  <c r="R20" i="2"/>
  <c r="Q20" i="2"/>
  <c r="Q21" i="2"/>
  <c r="AN121" i="12"/>
  <c r="Q121" i="12"/>
  <c r="AN119" i="12"/>
  <c r="Q49" i="12"/>
  <c r="AN11" i="12"/>
  <c r="Q123" i="12"/>
  <c r="Q98" i="12"/>
  <c r="Q80" i="12"/>
  <c r="AN50" i="7"/>
  <c r="AN42" i="7"/>
  <c r="AN32" i="7"/>
  <c r="AN28" i="7"/>
  <c r="R28" i="7"/>
  <c r="Q28" i="7"/>
  <c r="AN15" i="7"/>
  <c r="AN12" i="7"/>
  <c r="Q19" i="4"/>
  <c r="AK123" i="13"/>
  <c r="AK114" i="13"/>
  <c r="O114" i="13"/>
  <c r="N114" i="13"/>
  <c r="AK109" i="13"/>
  <c r="O109" i="13"/>
  <c r="N109" i="13"/>
  <c r="AK105" i="13"/>
  <c r="O105" i="13"/>
  <c r="N105" i="13"/>
  <c r="AK102" i="13"/>
  <c r="O102" i="13"/>
  <c r="N102" i="13"/>
  <c r="AK99" i="13"/>
  <c r="O99" i="13"/>
  <c r="N99" i="13"/>
  <c r="AK94" i="13"/>
  <c r="O94" i="13"/>
  <c r="N94" i="13"/>
  <c r="AK77" i="13"/>
  <c r="O77" i="13"/>
  <c r="O13" i="13"/>
  <c r="O23" i="13"/>
  <c r="O31" i="13"/>
  <c r="O45" i="13"/>
  <c r="O58" i="13"/>
  <c r="O135" i="13"/>
  <c r="AK58" i="13"/>
  <c r="N58" i="13"/>
  <c r="AK45" i="13"/>
  <c r="N54" i="13"/>
  <c r="N41" i="13"/>
  <c r="N31" i="13"/>
  <c r="AK23" i="13"/>
  <c r="N23" i="13"/>
  <c r="AK13" i="13"/>
  <c r="N13" i="13"/>
  <c r="N123" i="13"/>
  <c r="N17" i="13"/>
  <c r="N51" i="13"/>
  <c r="AK31" i="13"/>
  <c r="N38" i="13"/>
  <c r="N130" i="13"/>
  <c r="Q21" i="5"/>
  <c r="Q20" i="5"/>
  <c r="Q18" i="5"/>
  <c r="Q60" i="5"/>
  <c r="AN26" i="5"/>
  <c r="Q26" i="5"/>
  <c r="S21" i="14"/>
  <c r="AO13" i="14"/>
  <c r="P25" i="11"/>
  <c r="Q79" i="3"/>
  <c r="Q77" i="3"/>
  <c r="Q78" i="3"/>
  <c r="Q17" i="2"/>
  <c r="Q25" i="2"/>
  <c r="Q22" i="2"/>
  <c r="R26" i="2"/>
  <c r="V56" i="7" l="1"/>
  <c r="O23" i="16"/>
  <c r="N19" i="16"/>
  <c r="Q44" i="8"/>
  <c r="Q31" i="8"/>
  <c r="R57" i="8"/>
  <c r="Q37" i="8"/>
  <c r="Q33" i="8"/>
  <c r="Q32" i="12"/>
  <c r="Q126" i="12"/>
  <c r="Q76" i="12"/>
  <c r="Q82" i="12"/>
  <c r="Q33" i="5"/>
  <c r="R61" i="5"/>
  <c r="R22" i="4"/>
  <c r="Q16" i="4"/>
  <c r="R50" i="7"/>
  <c r="N45" i="13"/>
  <c r="R54" i="12"/>
  <c r="R11" i="12"/>
  <c r="Q15" i="7"/>
  <c r="Q19" i="7"/>
  <c r="Q50" i="7" l="1"/>
  <c r="Q53" i="7"/>
  <c r="R56" i="7"/>
  <c r="Q16" i="12"/>
  <c r="R128" i="12"/>
  <c r="Q22" i="12"/>
  <c r="Q11" i="12"/>
  <c r="Q56" i="12"/>
  <c r="Q63" i="12"/>
  <c r="Q66" i="12"/>
  <c r="Q74" i="12"/>
  <c r="Q57" i="12"/>
</calcChain>
</file>

<file path=xl/sharedStrings.xml><?xml version="1.0" encoding="utf-8"?>
<sst xmlns="http://schemas.openxmlformats.org/spreadsheetml/2006/main" count="4561" uniqueCount="2539">
  <si>
    <t xml:space="preserve">CODIGO:  </t>
  </si>
  <si>
    <t>F-PLA-06</t>
  </si>
  <si>
    <t xml:space="preserve">VERSIÓN: </t>
  </si>
  <si>
    <t>06</t>
  </si>
  <si>
    <t xml:space="preserve">FECHA: </t>
  </si>
  <si>
    <t>Nov. 22 de 2017</t>
  </si>
  <si>
    <t>PÁGINA:</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</si>
  <si>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</si>
  <si>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</si>
  <si>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</si>
  <si>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</si>
  <si>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</si>
  <si>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</si>
  <si>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</si>
  <si>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</si>
  <si>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</si>
  <si>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</si>
  <si>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</si>
  <si>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</si>
  <si>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</si>
  <si>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</si>
  <si>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</si>
  <si>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</si>
  <si>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</si>
  <si>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</si>
  <si>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</si>
  <si>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</si>
  <si>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</si>
  <si>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</si>
  <si>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</si>
  <si>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</si>
  <si>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</si>
  <si>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</si>
  <si>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</si>
  <si>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</si>
  <si>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</si>
  <si>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</si>
  <si>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</si>
  <si>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</si>
  <si>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</si>
  <si>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</si>
  <si>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</si>
  <si>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</si>
  <si>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</si>
  <si>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</si>
  <si>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</si>
  <si>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</si>
  <si>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</si>
  <si>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</si>
  <si>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BUEN GOBIERNO</t>
  </si>
  <si>
    <t>GESTIÓN TERRITORIAL</t>
  </si>
  <si>
    <t>MODERNIZACIÓN TECNOLOGICA Y ADMINISTRATIVA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</si>
  <si>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</si>
  <si>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</si>
  <si>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</si>
  <si>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</si>
  <si>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</si>
  <si>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</si>
  <si>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</si>
  <si>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</si>
  <si>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 xml:space="preserve">20
</t>
  </si>
  <si>
    <t>Recurso Ordinario</t>
  </si>
  <si>
    <t>SECRETARIA ADMINISTRATIVA
DIRECCIÓN DE TIC´S</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</si>
  <si>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</si>
  <si>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</si>
  <si>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</si>
  <si>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</si>
  <si>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</si>
  <si>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</si>
  <si>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</si>
  <si>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</si>
  <si>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Secretaría Administrativa
Dirección Talento Humano</t>
  </si>
  <si>
    <t>Formular e implementar 1 programa de bienestar social e incentivos para los funcionarios de la entidad en la vigencia 2018.</t>
  </si>
  <si>
    <t>Desarrollo y ejecución de Actividades de Bienestar Social e incentivos,  de conformidad con los programas de bienestar social e incentivos aprobados</t>
  </si>
  <si>
    <t>Formular e implementar 1 plan institucional de capacitación para los funcionarios de la entidad en  la vigencia 2018</t>
  </si>
  <si>
    <t>Desarrollo y ejecución de capacitaciones de conformidad con el plan institucional de capacitaciones aprobado</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</si>
  <si>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</si>
  <si>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</si>
  <si>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</si>
  <si>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</si>
  <si>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</si>
  <si>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</si>
  <si>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</si>
  <si>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</si>
  <si>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Secretaría Administrativa
Dirección  TIC´S</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</si>
  <si>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</si>
  <si>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</si>
  <si>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</si>
  <si>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</si>
  <si>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</si>
  <si>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</si>
  <si>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</si>
  <si>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Secretaría Administrativa
Dirección  FTP</t>
  </si>
  <si>
    <t>Implementar un programa de actualización y registro de los bienes de propiedad del departamento</t>
  </si>
  <si>
    <t>Programa de actualización y registro implementado</t>
  </si>
  <si>
    <t>0304 - 5 - 3 1 5 28 89 17 5 - 20 
0304 - 5 - 3 1 5 28 89 17 5 - 46</t>
  </si>
  <si>
    <t>Administrar, depurar y registrar la totalidad de los bienes  de propiedad de la Gobernación del Departamento del Quindío con información real  y pertinente</t>
  </si>
  <si>
    <t>Implementar procedimientos correspondiente  a las bodegas a cargo de la dirección de almacén</t>
  </si>
  <si>
    <t xml:space="preserve">Recurso Ordinario </t>
  </si>
  <si>
    <t>Secretaría Administrativa
Dirección Recursos Físicos
Dirección Almacén</t>
  </si>
  <si>
    <t>Realizar avalúos a los bienes inmuebles a cargo de la entidad</t>
  </si>
  <si>
    <t>Implementar un (1) programa de modernización de la gestión documental en el departamento</t>
  </si>
  <si>
    <t>Programa de modernización implementado</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</si>
  <si>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</si>
  <si>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</si>
  <si>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</si>
  <si>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</si>
  <si>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</si>
  <si>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</si>
  <si>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</si>
  <si>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Secretaría Administrativa
Dirección Recursos Físicos</t>
  </si>
  <si>
    <t>TOTAL :</t>
  </si>
  <si>
    <t>CATALINA GÓMEZ RESTREPO</t>
  </si>
  <si>
    <t>Secretaria Administrativa</t>
  </si>
  <si>
    <t>O6</t>
  </si>
  <si>
    <t>Adolescencia
 (15 - 19 años)</t>
  </si>
  <si>
    <t>Edad Económicamente Activa
(20-59 años)</t>
  </si>
  <si>
    <t>Adultos Mayores (Mayores a 60 años)</t>
  </si>
  <si>
    <t>Palenqueras</t>
  </si>
  <si>
    <t>Quindío Transparente y Legal</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</si>
  <si>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</si>
  <si>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</si>
  <si>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</si>
  <si>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</si>
  <si>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</si>
  <si>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</si>
  <si>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</si>
  <si>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</si>
  <si>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</si>
  <si>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</si>
  <si>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</si>
  <si>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</si>
  <si>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</si>
  <si>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</si>
  <si>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</si>
  <si>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</si>
  <si>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</si>
  <si>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</si>
  <si>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b) Todo registro publicado.</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</si>
  <si>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</si>
  <si>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</si>
  <si>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</si>
  <si>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</si>
  <si>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</si>
  <si>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</si>
  <si>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</si>
  <si>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</si>
  <si>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</si>
  <si>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</si>
  <si>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</si>
  <si>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</si>
  <si>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 xml:space="preserve">SOCIALIZACION   ENTES TERRITORIALES </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</si>
  <si>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</si>
  <si>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</si>
  <si>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</si>
  <si>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</si>
  <si>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</si>
  <si>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</si>
  <si>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</si>
  <si>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</si>
  <si>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</si>
  <si>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</si>
  <si>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Estrategia de Desarrollo Sostenible 2019</t>
  </si>
  <si>
    <t xml:space="preserve">Superavit Ordinario </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</si>
  <si>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</si>
  <si>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</si>
  <si>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</si>
  <si>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</si>
  <si>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</si>
  <si>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</si>
  <si>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</si>
  <si>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</si>
  <si>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</si>
  <si>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</si>
  <si>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</si>
  <si>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</si>
  <si>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</si>
  <si>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</si>
  <si>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</si>
  <si>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</si>
  <si>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</si>
  <si>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</si>
  <si>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</si>
  <si>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</si>
  <si>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</si>
  <si>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</si>
  <si>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</si>
  <si>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</si>
  <si>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</si>
  <si>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</si>
  <si>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</si>
  <si>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</si>
  <si>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</si>
  <si>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</si>
  <si>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</si>
  <si>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</si>
  <si>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</si>
  <si>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3.4 Dotación imagen institucional CTPD</t>
  </si>
  <si>
    <t>5.1 Camara fotografica incluido el tripode</t>
  </si>
  <si>
    <t>5.2 Grabadora de mano</t>
  </si>
  <si>
    <t>5.3 Adquisición de equipos</t>
  </si>
  <si>
    <t>6.1 Toner (tinta impresora)</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</si>
  <si>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</si>
  <si>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</si>
  <si>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</si>
  <si>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Gestión Territorial</t>
  </si>
  <si>
    <t xml:space="preserve">Los instrumentos  de planificación como  ruta para el cumplimiento de la gestión pública  </t>
  </si>
  <si>
    <t>Diseñar e implementar el Plan de Ordenamiento del Departamento del Quindio.</t>
  </si>
  <si>
    <t>Plan diseñado e implementado</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</si>
  <si>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</si>
  <si>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</si>
  <si>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</si>
  <si>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</si>
  <si>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</si>
  <si>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 xml:space="preserve">20
</t>
  </si>
  <si>
    <t>Recursos Ordinarios</t>
  </si>
  <si>
    <t>Actualizacion de las directrices del MOD para aplicar en el diseño del POD</t>
  </si>
  <si>
    <t>Formulación y consolidación de las directrices y  lineamientos de ordenamiento territorial para el departamento del Quindio, en la implementación del POD.</t>
  </si>
  <si>
    <t xml:space="preserve">Superavit Recursos Ordinarios
</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</si>
  <si>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</si>
  <si>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</si>
  <si>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</si>
  <si>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</si>
  <si>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</si>
  <si>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</si>
  <si>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</si>
  <si>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Mantenimiento y Actualizacion permanente de las bases de Datos</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</si>
  <si>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</si>
  <si>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</si>
  <si>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</si>
  <si>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</si>
  <si>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</si>
  <si>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</si>
  <si>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</si>
  <si>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</si>
  <si>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</si>
  <si>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</si>
  <si>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</si>
  <si>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</si>
  <si>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</si>
  <si>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</si>
  <si>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</si>
  <si>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</si>
  <si>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</si>
  <si>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</si>
  <si>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</si>
  <si>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</si>
  <si>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</si>
  <si>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 xml:space="preserve">Recursos Ordinarios
</t>
  </si>
  <si>
    <t>José Iganacio Rojas Sepúlveda
Secretario Departamental de Planeación</t>
  </si>
  <si>
    <t>2.1 Análisis de la información recolectada para la actualización y generación de los  boletines trimestrales (4), el informe anual del departamento (1) y los demás análisis requeridos correspondientes a la vigencia 2017 (1 Informe de Empleo)</t>
  </si>
  <si>
    <t>2.2 Fortalecer el seguimiento a los problemas identificados en el departamento con relación a los ODS para la última vigencia de análisis.</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</si>
  <si>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</si>
  <si>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</si>
  <si>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</si>
  <si>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</si>
  <si>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</si>
  <si>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</si>
  <si>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 xml:space="preserve">0305 - 5 - 3 1 5 28 87 17 11 - 20
0305 - 5 - 3 1 5 28 87 17 11 - 88
</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</si>
  <si>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</si>
  <si>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</si>
  <si>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</si>
  <si>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</si>
  <si>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</si>
  <si>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Superavit Ordinario</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</si>
  <si>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</si>
  <si>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</si>
  <si>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</si>
  <si>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</si>
  <si>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</si>
  <si>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</si>
  <si>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</si>
  <si>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</si>
  <si>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</si>
  <si>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Capacitación formulación proyectos Sistema General de Regalias  SGR (Matriz  de Marco Lógico ; Metodología General Ajustada  y  requisitos generales para la viabilización  de proyectos)</t>
  </si>
  <si>
    <t xml:space="preserve">Recurso Ordinario
</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</si>
  <si>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</si>
  <si>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</si>
  <si>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</si>
  <si>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Apoyar las acciones para l aidentificacion de la oferta de proyectos de cooperacion internacional</t>
  </si>
  <si>
    <t>Desarrollo de estrategias de promocion de los planes, programas y proyectos del departamento del Quindio</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</si>
  <si>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</si>
  <si>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</si>
  <si>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</si>
  <si>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</si>
  <si>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</si>
  <si>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</si>
  <si>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</si>
  <si>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</si>
  <si>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a)Apoyo técnico en la socialización a las unidades ejecutoras de la herramienta dispuesta por el Departamento Nacional de Planeación -DNP-, para el seguimiento a los proyectos de inversión del Banco de Proyectos nivel Departamental en el SISTEMA DE SEGUIMIENTO A PROYECTOS DE INVERSIÓN-SPI-, teniendo en cuanta la Ejecución fisica, el seguimiento a actividades, el Seguimiento de gestión y los anexos b) apoyo técnbico en el seguimiento a los proyectos de inversión de la secretaria de planeación departamental, en la herramienta -SPI-</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</si>
  <si>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</si>
  <si>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</si>
  <si>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</si>
  <si>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</si>
  <si>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</si>
  <si>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</si>
  <si>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</si>
  <si>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</si>
  <si>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</si>
  <si>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</si>
  <si>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</si>
  <si>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</si>
  <si>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</si>
  <si>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</si>
  <si>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</si>
  <si>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</si>
  <si>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</si>
  <si>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</si>
  <si>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</si>
  <si>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</si>
  <si>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</si>
  <si>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</si>
  <si>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</si>
  <si>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</si>
  <si>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</si>
  <si>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</si>
  <si>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</si>
  <si>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</si>
  <si>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</si>
  <si>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</si>
  <si>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</si>
  <si>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</si>
  <si>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</si>
  <si>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</si>
  <si>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</si>
  <si>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</si>
  <si>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</si>
  <si>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</si>
  <si>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</si>
  <si>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</si>
  <si>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</si>
  <si>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</si>
  <si>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</si>
  <si>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</si>
  <si>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</si>
  <si>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</si>
  <si>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</si>
  <si>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</si>
  <si>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</si>
  <si>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</si>
  <si>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</si>
  <si>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Entes territoriales municipales asistidos</t>
  </si>
  <si>
    <t>Capacitación , Asistencia técnica, seguimiento y/o evaluación incorporación Modelo de Ocupación del territorio en los doce municipios</t>
  </si>
  <si>
    <t>TOTALES</t>
  </si>
  <si>
    <t>JOSE IGNACIO ROJAS SEPULVEDA</t>
  </si>
  <si>
    <t xml:space="preserve">SECRETARIO DE PLANEACION DEPARTAMENTAL </t>
  </si>
  <si>
    <t xml:space="preserve">F-PLA-06   </t>
  </si>
  <si>
    <t xml:space="preserve">                                                               </t>
  </si>
  <si>
    <t>GESTIÓN TERRIITORIAL</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</si>
  <si>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</si>
  <si>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</si>
  <si>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</si>
  <si>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</si>
  <si>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</si>
  <si>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</si>
  <si>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</si>
  <si>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</si>
  <si>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</si>
  <si>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</si>
  <si>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</si>
  <si>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</si>
  <si>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</si>
  <si>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</si>
  <si>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</si>
  <si>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</si>
  <si>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</si>
  <si>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</si>
  <si>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</si>
  <si>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</si>
  <si>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</si>
  <si>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</si>
  <si>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</si>
  <si>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</si>
  <si>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</si>
  <si>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</si>
  <si>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</si>
  <si>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</si>
  <si>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</si>
  <si>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</si>
  <si>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</si>
  <si>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</si>
  <si>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</si>
  <si>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</si>
  <si>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</si>
  <si>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Edad Económicamente Activa      (20-59 años)</t>
  </si>
  <si>
    <t>DESARROLLO SOSTENIBLE</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</si>
  <si>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</si>
  <si>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</si>
  <si>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</si>
  <si>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</si>
  <si>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</si>
  <si>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</si>
  <si>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</si>
  <si>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</si>
  <si>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</si>
  <si>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</si>
  <si>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</si>
  <si>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</si>
  <si>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JUAN ANTONIO OSORIO ALVAREZ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</si>
  <si>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</si>
  <si>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</si>
  <si>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</si>
  <si>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</si>
  <si>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</si>
  <si>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
0308 - 5 - 3 1 1 1 2 3 23 - 88</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</si>
  <si>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</si>
  <si>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</si>
  <si>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</si>
  <si>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</si>
  <si>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</si>
  <si>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Formular,priorizar, viabilizar y ejecutar proyectos de infraestructura de Agua Potable y Saneamiento Basico</t>
  </si>
  <si>
    <t>Superavit Ordinario (88)</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</si>
  <si>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</si>
  <si>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</si>
  <si>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</si>
  <si>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</si>
  <si>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</si>
  <si>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</si>
  <si>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</si>
  <si>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</si>
  <si>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</si>
  <si>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</si>
  <si>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</si>
  <si>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</si>
  <si>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</si>
  <si>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</si>
  <si>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</si>
  <si>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</si>
  <si>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</si>
  <si>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</si>
  <si>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</si>
  <si>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</si>
  <si>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</si>
  <si>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</si>
  <si>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</si>
  <si>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</si>
  <si>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</si>
  <si>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</si>
  <si>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</si>
  <si>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 xml:space="preserve">2. </t>
  </si>
  <si>
    <t xml:space="preserve">PROSPERIDAD CON EQUIDAD </t>
  </si>
  <si>
    <t xml:space="preserve">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</si>
  <si>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</si>
  <si>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</si>
  <si>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</si>
  <si>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</si>
  <si>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</si>
  <si>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</si>
  <si>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0308 - 5 - 3 1 2 4 14 9 19 - 88</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</si>
  <si>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</si>
  <si>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</si>
  <si>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</si>
  <si>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</si>
  <si>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</si>
  <si>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 xml:space="preserve">SOBRETASA AL ACPM (23)
</t>
  </si>
  <si>
    <t>RECURSO DEL CREDITO (46)</t>
  </si>
  <si>
    <t>Asistencia profesional y tecnica para el mejoramiento vial del Departamento del Quindio.</t>
  </si>
  <si>
    <t>0308 - 5 - 3 1 2 4 14 9 19 - 23</t>
  </si>
  <si>
    <t>Mantener, mejorar y/o rehabilitar la Infraestructura Vial del Departamento del Quindio</t>
  </si>
  <si>
    <t>Superávit Recursos del Crédito (157)</t>
  </si>
  <si>
    <t>0308 - 5 - 3 1 2 4 14 9 19 - 46</t>
  </si>
  <si>
    <t>Asistencia externa para el control y seguimiento de la correcta ejecucion de los contratos de Infraestructura Vial.</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</si>
  <si>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</si>
  <si>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</si>
  <si>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</si>
  <si>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</si>
  <si>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 xml:space="preserve">SOBRETASA AL ACPM (23)-
</t>
  </si>
  <si>
    <t>0308 - 5 - 3 1 2 4 14 9 19 - 157</t>
  </si>
  <si>
    <t>RECURSOS DEL CREDITO (46)</t>
  </si>
  <si>
    <t>Recurso humano necesarios para la atencion de emergencias viales</t>
  </si>
  <si>
    <t xml:space="preserve">SUPERÁVIT SOBRETASA AL ACPM (89)
</t>
  </si>
  <si>
    <t>0308 - 5 - 3 1 2 4 14 9 19 - 89</t>
  </si>
  <si>
    <t>Obra Fisica requerida para la atencion de emergencias viales</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</si>
  <si>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</si>
  <si>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</si>
  <si>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</si>
  <si>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</si>
  <si>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15 21 - 04
0308 - 5 - 3 1 2 4 15 15 21 - 46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</si>
  <si>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</si>
  <si>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</si>
  <si>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</si>
  <si>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</si>
  <si>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</si>
  <si>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 - DESARROLLO (04)</t>
  </si>
  <si>
    <t>1.2 Asistencia profesional- tecnica y mano de obra Infraestructura educativa</t>
  </si>
  <si>
    <t>1.3 Mantener, mejorar y/o rehabilitar la Infraestructura educativa del Departamento del Quindio.</t>
  </si>
  <si>
    <t>SUPERÁVIT ESTAMPILLA PRO - DESARROLLO (82)</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</si>
  <si>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</si>
  <si>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</si>
  <si>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</si>
  <si>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</si>
  <si>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</si>
  <si>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Apoyar la construcción, mejoramiento y/o  rehabilitación de la infraestructura de doce (12) escenarios deportivos y/o recreativos en el departamento del Quindío</t>
  </si>
  <si>
    <t>Número de escenarios deportivo o recreativo  apoyado</t>
  </si>
  <si>
    <t>3.1 Transporte, elementos, materiales, equipos e insumos Infraestructura deportiva</t>
  </si>
  <si>
    <t xml:space="preserve">ESTAMPILLA PRO - DESARROLLO (04)
</t>
  </si>
  <si>
    <t>3.2 Asistencia profesional - tecnica y mano de obra de Infraestructura deportiva</t>
  </si>
  <si>
    <t>3.3 Mantener, mejorar y/o rehabilitar la Infraestructura deportiva del Departamento del Quindio.</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</si>
  <si>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</si>
  <si>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</si>
  <si>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</si>
  <si>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</si>
  <si>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 xml:space="preserve">RECURSO ORDINARIO (20)
</t>
  </si>
  <si>
    <t>4.2 Construir, mantener, mejorar y/o rehabilitar la infraestructura Social del Departamento del Quindio</t>
  </si>
  <si>
    <t>4.3 Asistencia profesional tecnica y mano de obra infraestructura de equipamientos publicos y colectivos</t>
  </si>
  <si>
    <t xml:space="preserve">RECURSO ORDINARIO (20)_x000D_
</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</si>
  <si>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</si>
  <si>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</si>
  <si>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</si>
  <si>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</si>
  <si>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Apoyar la construcción y  el mejoramiento de mil (1000) viviendas urbana y rural priorizada en el departamento del Quindío.</t>
  </si>
  <si>
    <t>Número de viviendas apoyadas</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</si>
  <si>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</si>
  <si>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</si>
  <si>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</si>
  <si>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</si>
  <si>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RECURSO ORDINARIO (20)</t>
  </si>
  <si>
    <t>31/09/2017</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</si>
  <si>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</si>
  <si>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</si>
  <si>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</si>
  <si>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</si>
  <si>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</si>
  <si>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</si>
  <si>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</si>
  <si>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TOTAL:</t>
  </si>
  <si>
    <t>Juan Antonio Osorio Alvarez</t>
  </si>
  <si>
    <t xml:space="preserve">Secretario de Aguas e Infraestructura </t>
  </si>
  <si>
    <t>Departamento del Quindio</t>
  </si>
  <si>
    <t xml:space="preserve">Proyecto y elaboro: </t>
  </si>
  <si>
    <t xml:space="preserve"> Carlos Enrique Penagos Mejia, Apoyo Financiero PAP- PDA SAID</t>
  </si>
  <si>
    <t xml:space="preserve">  </t>
  </si>
  <si>
    <t>Dalila Oyola Moreno, Apoyo Financiero PAP-PDA SAID</t>
  </si>
  <si>
    <t>Ana Milena Rincon B, Apoyo Financiero Direccion Vial - Social SAID</t>
  </si>
  <si>
    <t>01 de 1</t>
  </si>
  <si>
    <t xml:space="preserve">HOMBRE </t>
  </si>
  <si>
    <t>Mestiza</t>
  </si>
  <si>
    <t>Victimas</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</si>
  <si>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</si>
  <si>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</si>
  <si>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</si>
  <si>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</si>
  <si>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</si>
  <si>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</si>
  <si>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</si>
  <si>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</si>
  <si>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</si>
  <si>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</si>
  <si>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Secretaria de Cultura, James  Gonzalez Mata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</si>
  <si>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</si>
  <si>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</si>
  <si>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</si>
  <si>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</si>
  <si>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</si>
  <si>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</si>
  <si>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</si>
  <si>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ciudadania al arte y la cultura </t>
  </si>
  <si>
    <t>Escuelas de formación</t>
  </si>
  <si>
    <t>Secretaria de Cultura, James Gonzalez Mata</t>
  </si>
  <si>
    <t xml:space="preserve"> Difusión y Circulación Artística</t>
  </si>
  <si>
    <t>Apoyo técnico y logístico</t>
  </si>
  <si>
    <t>Apoyar  ciento veinte (120) proyectos del programa de concertación cultural del departamento</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</si>
  <si>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</si>
  <si>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</si>
  <si>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</si>
  <si>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</si>
  <si>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</si>
  <si>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</si>
  <si>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</si>
  <si>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0310 - 5 - 3 1 3 9 29 5 46 - 41
0310 - 5 - 3 1 3 9 29 5 46 - 83</t>
  </si>
  <si>
    <t>Mayor apoyo a la creación investigación y producción artistica</t>
  </si>
  <si>
    <t>Estampilla Procultura 10% Estímulos</t>
  </si>
  <si>
    <t xml:space="preserve"> Evaluación y Seguimiento </t>
  </si>
  <si>
    <t xml:space="preserve">Estampilla Procultura 10% EStímulos
</t>
  </si>
  <si>
    <t xml:space="preserve">Emprendimiento Cultural </t>
  </si>
  <si>
    <t>Fortalecer cinco (5) procesos de emprendimiento cultural y de desarrollo de industrias creativas</t>
  </si>
  <si>
    <t>0310 - 5 - 3 1 3 9 30 5 47 - 20</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</si>
  <si>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</si>
  <si>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</si>
  <si>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</si>
  <si>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</si>
  <si>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</si>
  <si>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</si>
  <si>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</si>
  <si>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 xml:space="preserve"> 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</si>
  <si>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</si>
  <si>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</si>
  <si>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 xml:space="preserve"> Realización de procesos formativos para promotores de lectura y escritura</t>
  </si>
  <si>
    <t>Estampilla Procultura 10% Bibliotecas</t>
  </si>
  <si>
    <t>Encuentros para el intercambio, formación y retroalimentación de la Red de Bibliotecas</t>
  </si>
  <si>
    <t>Dotación y adecuación bibliotecaria</t>
  </si>
  <si>
    <t xml:space="preserve">Coordinación de actividades para el fortalecimiento de la Red </t>
  </si>
  <si>
    <t>Coordinación de actividades para el fortalecimiento de la red segun aceptación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</si>
  <si>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</si>
  <si>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</si>
  <si>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</si>
  <si>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 xml:space="preserve">Estampilla Procultura 10% Bibliotecas
</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</si>
  <si>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</si>
  <si>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</si>
  <si>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</si>
  <si>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</si>
  <si>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</si>
  <si>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49 - 93
0310 - 5 - 3 1 3 10 32 5 49 - 47</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</si>
  <si>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</si>
  <si>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</si>
  <si>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</si>
  <si>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</si>
  <si>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</si>
  <si>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</si>
  <si>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</si>
  <si>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</si>
  <si>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</si>
  <si>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</si>
  <si>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</si>
  <si>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</si>
  <si>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</si>
  <si>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 xml:space="preserve">0310 - 5 - 3 1 3 10 33 5 50 - 20
</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</si>
  <si>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</si>
  <si>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</si>
  <si>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</si>
  <si>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</si>
  <si>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 xml:space="preserve">Recurso Ordinario
</t>
  </si>
  <si>
    <t>Implementación de una emisora de interés público del departamento del Quindío</t>
  </si>
  <si>
    <t>Superavit Recurso Ordinario</t>
  </si>
  <si>
    <t>Apoyar  dieciséis (16) actividades y/o proyectos  para el afianzamiento del Sistema Departamental de Cultura</t>
  </si>
  <si>
    <t>Participación y  apoyo por parte de la Gobernación del Quindío a medios ciudadanos, comunitarios y de interés público</t>
  </si>
  <si>
    <t xml:space="preserve"> Formación para la gestión cultural</t>
  </si>
  <si>
    <t>Fortalecimiento del Sistema de Información Cultural</t>
  </si>
  <si>
    <t>Apoyo a Consejos de las artes y la cultura</t>
  </si>
  <si>
    <t>JAMES GONZALEZ MATA</t>
  </si>
  <si>
    <t>Secretario de Cultura</t>
  </si>
  <si>
    <t>META FISICA</t>
  </si>
  <si>
    <t>PRESUPUESTADO</t>
  </si>
  <si>
    <t>P</t>
  </si>
  <si>
    <t>PROSPERIDAD CON EQUIDAD</t>
  </si>
  <si>
    <t>Quindío rural, inteligente, competitivo y empresarial</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</si>
  <si>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</si>
  <si>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</si>
  <si>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</si>
  <si>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</si>
  <si>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</si>
  <si>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</si>
  <si>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</si>
  <si>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</si>
  <si>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</si>
  <si>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Ordinario</t>
  </si>
  <si>
    <t>Secretario de Turismo Industria y Comercio</t>
  </si>
  <si>
    <t xml:space="preserve">Superavit Recurso Ordinario </t>
  </si>
  <si>
    <t>Fortalecimiento de las rutas Kaldia, Tumbaga y Artemis.</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</si>
  <si>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</si>
  <si>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</si>
  <si>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</si>
  <si>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</si>
  <si>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</si>
  <si>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</si>
  <si>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</si>
  <si>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</si>
  <si>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</si>
  <si>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</si>
  <si>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</si>
  <si>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</si>
  <si>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</si>
  <si>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</si>
  <si>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</si>
  <si>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0311 - 5 - 3 1 2 2 8 13 52 - 88</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</si>
  <si>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</si>
  <si>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</si>
  <si>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</si>
  <si>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</si>
  <si>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</si>
  <si>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</si>
  <si>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</si>
  <si>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</si>
  <si>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</si>
  <si>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</si>
  <si>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</si>
  <si>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</si>
  <si>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</si>
  <si>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</si>
  <si>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</si>
  <si>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</si>
  <si>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</si>
  <si>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 xml:space="preserve">Apoyar estrategias de promoción de productos de emprendedores y empresarios quindianos en la temporada de fin de año </t>
  </si>
  <si>
    <t>Apoyar   doce (12) Unidades de emprendimiento de grupos poblacionales con enfoque diferencial.</t>
  </si>
  <si>
    <t xml:space="preserve">0311 - 5 - 3 1 2 2 9 13 53 - 88
</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</si>
  <si>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</si>
  <si>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</si>
  <si>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</si>
  <si>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</si>
  <si>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</si>
  <si>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</si>
  <si>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</si>
  <si>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</si>
  <si>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</si>
  <si>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</si>
  <si>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</si>
  <si>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</si>
  <si>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</si>
  <si>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</si>
  <si>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</si>
  <si>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</si>
  <si>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</si>
  <si>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</si>
  <si>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</si>
  <si>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</si>
  <si>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</si>
  <si>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</si>
  <si>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</si>
  <si>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</si>
  <si>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</si>
  <si>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</si>
  <si>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</si>
  <si>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</si>
  <si>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</si>
  <si>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</si>
  <si>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</si>
  <si>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</si>
  <si>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</si>
  <si>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</si>
  <si>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</si>
  <si>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</si>
  <si>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</si>
  <si>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</si>
  <si>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</si>
  <si>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</si>
  <si>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</si>
  <si>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</si>
  <si>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</si>
  <si>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0311 - 5 - 3 1 2 3 12 13 60 - 20</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</si>
  <si>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</si>
  <si>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</si>
  <si>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</si>
  <si>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</si>
  <si>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</si>
  <si>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</si>
  <si>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</si>
  <si>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</si>
  <si>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</si>
  <si>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</si>
  <si>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</si>
  <si>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</si>
  <si>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</si>
  <si>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Impuesto al Registro</t>
  </si>
  <si>
    <t>Ejecución del Plan de Mercadeo para la  Promoción del departamento como destino turística nivel internacional.</t>
  </si>
  <si>
    <t xml:space="preserve">NATALIA ANDREA RODRIGUEZ LONDOÑO </t>
  </si>
  <si>
    <t>SECRETARIA DE TURISMO,INDUSTRIA Y COMERCIO</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</si>
  <si>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</si>
  <si>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</si>
  <si>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</si>
  <si>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</si>
  <si>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</si>
  <si>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</si>
  <si>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</si>
  <si>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</si>
  <si>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</si>
  <si>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</si>
  <si>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ORDINARIO</t>
  </si>
  <si>
    <t>SECRETARIO DE DESPACHO Y JULIANA ACOSTA JARAMILLO</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</si>
  <si>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</si>
  <si>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</si>
  <si>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</si>
  <si>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</si>
  <si>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</si>
  <si>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</si>
  <si>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</si>
  <si>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</si>
  <si>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politica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</si>
  <si>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</si>
  <si>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</si>
  <si>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</si>
  <si>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</si>
  <si>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</si>
  <si>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</si>
  <si>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</si>
  <si>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</si>
  <si>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</si>
  <si>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</si>
  <si>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</si>
  <si>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</si>
  <si>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</si>
  <si>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</si>
  <si>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</si>
  <si>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</si>
  <si>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</si>
  <si>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</si>
  <si>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</si>
  <si>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</si>
  <si>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</si>
  <si>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</si>
  <si>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</si>
  <si>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</si>
  <si>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</si>
  <si>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RECURSO ORDINARIO</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</si>
  <si>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</si>
  <si>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</si>
  <si>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</si>
  <si>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0312 - 5 - 3 1 1 1 3 10 68 - 88</t>
  </si>
  <si>
    <t>Adquirir doscientos setenta (270) ha para áreas de conservación en predios de importancia estratégica para el recurso hídrico del departamento del Quindío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</si>
  <si>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</si>
  <si>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</si>
  <si>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</si>
  <si>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</si>
  <si>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</si>
  <si>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</si>
  <si>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</si>
  <si>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</si>
  <si>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</si>
  <si>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</si>
  <si>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</si>
  <si>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</si>
  <si>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</si>
  <si>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</si>
  <si>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</si>
  <si>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</si>
  <si>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</si>
  <si>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</si>
  <si>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</si>
  <si>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</si>
  <si>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</si>
  <si>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</si>
  <si>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</si>
  <si>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</si>
  <si>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</si>
  <si>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</si>
  <si>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</si>
  <si>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</si>
  <si>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</si>
  <si>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SECRETARIO DE DESPACHO Y 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</si>
  <si>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</si>
  <si>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</si>
  <si>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</si>
  <si>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</si>
  <si>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</si>
  <si>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Fortalecer asociaciones a jovenes y mujeres rurales a traves de la dotación de maquinaria, equipos y utensilios para el procesamiento y comercialización de cafeb</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</si>
  <si>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</si>
  <si>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</si>
  <si>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</si>
  <si>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</si>
  <si>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</si>
  <si>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</si>
  <si>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</si>
  <si>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</si>
  <si>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</si>
  <si>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</si>
  <si>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</si>
  <si>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</si>
  <si>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
0312 - 5 - 3 1 2 2 5 8 176 - 46
0312 - 5 - 3 1 2 5 8 176 - 88</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</si>
  <si>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</si>
  <si>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</si>
  <si>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</si>
  <si>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</si>
  <si>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</si>
  <si>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Crear e implementar los nucleos de asistencia agricola.</t>
  </si>
  <si>
    <t>Crear Un Núcleo De Asistencia Pecuaria</t>
  </si>
  <si>
    <t xml:space="preserve">Crear e implmentar los nucleos de asistencia pecuaria </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</si>
  <si>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</si>
  <si>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</si>
  <si>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</si>
  <si>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</si>
  <si>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</si>
  <si>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</si>
  <si>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</si>
  <si>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RECURSO DEL CREDITO</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</si>
  <si>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</si>
  <si>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</si>
  <si>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</si>
  <si>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</si>
  <si>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</si>
  <si>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</si>
  <si>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</si>
  <si>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</si>
  <si>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</si>
  <si>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</si>
  <si>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</si>
  <si>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</si>
  <si>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SECRETARIO DE DESPACHO Y ANA MARIA CARDONA VALDEZ</t>
  </si>
  <si>
    <t>0312 - 5 - 3 1 2 2 5 8 177 - 88</t>
  </si>
  <si>
    <t>Financiamiento Al Pequeño Productor Rural</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</si>
  <si>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</si>
  <si>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</si>
  <si>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</si>
  <si>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</si>
  <si>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</si>
  <si>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</si>
  <si>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</si>
  <si>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</si>
  <si>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</si>
  <si>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</si>
  <si>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</si>
  <si>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</si>
  <si>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</si>
  <si>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</si>
  <si>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</si>
  <si>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</si>
  <si>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</si>
  <si>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</si>
  <si>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</si>
  <si>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</si>
  <si>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</si>
  <si>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</si>
  <si>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</si>
  <si>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</si>
  <si>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</si>
  <si>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</si>
  <si>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</si>
  <si>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</si>
  <si>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</si>
  <si>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</si>
  <si>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</si>
  <si>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</si>
  <si>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</si>
  <si>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</si>
  <si>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</si>
  <si>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</si>
  <si>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</si>
  <si>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</si>
  <si>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</si>
  <si>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</si>
  <si>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</si>
  <si>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</si>
  <si>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Soberanía, seguridad alimentaria y nutricional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</si>
  <si>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</si>
  <si>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</si>
  <si>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</si>
  <si>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</si>
  <si>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</si>
  <si>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</si>
  <si>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</si>
  <si>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</si>
  <si>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</si>
  <si>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</si>
  <si>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</si>
  <si>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</si>
  <si>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</si>
  <si>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</si>
  <si>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</si>
  <si>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</si>
  <si>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</si>
  <si>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</si>
  <si>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</si>
  <si>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</si>
  <si>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</si>
  <si>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</si>
  <si>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</si>
  <si>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</si>
  <si>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ALVARO ARIAS YOUNG</t>
  </si>
  <si>
    <t>Secretario de Agricultura, medio Ambiente y Desarrollo Rural</t>
  </si>
  <si>
    <t>No.</t>
  </si>
  <si>
    <t>Edad Económicamente 
Activa(20-59 años)</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</si>
  <si>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</si>
  <si>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</si>
  <si>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</si>
  <si>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</si>
  <si>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</si>
  <si>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</si>
  <si>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</si>
  <si>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</si>
  <si>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</si>
  <si>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José Joaquin Rincon Pastrana
Director Oficina Privada</t>
  </si>
  <si>
    <t>Mejorar la cultura del civismo y participación de los ciudadanos  en los  procesos institucionales del gobierno.</t>
  </si>
  <si>
    <t>Desarrollo del sistema departamental del servicio al ciudaddano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</si>
  <si>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</si>
  <si>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</si>
  <si>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</si>
  <si>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</si>
  <si>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</si>
  <si>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</si>
  <si>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</si>
  <si>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</si>
  <si>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</si>
  <si>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</si>
  <si>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</si>
  <si>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</si>
  <si>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</si>
  <si>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</si>
  <si>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</si>
  <si>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</si>
  <si>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</si>
  <si>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 xml:space="preserve">20
</t>
  </si>
  <si>
    <t>Desarrollo de la estrategia de comunicaciones</t>
  </si>
  <si>
    <t>Planificación institucional en la divulgación de los programas y proyectos</t>
  </si>
  <si>
    <t xml:space="preserve">Operatividad de la estrategica de comunicaciones </t>
  </si>
  <si>
    <t xml:space="preserve">Recurso Ordinario 
</t>
  </si>
  <si>
    <t>JOSE JOAQUIN RINCON PASTRANA</t>
  </si>
  <si>
    <t>SECRETARIO DE DESPACHO</t>
  </si>
  <si>
    <t>Edad Económicamente 
Activa (20-59 años)</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</si>
  <si>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</si>
  <si>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</si>
  <si>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</si>
  <si>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</si>
  <si>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</si>
  <si>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</si>
  <si>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</si>
  <si>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</si>
  <si>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</si>
  <si>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</si>
  <si>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</si>
  <si>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Secretario de Educación Departamental</t>
  </si>
  <si>
    <t>Superávit Monopolio</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</si>
  <si>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</si>
  <si>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</si>
  <si>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</si>
  <si>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</si>
  <si>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</si>
  <si>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 Rendimientos Financieros -Educación PAE -</t>
  </si>
  <si>
    <t>Superavit Programa de Alimentación EScolar PAE</t>
  </si>
  <si>
    <t>Cofinanciación Convenios Interadm.-otors</t>
  </si>
  <si>
    <t>Personal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</si>
  <si>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</si>
  <si>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</si>
  <si>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</si>
  <si>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</si>
  <si>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</si>
  <si>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</si>
  <si>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</si>
  <si>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</si>
  <si>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</si>
  <si>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</si>
  <si>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</si>
  <si>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</si>
  <si>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</si>
  <si>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</si>
  <si>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</si>
  <si>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</si>
  <si>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</si>
  <si>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</si>
  <si>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</si>
  <si>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</si>
  <si>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</si>
  <si>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</si>
  <si>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</si>
  <si>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</si>
  <si>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</si>
  <si>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</si>
  <si>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</si>
  <si>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SGP</t>
  </si>
  <si>
    <t>Diseñar e implementar un plan para la caracterización y atención de la población en condiciones especiales y excepcionales del departa</t>
  </si>
  <si>
    <t>Personal de apoyo idoneos para la atencion de la poblacion con NNE y talentos Excepcionales.</t>
  </si>
  <si>
    <t>SGP Educacion</t>
  </si>
  <si>
    <t xml:space="preserve">Adquisición de materiales pedagogicos, didacticos, tecnicos y tecnologicos accesibles para promover una educación pertinente y de calidad para estudiantes con discapacidad </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</si>
  <si>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</si>
  <si>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</si>
  <si>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 xml:space="preserve">1401 - 5 -  1402 - 5 -  1403 - 5 -
1402 - 5 - 3 1 3 5 18 1 1 1 1 6 - 26
1402 - 5 - 3 1 3 5 18 1 2 4 1 1 - 26
1402 - 5 - 3 1 3 5 18 1 2 4 1 2 - 146
1403 - 5 - 3 1 3 5 18 1 1 1 1 6 - 26
1403 - 5 - 3 1 3 5 18 1 2 4 1 1 - 26
1402 - 5 - 3 1 3 5 18 1 2 3 1 - 09
1404 - 5 - 3 1 3 5 16 1 84 - 137
1404 - 5 - 3 1 3 6 20 1 90 - 21
0314 - 5 - 3 1 3 5 18 1 87 - 88
</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</si>
  <si>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</si>
  <si>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</si>
  <si>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</si>
  <si>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</si>
  <si>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</si>
  <si>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SGP Educacion (Aportes patronales)</t>
  </si>
  <si>
    <t>Superávit SGP Educación </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</si>
  <si>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</si>
  <si>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</si>
  <si>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</si>
  <si>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</si>
  <si>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</si>
  <si>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</si>
  <si>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</si>
  <si>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</si>
  <si>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</si>
  <si>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</si>
  <si>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</si>
  <si>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</si>
  <si>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Número de docentes capacitados</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</si>
  <si>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</si>
  <si>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</si>
  <si>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</si>
  <si>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</si>
  <si>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</si>
  <si>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</si>
  <si>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</si>
  <si>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</si>
  <si>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</si>
  <si>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</si>
  <si>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</si>
  <si>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</si>
  <si>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</si>
  <si>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</si>
  <si>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</si>
  <si>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</si>
  <si>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</si>
  <si>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</si>
  <si>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</si>
  <si>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</si>
  <si>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</si>
  <si>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</si>
  <si>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</si>
  <si>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</si>
  <si>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</si>
  <si>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</si>
  <si>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</si>
  <si>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</si>
  <si>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</si>
  <si>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</si>
  <si>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</si>
  <si>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</si>
  <si>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</si>
  <si>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</si>
  <si>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</si>
  <si>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</si>
  <si>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</si>
  <si>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</si>
  <si>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</si>
  <si>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</si>
  <si>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</si>
  <si>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</si>
  <si>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</si>
  <si>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</si>
  <si>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</si>
  <si>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</si>
  <si>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</si>
  <si>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</si>
  <si>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Dotación de implementos de mitigación, prevencion y atención del riesgo para el fortalecimiento del Plan Escolar de Gestión del Riesgo (PEGER)</t>
  </si>
  <si>
    <t>0314 - 5 - 3 1 3 6 20 1 90 - 20</t>
  </si>
  <si>
    <t>Clasificación de residuos peligrosos en instituciones educativas</t>
  </si>
  <si>
    <t>Realizar ocho (8) eventos académicos, investigativos y culturales</t>
  </si>
  <si>
    <t>Número de eventos realizados</t>
  </si>
  <si>
    <t>0314 - 5 - 3 1 3 6 20 1 90 - 88</t>
  </si>
  <si>
    <t>Encuentro Cultural de Étnoeducación</t>
  </si>
  <si>
    <t>1404 - 5 - 3 1 3 6 20 1 90 - 21</t>
  </si>
  <si>
    <t>Feria Concetar TIC</t>
  </si>
  <si>
    <t>1404 - 5 - 3 1 3 6 20 1 90 - 25</t>
  </si>
  <si>
    <t xml:space="preserve">Festival de Literatura y Escritura
</t>
  </si>
  <si>
    <t xml:space="preserve">Implementar el  programa de  jornada única con el acceso y permanencia de veinte mil (20.000) estudiantes </t>
  </si>
  <si>
    <t>Numero de estudiantes en el programa jornada única</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</si>
  <si>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</si>
  <si>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</si>
  <si>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</si>
  <si>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</si>
  <si>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</si>
  <si>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</si>
  <si>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</si>
  <si>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 xml:space="preserve">Apoyo para formulación de proyectos de infraestructura educativa </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</si>
  <si>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</si>
  <si>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</si>
  <si>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</si>
  <si>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</si>
  <si>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 xml:space="preserve">SGP Educacion </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</si>
  <si>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</si>
  <si>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</si>
  <si>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</si>
  <si>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</si>
  <si>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</si>
  <si>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</si>
  <si>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</si>
  <si>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</si>
  <si>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</si>
  <si>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</si>
  <si>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</si>
  <si>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</si>
  <si>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 xml:space="preserve">Dotar ciento cuarenta (140) sedes educativas con la colección semilla </t>
  </si>
  <si>
    <t xml:space="preserve"> Dotar sedes educativas del Departamento del Quindío con la colección semilla</t>
  </si>
  <si>
    <t>Adquisiciíon Colección Semilla</t>
  </si>
  <si>
    <t>Número de sedes educativas dotadas</t>
  </si>
  <si>
    <t>0314 - 5 - 3 1 3 6 21 1 91 - 20</t>
  </si>
  <si>
    <t>Apoyar los  procesos de capacitación  de quinientos (500) docentes del departamento</t>
  </si>
  <si>
    <t>Número de docentes apoyados</t>
  </si>
  <si>
    <t>0314 - 5 - 3 1 3 6 21 1 91 - 88</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</si>
  <si>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</si>
  <si>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</si>
  <si>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</si>
  <si>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</si>
  <si>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</si>
  <si>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</si>
  <si>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</si>
  <si>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</si>
  <si>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</si>
  <si>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</si>
  <si>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</si>
  <si>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</si>
  <si>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</si>
  <si>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</si>
  <si>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</si>
  <si>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</si>
  <si>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0314 - 5 - 3 1 3 6 22 1 93 - 20</t>
  </si>
  <si>
    <t>0314 - 5 - 3 1 3 6 22 1 93 - 88</t>
  </si>
  <si>
    <t>Acompañamiento y seguimiento en las acciones de mejora en aspectos contables financieros y presupuestales de las IE del departamento del Quindio</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</si>
  <si>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</si>
  <si>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</si>
  <si>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</si>
  <si>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</si>
  <si>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</si>
  <si>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</si>
  <si>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</si>
  <si>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</si>
  <si>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</si>
  <si>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</si>
  <si>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</si>
  <si>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</si>
  <si>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</si>
  <si>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</si>
  <si>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</si>
  <si>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</si>
  <si>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</si>
  <si>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</si>
  <si>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</si>
  <si>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</si>
  <si>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</si>
  <si>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</si>
  <si>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</si>
  <si>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</si>
  <si>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</si>
  <si>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</si>
  <si>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</si>
  <si>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</si>
  <si>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</si>
  <si>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</si>
  <si>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</si>
  <si>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</si>
  <si>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Fortalecer cincuenta (50)   instituciones educativas en competencias básicas</t>
  </si>
  <si>
    <t>Número de instituciones educativas fortalecidas</t>
  </si>
  <si>
    <t xml:space="preserve">0314 - 5 - 3 1 3 7 24 1 95 - 20
0314 - 5 - 3 1 3 7 24 1 95 - 88_x000D_
</t>
  </si>
  <si>
    <t>Capacitación y Logistica, Talleres de Referentes, Planeación Curricular, Evaluación de los Aprendizajes</t>
  </si>
  <si>
    <t>superavit ordinario</t>
  </si>
  <si>
    <t>Fortalecer cuarenta y siete (47) instituciones educativas con el programa de articulación con la educación superior y Educacion para el Trabajo y Desarrollo  Humano ETDH</t>
  </si>
  <si>
    <t>Atención estudiantes de educación media de las Instituciones Educativas Oficiales del Departamento, en programas de nivel técnico  profesional</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</si>
  <si>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</si>
  <si>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</si>
  <si>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</si>
  <si>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</si>
  <si>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</si>
  <si>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 xml:space="preserve">0314 - 5 - 3 1 3 7 24 1 122 - 20_x000D_
0314 - 5 - 3 1 3 7 24 1 122 - 35_x000D_
0314 - 5 - 3 1 3 7 24 1 122 - 88
</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</si>
  <si>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</si>
  <si>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</si>
  <si>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</si>
  <si>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</si>
  <si>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 xml:space="preserve">Recurso Ordinadio
</t>
  </si>
  <si>
    <t>Aportes ente territorial para la infraestructura en educación superior</t>
  </si>
  <si>
    <t>Pago cuota compraventa bien inmueble Institucion Educativa San Jose de Circasia ordenanzas 035 de 2010,047 de 2010 y 020 de 2011</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</si>
  <si>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</si>
  <si>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</si>
  <si>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</si>
  <si>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</si>
  <si>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</si>
  <si>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</si>
  <si>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</si>
  <si>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</si>
  <si>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</si>
  <si>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</si>
  <si>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</si>
  <si>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</si>
  <si>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</si>
  <si>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</si>
  <si>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</si>
  <si>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</si>
  <si>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Número de sedes educativas implementadas y/o mejoradas</t>
  </si>
  <si>
    <t xml:space="preserve">0314 - 5 - 3 1 3 8 26 1 97 - 20_x000D_
0314 - 5 - 3 1 3 8 26 1 97 - 88_x000D_
1404 - 5 - 3 1 3 8 26 1 97 - 25_x000D_
</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</si>
  <si>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</si>
  <si>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</si>
  <si>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</si>
  <si>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</si>
  <si>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</si>
  <si>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</si>
  <si>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</si>
  <si>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</si>
  <si>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</si>
  <si>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</si>
  <si>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</si>
  <si>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</si>
  <si>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</si>
  <si>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</si>
  <si>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</si>
  <si>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</si>
  <si>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</si>
  <si>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</si>
  <si>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</si>
  <si>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</si>
  <si>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</si>
  <si>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</si>
  <si>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</si>
  <si>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</si>
  <si>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</si>
  <si>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</si>
  <si>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</si>
  <si>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</si>
  <si>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</si>
  <si>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</si>
  <si>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</si>
  <si>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</si>
  <si>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</si>
  <si>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</si>
  <si>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</si>
  <si>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</si>
  <si>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</si>
  <si>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Apoyo para el programa de educación inicial en las instiuciones educativas oficiales del Departamento</t>
  </si>
  <si>
    <t>FRANCISICO JAVIER LOPEZ SEPULVEDA</t>
  </si>
  <si>
    <t>SECRETARIO DE EDUCACION DEPARTAMENTAL</t>
  </si>
  <si>
    <t xml:space="preserve">PLAN DE DESARROLLO DEPARTAMENTAL  SECRETARIA DE FAMILIA </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</si>
  <si>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</si>
  <si>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</si>
  <si>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</si>
  <si>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</si>
  <si>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</si>
  <si>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atenciòn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</si>
  <si>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</si>
  <si>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 xml:space="preserve">Incrementar los indices de apoyo y acompañamiento en el desarrollo infantil en  ambientes familiares y grupales,  alimentación adecuada y seguimiento al desarrollo.
</t>
  </si>
  <si>
    <t>Implementar un programa de atencion integral a menores de 5 años y madres gestantes en entornos familiares</t>
  </si>
  <si>
    <t xml:space="preserve">
 SECRETARIA DE FAMILIA</t>
  </si>
  <si>
    <t>Realizar talleres de sensibilización en entorno Institucional a la primera infancia</t>
  </si>
  <si>
    <t>Apoyo en la realizacion de actividades y seguimiento del modelo intersectorial de atencion integral a los municipios del departamento</t>
  </si>
  <si>
    <t>Realizar seguimiento a las acciones que garanticen la atencion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</si>
  <si>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</si>
  <si>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</si>
  <si>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</si>
  <si>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</si>
  <si>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Cordoba, Salento, Montenegro, Genova, Calarcá y Filandia.</t>
  </si>
  <si>
    <t xml:space="preserve">Apoyar la socialización de las rutas integrales de atención, en marco de los comites y consejos que así lo requieran, del orden Departamental y municipal. </t>
  </si>
  <si>
    <t>Apoyo en el seguimiento de la Implemantación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</si>
  <si>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</si>
  <si>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</si>
  <si>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</si>
  <si>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</si>
  <si>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</si>
  <si>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</si>
  <si>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politica pública  de la familia en el departamento del Quindio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</si>
  <si>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</si>
  <si>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</si>
  <si>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</si>
  <si>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</si>
  <si>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</si>
  <si>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</si>
  <si>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</si>
  <si>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</si>
  <si>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promocion </t>
  </si>
  <si>
    <t>Refrigerios, logistica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</si>
  <si>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</si>
  <si>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</si>
  <si>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</si>
  <si>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</si>
  <si>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0316 - 5 - 3 1 3 17 59 14 109 - 20</t>
  </si>
  <si>
    <t>201663000-0109</t>
  </si>
  <si>
    <t>Implementación de la  política de primera infancia, infancia y adolescencia en el Departamento del Quindio</t>
  </si>
  <si>
    <t xml:space="preserve">Implementar la política pública que garantice los derechos de los niños, niñas y adolescentes del depto del Quindío. </t>
  </si>
  <si>
    <t>Eficiencia en la articulacion Interinstitucional que garantice un seguimiento efectivo del cumplimiento dfel plan de accion de la politica publica de infancia y adolescencia</t>
  </si>
  <si>
    <t>Apoyar con el seguimiento al Plan de Acción de la Politica Publica  de primera infancia, infancia y adolescencia del departamento</t>
  </si>
  <si>
    <t>Apoyo al Comite de  Primera Infancia, Infancia y Adolescencia y al Consejo de Politica Social</t>
  </si>
  <si>
    <t>Apoyo a programas que conlleven a la  implementación de la Politica publica de primera infancia, infancia y adolescencia en el Departamento del Quindio</t>
  </si>
  <si>
    <t>Apoyo en la revisión juridica en los temas relacionados con la implementacion de la politica publica de primera infancia, infancia y adolescencia del departamento</t>
  </si>
  <si>
    <t>Brindar asistencia tecnica a los municipios del departamento, que así lo requieran en temas relacionados con el seguimiento e implementación de la politica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</si>
  <si>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</si>
  <si>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Logistica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</si>
  <si>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</si>
  <si>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</si>
  <si>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vulneracion de los derechos de niños, niñas y adolescentes (maltrato, abuso,abandono, explotación sexual) </t>
  </si>
  <si>
    <t xml:space="preserve">Apoyar la Implementación de una estrategia de prevencion de embarazos y segundos embarazos a temprana edad
</t>
  </si>
  <si>
    <t>Realizar jornadas pedagogicas de prevencion en las Instituciones educativas del depto</t>
  </si>
  <si>
    <t>Apoyar la articulación intersectorial, a través de mesas de trabajo en pro de la prevencion de los embarazos en adolescentes y segundos embarazos a temprana edad.</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</si>
  <si>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</si>
  <si>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</si>
  <si>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</si>
  <si>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 xml:space="preserve">Apoyar la implementación de una  estrategia  de prevención y atención de la erradicación del abuso, explotación sexual comercial, trabajo infantil y peores formas de trabajo, y actividades delictivas
</t>
  </si>
  <si>
    <t>Apoyar la implementación del Plan integral de prevención y erradicación del trabajo infantil "PIPETI", las peores formas de trabajo y apoyar al CIETI</t>
  </si>
  <si>
    <t>Brindar asistencia tecnica y Apoyo a las la difernetes iniciativas  en los doce municipios orientados a la prevención de la vulneracion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</si>
  <si>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</si>
  <si>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</si>
  <si>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</si>
  <si>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</si>
  <si>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</si>
  <si>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Quindio</t>
  </si>
  <si>
    <t>Desarrollar procesos efectivos de atención, generación de impacto, oferta pública y garantía de derechos.</t>
  </si>
  <si>
    <t xml:space="preserve">Alta articulación entre los entes gubernamentales y privados para realizar el seguimiento de la matriz de planificación de la política publica de juventud del depto
</t>
  </si>
  <si>
    <t xml:space="preserve">Apoyo y seguimiento a los indicadores de cumplimiento del plan de accion de la politica publica de juventud </t>
  </si>
  <si>
    <t>fortalecer los proyectos productivos de organizaciones juveniles legalmente constituidas</t>
  </si>
  <si>
    <t xml:space="preserve">Capacitaciones, socialización y conformación de espacios de participación juvenil </t>
  </si>
  <si>
    <t>Desarrollo de acciones dispuestas a la implementacion de la politica de juventud, en los componentes de responsabilidad de la oficina de juventud</t>
  </si>
  <si>
    <t>ADQUISICION DE BIENES Y SERVICIOS: Logistica operativa,  refrigerios, sonido, ferreteria,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</si>
  <si>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</si>
  <si>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</si>
  <si>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</si>
  <si>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</si>
  <si>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</si>
  <si>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</si>
  <si>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</si>
  <si>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</si>
  <si>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de  sensibilizar  la población frente  a  los daños colaterales generados por  el consumo.</t>
  </si>
  <si>
    <t>Implementar una estrategia de prevencion del consumo de SPA en el departamento del Quindío</t>
  </si>
  <si>
    <t>Apoyar  en temas de prevención del consumo de sustancias psicoactivas, a través de talleres de sensibilización.</t>
  </si>
  <si>
    <t xml:space="preserve">Seguimiento a la implementación de la estrategia de prevencion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</si>
  <si>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</si>
  <si>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</si>
  <si>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</si>
  <si>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</si>
  <si>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</si>
  <si>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Quindio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</si>
  <si>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</si>
  <si>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</si>
  <si>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</si>
  <si>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 xml:space="preserve">Apoyar la Implementación de programas para la creación de empresas </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</si>
  <si>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</si>
  <si>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</si>
  <si>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</si>
  <si>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</si>
  <si>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</si>
  <si>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</si>
  <si>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</si>
  <si>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</si>
  <si>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evaluacion de los planes de accion de los municipios y depto de la Politica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</si>
  <si>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</si>
  <si>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</si>
  <si>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</si>
  <si>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untérpretes de lengua de señas en servicios de urgencia y de información pública.</t>
  </si>
  <si>
    <t>Conformación y fortalecimiento a las redes de apoyo de la estrategia RBC</t>
  </si>
  <si>
    <t>Eventos de participacion e integración de la poblacion con discapacidad</t>
  </si>
  <si>
    <t xml:space="preserve">LOGISTICA OPERATIVA: Rrefrigerios, sonido, logistica en genreal, elementos y/o materia prima </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</si>
  <si>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</si>
  <si>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</si>
  <si>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</si>
  <si>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</si>
  <si>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</si>
  <si>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</si>
  <si>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vulnerabiliada extrema  en el Departamento del Quindio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</si>
  <si>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</si>
  <si>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</si>
  <si>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</si>
  <si>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SECRETARIA DE FAMILIA
 SECRETARIA DE FAMILIA</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</si>
  <si>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</si>
  <si>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</si>
  <si>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</si>
  <si>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</si>
  <si>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</si>
  <si>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Implementacion de la estrategia de atención de la poblacion en situacion de vulnerabilidad del departamento</t>
  </si>
  <si>
    <t>Brindar apoyo a la Secretaría de Familia en las diferentes jornadas, actividades o acciones  realizadas  con  población vulnerable del departameno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</si>
  <si>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</si>
  <si>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</si>
  <si>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polbacion vulnerable</t>
  </si>
  <si>
    <t>Apoyar  con  programas específicos, dirigido  a grupos  que viven en entornos de alto riesgo: Extrema pobreza, desarraigo social,  drogadicción, delincuencia, prostitución, o pertenecen a familias    multiproblemáticas  y de alto riesgo social</t>
  </si>
  <si>
    <t xml:space="preserve">Realizar estrategias orientadas a población en estado de vulnerabilidad que permitan garantizar espacios de bienestar, cohesión social; que dignifiquen sus condiciones de vida </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</si>
  <si>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</si>
  <si>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implementacion de estretegias, programas o proyectos que conlleven al bienestar de las familias, los niños y niñas, jóvenes y mujeres del departamento del Quindio en situacion de vulnerabilidad </t>
  </si>
  <si>
    <t xml:space="preserve">Implementar con la comunidad  de los sectores de mayor vulnerabilidad programas, proyectos y / o estrategias de prevencion al consumo de drogas </t>
  </si>
  <si>
    <t>Logistica operativa, refrigerios, sonido, ferretería</t>
  </si>
  <si>
    <t xml:space="preserve">Campañas  de difusion, socialziacion  y participación  ciudadana para la prevencion del  riesgo social en el depto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</si>
  <si>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</si>
  <si>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</si>
  <si>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</si>
  <si>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</si>
  <si>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repatración en el Departamento del Quindio.</t>
  </si>
  <si>
    <t>IImplementar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</si>
  <si>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</si>
  <si>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garantia de derechos de la población migrante del Departamento</t>
  </si>
  <si>
    <t xml:space="preserve">Asistencias tecnicas  personales y grupales para la creación de rutas de atención al ciudadano migrante </t>
  </si>
  <si>
    <t>Capacitación secretarias sectoriales en cuanto la atención al ciudadano migrante</t>
  </si>
  <si>
    <t xml:space="preserve"> Apoyar el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</si>
  <si>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</si>
  <si>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</si>
  <si>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</si>
  <si>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</si>
  <si>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201663000-0121</t>
  </si>
  <si>
    <t>Fortalecimiento resguardo  indígena DACHI AGORE DRUA del municipio de Calarcá del Departamento del Quindío.</t>
  </si>
  <si>
    <t>Garantizar el apoyo y fortalecimiento del plan de vida del Resguardo Dachi Agore Drua del municipio de Calarcá en el Departamento del Quindío.</t>
  </si>
  <si>
    <t xml:space="preserve">Altos indices de seguridad alimentaria,
emprendimiento, cultura, educación, género, familia, identidad, gobernabilidad, salud y justicia propia 
</t>
  </si>
  <si>
    <t>Asistencia Social: Procesos de apoyo, gestión, asesoria y acompañamiento al Resguardo Dachi Agore Drua del Departamento para garantizar los derechos fundamentales y Especiales.</t>
  </si>
  <si>
    <t>31/12/0219</t>
  </si>
  <si>
    <t xml:space="preserve">Apoyo, acompañamiento y fortalecimiento en cuanto procesos de seguridad alimentaria, saneamiento basico, educación, salud, justicia, gobernabilidad y territorio </t>
  </si>
  <si>
    <t>Apoyar con unidades productivas al plan de vida del Resguardo Indigena</t>
  </si>
  <si>
    <t>Compra de herramientas, materiales, insumos, etc.para beneficiar a la poblacion indigena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</si>
  <si>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</si>
  <si>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</si>
  <si>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</si>
  <si>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</si>
  <si>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 xml:space="preserve">Apoyo  a la elaboración y puesta marcha de Planes de Vida  de los cabildos indigenas en el departamento del Quindio  </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</si>
  <si>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</si>
  <si>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</si>
  <si>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indigenas asentadas en el Departamento del Quindío</t>
  </si>
  <si>
    <t>Articulación institucional para la atención diferencial de los indígenas del depto</t>
  </si>
  <si>
    <t>Adqusicion de bienes y servicios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</si>
  <si>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</si>
  <si>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</si>
  <si>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</si>
  <si>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</si>
  <si>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</si>
  <si>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 xml:space="preserve">Implementación de un  programa de atención integral a la población  afrodescendiente en el Departamento del Quindio </t>
  </si>
  <si>
    <t>Garantizar la protección de derechos y la atención integral con enfoque diferencial de las comunidades afrodescendientes asentadas en el
Departamento del Quindío.</t>
  </si>
  <si>
    <t>Implementar un programa articulado interinstitucional para la atencion integral con enfoque disferencial a la poblacion afro del departamento</t>
  </si>
  <si>
    <t>Capacitaciones dirigidas a comunidades Afros del Departamento</t>
  </si>
  <si>
    <t xml:space="preserve">Apoyo, acompañamiento y fortalecimiento en cuanto procesos de seguridad alimentaria, saneamiento basico, educación, salud y vivienda  </t>
  </si>
  <si>
    <t xml:space="preserve">Alto interes en apoyar y fortalecer la formulación de planes de etnodesarrollo en los municipios con presencia de comunidades afrodescendientes 
</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</si>
  <si>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</si>
  <si>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</si>
  <si>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</si>
  <si>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</si>
  <si>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 xml:space="preserve">0316 - 5 - 3 1 3 18 65 14 125 - 20
</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</si>
  <si>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</si>
  <si>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</si>
  <si>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</si>
  <si>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</si>
  <si>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</si>
  <si>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Desarrollo de campañas talleres y proyectos relacionados con la promocion de derechos de poblacion LGTBI</t>
  </si>
  <si>
    <t>Altos espacios de atención, formación y reflexión, orientados al fortalecimiento de los entornos  sociales y educativos respecto a las personas con diversidad sexual</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</si>
  <si>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</si>
  <si>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</si>
  <si>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</si>
  <si>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</si>
  <si>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</si>
  <si>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201663000-0128</t>
  </si>
  <si>
    <t>Implementaciòn de la polìtica pùblica de equidad de género para la mujer en el Departamento del Quindìo</t>
  </si>
  <si>
    <t xml:space="preserve">Implementacion de programas y proyectos institucionalespara el acceso a las oportunidades Economicas sociales y culturales de mujeres en el departamento del Quindio 
</t>
  </si>
  <si>
    <t>Apropiación jurídica  por parte de la población e institucionalidad sobre las rutas de atención existentes</t>
  </si>
  <si>
    <t xml:space="preserve">Seguimiento al cumplimiento de los planes de acción de la Politica Publica de  Equidad de Género para la mujer
</t>
  </si>
  <si>
    <t>Apoyo en la consolidacion de espacios de participacion a traves de la socializacion de la normatividad existente</t>
  </si>
  <si>
    <t xml:space="preserve">Capacitacion  y concientización  para lograr la igualdad de género y empoderar a las mujeres 
</t>
  </si>
  <si>
    <t>0316 - 5 - 3 1 3 19 67 14 128 - 20</t>
  </si>
  <si>
    <t>Mejorar la articulación frente a la implementación de las políticas públicas de equidad y género</t>
  </si>
  <si>
    <t>Fortalecimiento y/o apoyo a unidades productivas y/o proyectos de emprendemiento de mujeres</t>
  </si>
  <si>
    <t xml:space="preserve">Desarrollo de actividades de impacto para la promocion de derechos y movilizacion social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</si>
  <si>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</si>
  <si>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</si>
  <si>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</si>
  <si>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</si>
  <si>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</si>
  <si>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</si>
  <si>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Quindio </t>
  </si>
  <si>
    <t>Altos índices de atención a los adultos mayores en el departamento del Quindío.</t>
  </si>
  <si>
    <t xml:space="preserve">                                                                                    Apoyar la elaboración ,seguimiento y evaluacion de los planes de accion de los municipios y depto de la Politica Publica de envejecimiento y vejez
                                                                                                                                                                                                                                  </t>
  </si>
  <si>
    <t>Apoyo  al  seguimiento de  la  ejecución presupuestal  de los recursos destinados   a la  política pública de Envejecimiento y vejez</t>
  </si>
  <si>
    <t xml:space="preserve">Apoyar el seguimiento y evaluacion de los planes de accion de los municipios y depto de la Politica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</si>
  <si>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</si>
  <si>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</si>
  <si>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</si>
  <si>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logistica, refrigerios</t>
  </si>
  <si>
    <t>Apoyo a  eventos programados por la Secretaría dia de la celebracion de las personas de la tercera edad y el pensionado</t>
  </si>
  <si>
    <t>Crear el cabildo de adulto mayor del Departamento y apoyar la creación en once municipios del Quindío</t>
  </si>
  <si>
    <t>Número de Cabildos de Adulto Mayor creados.</t>
  </si>
  <si>
    <t>0316 - 5 - 3 1 3 19 67 14 129 - 20</t>
  </si>
  <si>
    <t xml:space="preserve">
Apoyar con actividades para la  creacion del cabildo de adulto mayoren en 6 municipios del Quindio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</si>
  <si>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</si>
  <si>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</si>
  <si>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</si>
  <si>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</si>
  <si>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Binestar del Adulto Mayor (CBA)</t>
  </si>
  <si>
    <t>Estampilla adulto mayor</t>
  </si>
  <si>
    <t>Superavit Adulto mayor</t>
  </si>
  <si>
    <t xml:space="preserve">Apoyar 14 Centros Vida del Departamento </t>
  </si>
  <si>
    <t>Centros vida apoyados</t>
  </si>
  <si>
    <t>CENTROS VIDA (DV)</t>
  </si>
  <si>
    <t>MARIA DEL CARMEN AGUIRRE BOTERO</t>
  </si>
  <si>
    <t>SECRETARIA DE FAMILIA</t>
  </si>
  <si>
    <t xml:space="preserve">PROYECTO Y ELABORO: </t>
  </si>
  <si>
    <t>E</t>
  </si>
  <si>
    <t>Establecer y socializar veinte (20)  políticas desde la cultura de la legalidad y  la prevención de daño antijurídico en  el Departamento.</t>
  </si>
  <si>
    <t>Número muncipios con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</si>
  <si>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</si>
  <si>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</si>
  <si>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</si>
  <si>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</si>
  <si>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</si>
  <si>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</si>
  <si>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Secretario de Representación Judicial y Defensa del Departamento</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</si>
  <si>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</si>
  <si>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</si>
  <si>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</si>
  <si>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</si>
  <si>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</si>
  <si>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0324 - 5 - 3 1 5 28 89 17 1 - 20</t>
  </si>
  <si>
    <t>DIRECCIÓN DE TIC´S</t>
  </si>
  <si>
    <t>Compra o adquisición de Sofware</t>
  </si>
  <si>
    <t>Fortalecer el programa de  infraestructura tecnológica de la  Administración Departamental (hadware, aplicativos, redes, y capacitación)</t>
  </si>
  <si>
    <t>Programa de infraestructura tecnologica de la administracion fortalecido</t>
  </si>
  <si>
    <t xml:space="preserve">0324 - 5 - 3 1 5 28 89 17 3 - 20 
0324 - 5 - 3 1 5 28 89 17 3 - 88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</si>
  <si>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</si>
  <si>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</si>
  <si>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</si>
  <si>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</si>
  <si>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Dirección  TIC´S</t>
  </si>
  <si>
    <t>Compra o adquisicion de sotfware</t>
  </si>
  <si>
    <t>Incrementar la  renovación de las herramientas tecnológicas a través de outsourcing para ampliar el numero de equipos de ultima tecnología logrando una mejor atención a los usuarios</t>
  </si>
  <si>
    <t>Soporte aplicativos</t>
  </si>
  <si>
    <t>0324 - 5 - 3 1 5 28 89 17 4 - 20
0324 - 5 - 3 1 2 28 89 17 4 - 88</t>
  </si>
  <si>
    <t>JAIME ALBERTO LLANO CHAPARRO</t>
  </si>
  <si>
    <t xml:space="preserve">Secretario de Tecnologías de la Información y las Comunicaciones </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</si>
  <si>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</si>
  <si>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</si>
  <si>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</si>
  <si>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</si>
  <si>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</si>
  <si>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</si>
  <si>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</si>
  <si>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</si>
  <si>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</si>
  <si>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</si>
  <si>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</si>
  <si>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GERENTE GENERAL INDEPORTES</t>
  </si>
  <si>
    <t>REC. DEL BALANCE - MONOPOLIO</t>
  </si>
  <si>
    <t>2234468202-9</t>
  </si>
  <si>
    <t>RENDIMIENTOS FINANCIEROS</t>
  </si>
  <si>
    <t>IPOCONSUMO</t>
  </si>
  <si>
    <t>2234468202-3</t>
  </si>
  <si>
    <t>REC. DEL BALANCE - IPOCONSUMO</t>
  </si>
  <si>
    <t>2234468202_4</t>
  </si>
  <si>
    <t>Realizar acompañamiento y asesorìa a las ligas y clubes del departamento  (Componente tecnico)</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</si>
  <si>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</si>
  <si>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</si>
  <si>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</si>
  <si>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</si>
  <si>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</si>
  <si>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</si>
  <si>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Apoyar 13 ligas de los eventos deportivos de carácter federado nacional y departamental</t>
  </si>
  <si>
    <t>Ligas apoyadas en eventos departamental y nacionales .</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</si>
  <si>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</si>
  <si>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</si>
  <si>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</si>
  <si>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</si>
  <si>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</si>
  <si>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</si>
  <si>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</si>
  <si>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</si>
  <si>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</si>
  <si>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</si>
  <si>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</si>
  <si>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</si>
  <si>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2234470205-4</t>
  </si>
  <si>
    <t>2234470205-7</t>
  </si>
  <si>
    <t>COLDEPORTES</t>
  </si>
  <si>
    <t>2234470205-13</t>
  </si>
  <si>
    <t>SUPERAVIT</t>
  </si>
  <si>
    <t>2234470205-15</t>
  </si>
  <si>
    <t>REC. DEL BALANCE - REND, FROS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</si>
  <si>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</si>
  <si>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</si>
  <si>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</si>
  <si>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</si>
  <si>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</si>
  <si>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</si>
  <si>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</si>
  <si>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</si>
  <si>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</si>
  <si>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2234471206_13</t>
  </si>
  <si>
    <t>Desarrollar  1 eventos de deporte social y comunitario.</t>
  </si>
  <si>
    <t>Eventos deportivos social y comunitarios desarrollar</t>
  </si>
  <si>
    <t>2234471207_12</t>
  </si>
  <si>
    <t>Realizacion de eventos deportivos en el departamento (Adquisición de Bienes y Servicios)</t>
  </si>
  <si>
    <t>2234471207_13</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</si>
  <si>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</si>
  <si>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</si>
  <si>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</si>
  <si>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</si>
  <si>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</si>
  <si>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</si>
  <si>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</si>
  <si>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</si>
  <si>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</si>
  <si>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</si>
  <si>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</si>
  <si>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</si>
  <si>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</si>
  <si>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</si>
  <si>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</si>
  <si>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2234572209_7</t>
  </si>
  <si>
    <t>SUPERÁVIT IMPUESTO AL CONSUMO 3%</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</si>
  <si>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</si>
  <si>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</si>
  <si>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</si>
  <si>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</si>
  <si>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</si>
  <si>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</si>
  <si>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</si>
  <si>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</si>
  <si>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</si>
  <si>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</si>
  <si>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2234572211_7</t>
  </si>
  <si>
    <t>2234572211_6</t>
  </si>
  <si>
    <t>REC. BALANCE -REINTEGROS</t>
  </si>
  <si>
    <t>2234572211_13</t>
  </si>
  <si>
    <t>REC. DEL BALANCE SUPERAVIT DEPTO</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</si>
  <si>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</si>
  <si>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</si>
  <si>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</si>
  <si>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</si>
  <si>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</si>
  <si>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</si>
  <si>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</si>
  <si>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</si>
  <si>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</si>
  <si>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2234573212_4</t>
  </si>
  <si>
    <t>REC. BALANCE I.C.LD.</t>
  </si>
  <si>
    <t>2234573212_7</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</si>
  <si>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</si>
  <si>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</si>
  <si>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</si>
  <si>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</si>
  <si>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</si>
  <si>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</si>
  <si>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</si>
  <si>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</si>
  <si>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</si>
  <si>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TELEFONIA MOVIL</t>
  </si>
  <si>
    <t>22346741_3</t>
  </si>
  <si>
    <t>SUPERAVIT IPO CONSUMO</t>
  </si>
  <si>
    <t>22346741_13</t>
  </si>
  <si>
    <t xml:space="preserve">SUPERAVIT </t>
  </si>
  <si>
    <t>NOTA: Según circular externa 0001 del 05 de junio del 2018, para las vigencias 2019 y siguientes, el Departamento administrativo del deporte, la recreacion, la actividad fisica y el aprovechamiento del tiempo libre- COLDEPORTES emitira resolucion determinando la destinacion, distribucion y lineamientos para la ejecucion de los recursos, por consiguiente el proyecto 213- Apoyo a proyectos deportivos, recreativos y de actividad fisica, en el Departamento del Quindìo no se cumplira.</t>
  </si>
  <si>
    <t xml:space="preserve">OLGA LUCIA FERNANDEZ CARDENAS
GERENTE GENERAL INDEPORTES
</t>
  </si>
  <si>
    <t xml:space="preserve">Reviso: Sandra Yelitza Castelblanco Celis.
Proyecto: Orfa Maria Ruiz Agudelo 
Elaboro: Juan David Gomez Gomez 
</t>
  </si>
  <si>
    <t>POBLACION</t>
  </si>
  <si>
    <t>ESTRATEGIA</t>
  </si>
  <si>
    <t>PROGRAMA</t>
  </si>
  <si>
    <t>SUBPROGRAMA</t>
  </si>
  <si>
    <t>META PRODUCTO PLAN DE DESARROLLO</t>
  </si>
  <si>
    <t>NO</t>
  </si>
  <si>
    <t>VALOR EN PESOS</t>
  </si>
  <si>
    <t>Infraestructura Sostenible para la Paz</t>
  </si>
  <si>
    <t>Mejora de la Infraestructura Vial del Departamento del Quindío</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</si>
  <si>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</si>
  <si>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</si>
  <si>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</si>
  <si>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</si>
  <si>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</si>
  <si>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</si>
  <si>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</si>
  <si>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 xml:space="preserve">
Gerente General</t>
  </si>
  <si>
    <t> Superávit Impuesto al Registro Promotora 6% </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</si>
  <si>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</si>
  <si>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</si>
  <si>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</si>
  <si>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</si>
  <si>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Gerente General</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</si>
  <si>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</si>
  <si>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</si>
  <si>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</si>
  <si>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</si>
  <si>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53</t>
  </si>
  <si>
    <t>129</t>
  </si>
  <si>
    <t xml:space="preserve">Superávit Impuesto al Registro Promotora 6% </t>
  </si>
  <si>
    <t>Mejoramiento y/o construcción de vivienda urbana y rural.</t>
  </si>
  <si>
    <t>LEONARDO RODRIGUEZ OSPINA</t>
  </si>
  <si>
    <t>Gerente General - ProviQuindío.</t>
  </si>
  <si>
    <t>Proyectó: Diego Fernando Ramirez Restrepo</t>
  </si>
  <si>
    <t>Profesional Universitario - Contratista.</t>
  </si>
  <si>
    <t xml:space="preserve">SEGURIDAD HUMANA </t>
  </si>
  <si>
    <t>Seguridad humana como dinamizador de la vida, dignidad y libertad en el Qundío</t>
  </si>
  <si>
    <t>Fortalecimiento de la seguridad vial en el Departamentol del Quindío</t>
  </si>
  <si>
    <t>Implementar un programa para disminuir la accidentalidad en las vías del departamento</t>
  </si>
  <si>
    <t>Programa para disminuir la accidentalidad implementado</t>
  </si>
  <si>
    <t>201663000-172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</si>
  <si>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</si>
  <si>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</si>
  <si>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</si>
  <si>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orientado a disminución de la accidentalidad en las vias</t>
  </si>
  <si>
    <t>Recurso Propio Dpto</t>
  </si>
  <si>
    <t>Gloria Mercedes Buitrago Salazar, Directora</t>
  </si>
  <si>
    <t>Recurso Propio IDTQ</t>
  </si>
  <si>
    <t>Recursos del BAlance Dpto</t>
  </si>
  <si>
    <t xml:space="preserve">Formular e implementar el Plan de Seguridad Vial del Departamento </t>
  </si>
  <si>
    <t>Plan departamental de seguridad vial elaborado e implementado</t>
  </si>
  <si>
    <t>Formulación del Plan de Seguridad Vial</t>
  </si>
  <si>
    <t>Recursos propio IDTQ</t>
  </si>
  <si>
    <t xml:space="preserve">Apoyar la implementación del programa: Ciclorutas en el departamento del Quindío </t>
  </si>
  <si>
    <t>Programa: Ciclorutas en el departamento del Quindío apoyado</t>
  </si>
  <si>
    <t>Generear oportunidadesinstitucionales a través de procesos de gestion orientados a insentivar programas de movilidad sostenible en la jurisdiccion del I.D.T.Q</t>
  </si>
  <si>
    <t>Campañas de difusión y sensibilización a la población del Programa Nacional de ciclorutas</t>
  </si>
  <si>
    <t>GLORIA MERCEDES BUITRAGO SALAZAR</t>
  </si>
  <si>
    <t>Directora</t>
  </si>
  <si>
    <t>PROGRAMACION PLAN DE ACCIÓN
Secretaría de Tecnologías de la Información y las Comunicaciones 
NOVIEMBRE 30  2019</t>
  </si>
  <si>
    <t>PROGRAMACION PLAN DE ACCIÓN
SECRETARIA ADMINISTRATIVA
NOVIEMBRE 30  2019</t>
  </si>
  <si>
    <t>PROGRAMACIÓN PLAN DE ACCIÓN
SECRETARIA DE HACIENDA Y FINANZAS PUBLICAS
NOVIEMBRE 30 DE  2019</t>
  </si>
  <si>
    <t>PROGRAMACIÓN PLAN DE ACCIÓN 
SECRETARIA DE AGRICULTURA,  DESARROLLO RURAL Y MEDIO AMBIENTE
NOVIEMBRE 30  2019</t>
  </si>
  <si>
    <t>PROGRAMACIÓN  PLAN DE ACCIÓN
OFICINA PRIVADA
NOVIEMBRE 30 2019</t>
  </si>
  <si>
    <t>PROGRAMACION PLAN DE ACCIÓN
SECRETARIA DE EDUCACION
NOVIEMBRE 30  2019</t>
  </si>
  <si>
    <t>PROGRAMACIÓN PLAN DE ACCIÓN 
SECRETARIA DE FAMILIA
NOVIEMBRE 30 2019</t>
  </si>
  <si>
    <t>PROGRAMACION PLAN DE ACCIÓN
SECRETARIA DE REPRESENTACION JUDICIAL
NOVIEMBRE 30 DE  2019</t>
  </si>
  <si>
    <t>PROGRAMACIÓN PLAN DE ACCIÓN 
INDEPORTES
NOVIEMBRE 2019</t>
  </si>
  <si>
    <t xml:space="preserve">PROGRAMACION DEL PLAN DE ACCIÓN
PROMOTORA DE VIVIENDA DEL QUINDIO "PROVIQUINDIO"
NOVIEMBRE 30 DE 2019
</t>
  </si>
  <si>
    <t>PROGRAMACIÓN PLAN DE ACCIÓN 
INSTITUTO DEPARTAMETNAL DE TRANSITO  - I.D.T.Q. 
NOVIEMBRE 30 DE  2019</t>
  </si>
  <si>
    <t>0310 - 5 - 3 1 3 9 29 5 45 - 33 
0310 - 5 - 3 1 3 9 29 5 45 - 83</t>
  </si>
  <si>
    <t>0310 - 5 - 3 1 3 9 29 5 46 - 39
 0310 - 5 - 3 1 3 9 29 5 46 - 83</t>
  </si>
  <si>
    <t>0310 - 5 - 3 1 3 9 31 5 48 - 34  
0310 - 5 - 3 1 3 9 31 5 48 - 83
0310 - 5 - 3 1 3 9 31 5 48 - 159</t>
  </si>
  <si>
    <t>META FISICA PROGRAMADA
2019</t>
  </si>
  <si>
    <t>PROGRAMACIÓN PLAN DE ACCIÓN
SECRETARIA DE AGUAS E INFRAESTRUCTURA
NOVIEMBRE 2019</t>
  </si>
  <si>
    <t>PROGRAMACION PLAN DE ACCIÓN
SECRETARIA DE TURISMO, INDUSTRIA Y COMERCIO
NOVIEMBRE 30 DE  2019</t>
  </si>
  <si>
    <t>Ir/Turismo</t>
  </si>
  <si>
    <t>Edad Económicamente
Activa (20-59 años)</t>
  </si>
  <si>
    <t>SEGURIDAD HUMANA</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</si>
  <si>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</si>
  <si>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</si>
  <si>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</si>
  <si>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</si>
  <si>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</si>
  <si>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</si>
  <si>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</si>
  <si>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</si>
  <si>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</si>
  <si>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                                                                </t>
  </si>
  <si>
    <t>SECRETARIO DEL INTERIOR</t>
  </si>
  <si>
    <t>Fondo de seguridad</t>
  </si>
  <si>
    <t>Fortalecer 10 programas de prevención y superación del Sistema de responsabilidad penal para adolescentes</t>
  </si>
  <si>
    <t>Número de programas de prevención y superación fortalecidos</t>
  </si>
  <si>
    <t>Apoyo para iniciativas,actividades y/o proyectos productivos dirigidoa a población de infancia y adolescencia</t>
  </si>
  <si>
    <t>Apoyar la construcción, refacción o adecuación de  seis (6) estaciones de policía y/o guarniciones militares y/o instituciones carcelarias</t>
  </si>
  <si>
    <t>Número de estaciones de policía y/o guarniciones militares y/o instituciones carcelarias apoyadas</t>
  </si>
  <si>
    <t xml:space="preserve">Adquisición de materiales para la construcción </t>
  </si>
  <si>
    <t>Adquisición de terrenos para construcción de UBICAR (Unidad Basica de Carabineros)</t>
  </si>
  <si>
    <t xml:space="preserve">Intervención en obras menores </t>
  </si>
  <si>
    <t>Adecuación y modernización sistema cirucito cerrado de TV (CCTV) Centro de Atención Especializada (CAE)</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</si>
  <si>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</si>
  <si>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</si>
  <si>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</si>
  <si>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</si>
  <si>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 xml:space="preserve">Financiación y/o coofinaciación de proyectos de móvilidad </t>
  </si>
  <si>
    <t>Suministro de combustible</t>
  </si>
  <si>
    <t>Arrendamientos de oficinas para organismos de seguridad</t>
  </si>
  <si>
    <t>0309 - 5 - 3 1 4 23 75 18 28 - 20</t>
  </si>
  <si>
    <t xml:space="preserve">Adecuación de tecnología en salas de organismos de seguridad </t>
  </si>
  <si>
    <t>Suministro de alimentación</t>
  </si>
  <si>
    <t>0309 - 5 - 3 1 4 23 75 18 28 - 42</t>
  </si>
  <si>
    <t>Pago a fuentes humanas</t>
  </si>
  <si>
    <t>0309 - 5 - 3 1 4 23 75 18 28 - 92</t>
  </si>
  <si>
    <t>Adquisición de bienes muebles necesarios para el funcionamiento de la diferentes iniciativas o programas de los oraganismos de seguridad del departamento</t>
  </si>
  <si>
    <t>Adquisición de bienes inmuebles para los organismos de seguridad</t>
  </si>
  <si>
    <t>Adquisición de bienes y suministro, para material de intendencia y logística</t>
  </si>
  <si>
    <t>Impresos y publicidad</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</si>
  <si>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</si>
  <si>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</si>
  <si>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</si>
  <si>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</si>
  <si>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Apoyar 3 observatorios locales del delito</t>
  </si>
  <si>
    <t>Número de observatorios del delito apoyados</t>
  </si>
  <si>
    <t>Levantamiento de información, investigación y análisis de hechos y conductas delicitas en el departamento del Quindío</t>
  </si>
  <si>
    <t>Dotación tecnologíca, de comunicaciones   y/o logistica para los programas, proyectos  o estrategías de pevención y seguridad en el departamento del Quindío</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</si>
  <si>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</si>
  <si>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</si>
  <si>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</si>
  <si>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</si>
  <si>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</si>
  <si>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</si>
  <si>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</si>
  <si>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</si>
  <si>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 xml:space="preserve">20
</t>
  </si>
  <si>
    <t>Recurso 
ordinario</t>
  </si>
  <si>
    <t xml:space="preserve">SECRETARIO DEL INTERIOR
</t>
  </si>
  <si>
    <t>Implementación de programas ludicos,culturales y/o deportivos  para población vulnerable en areas focalizadas</t>
  </si>
  <si>
    <t xml:space="preserve">Generación y/o apoyo a programas de intervención social y/o de seguridad </t>
  </si>
  <si>
    <t>Logística, refrigerios,transporte y/o combustible</t>
  </si>
  <si>
    <t>Atencion integral de Barrios con situacion critica de convivencia en los 12 Municipios  del Departamento</t>
  </si>
  <si>
    <t>Municipios con atencion integral</t>
  </si>
  <si>
    <t>0309 - 5 - 3 1 4 23 76 18 29 - 20</t>
  </si>
  <si>
    <t xml:space="preserve">Intervenciones Psicosociales y/o de formación productiva integrales en los cinco municipios focalizados </t>
  </si>
  <si>
    <t>0309 - 5 - 3 1 4 23 76 18 29 - 92</t>
  </si>
  <si>
    <t>Elaboración y/o difusion de campañas de intervencion social y prevención del delito en los municipios del departamento</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</si>
  <si>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</si>
  <si>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</si>
  <si>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</si>
  <si>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</si>
  <si>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</si>
  <si>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</si>
  <si>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</si>
  <si>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0309 - 5 - 3 1 4 24 78 14 30 - 20
0309 - 5 - 3 1 4 24 78 14 30 - 88</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</si>
  <si>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</si>
  <si>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</si>
  <si>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</si>
  <si>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</si>
  <si>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Capacitación en el tema de formulación de proyectos a las mesas de participación efectiva de victimas y Organizaciones de victimas en los 12 municipios del Departamento</t>
  </si>
  <si>
    <t>Recurso ordinario</t>
  </si>
  <si>
    <t>Socialización de rutas de protección a las organizaciones de victimas de los 12 municipios del Departamento</t>
  </si>
  <si>
    <t>Apoyo a municipios priorizados para reparación colectiva</t>
  </si>
  <si>
    <t xml:space="preserve">Brindar información y orientación a las victimas del conflicto de los 12 municipios del departamento </t>
  </si>
  <si>
    <t>Superávit Recurso Ordinario</t>
  </si>
  <si>
    <t>Brindar asistencia y capacitacion a las organizaciones con enfoque diferencial y mesas de participación efectiva de victimas en los 12 municipios del Departamento en la ley de victimas y restitución de tierras y sus enfoques reglamentarios</t>
  </si>
  <si>
    <t>Apoyo a iniciativas que aportan a la memoria historica en el departamento</t>
  </si>
  <si>
    <t>Realizar jornadas de prevencion a vulneraciones de DDHH y DIH a las mesas de participación efectiva de victimas en los 12 municipios del Departamento</t>
  </si>
  <si>
    <t>Apoyo a proyectos productivos población víctima</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</si>
  <si>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</si>
  <si>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</si>
  <si>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</si>
  <si>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</si>
  <si>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</si>
  <si>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</si>
  <si>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</si>
  <si>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Garantias para Sesiones comité ejecutivo y ética mesa de victimas </t>
  </si>
  <si>
    <t>Garantias para Sesiones plenario mesa departamental de  victimas</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</si>
  <si>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</si>
  <si>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</si>
  <si>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</si>
  <si>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</si>
  <si>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</si>
  <si>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</si>
  <si>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</si>
  <si>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</si>
  <si>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</si>
  <si>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</si>
  <si>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Implementacion del plan operativo de sistemas de informacion POSI</t>
  </si>
  <si>
    <t>Apoyo a procesos de caracterización de los municipios, cuando sea requerido por èstos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</si>
  <si>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</si>
  <si>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</si>
  <si>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</si>
  <si>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0309 - 5 - 3 1 4 24 79 14 32 - 20
0309 - 5 - 3 1 4 24 79 14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</si>
  <si>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</si>
  <si>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</si>
  <si>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</si>
  <si>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</si>
  <si>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</si>
  <si>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</si>
  <si>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</si>
  <si>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</si>
  <si>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Foro de Derechos Humanos</t>
  </si>
  <si>
    <t>Realizar jornadas de capacitación para la  prevencion y sensibilizacion de los Derechos Humanos en los 12 municipios del Departamento</t>
  </si>
  <si>
    <t xml:space="preserve">Actualizar e Implementar el plan lucha contra la trata de personas
</t>
  </si>
  <si>
    <t>Programa de atención integral a victimas de trata de personas actualizado e  implementado</t>
  </si>
  <si>
    <t xml:space="preserve">Jornadas de prevención del delito de trata de personas  en los 12 municipios del Departamento </t>
  </si>
  <si>
    <t>Ayuda Humanitaria para victimas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</si>
  <si>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</si>
  <si>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</si>
  <si>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</si>
  <si>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0309 - 5 - 3 1 4 24 80 14 34 - 20
0309 - 5 - 3 1 4 24 80 14 34 - 88</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</si>
  <si>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</si>
  <si>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</si>
  <si>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</si>
  <si>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</si>
  <si>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Asistencia Tecnica para la formulación y actualización de planes de DDHH en los municipios del Depto</t>
  </si>
  <si>
    <t>Apoyar el seguimiento de los planes de DDHH de los 12 municipios del departamento</t>
  </si>
  <si>
    <t>superavit Ordinario</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</si>
  <si>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</si>
  <si>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</si>
  <si>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</si>
  <si>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Fortalecer Consejo Departamental de Paz</t>
  </si>
  <si>
    <t>Fortaecer consejo departamental de paz, reconcialización, convivencua, DDHH y DIH</t>
  </si>
  <si>
    <t>Foro DDHH</t>
  </si>
  <si>
    <t>Socialización de implementación de los acuerdos en el Departamento</t>
  </si>
  <si>
    <t>Logistica y Refregerios</t>
  </si>
  <si>
    <t>Papeleria</t>
  </si>
  <si>
    <t>Apoyo para la Politica de Reintegrados</t>
  </si>
  <si>
    <t>Acciones en pro de la construcción de paz</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</si>
  <si>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</si>
  <si>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</si>
  <si>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</si>
  <si>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</si>
  <si>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
0309 - 5 - 3 1 4 25 81 12 36 - 88
0309 - 5 - 3 1 4 25 81 12 36 - 163</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</si>
  <si>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</si>
  <si>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</si>
  <si>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</si>
  <si>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</si>
  <si>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</si>
  <si>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</si>
  <si>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</si>
  <si>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</si>
  <si>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 xml:space="preserve">Formulación de los planes escolares de gestión del riesgo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</si>
  <si>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</si>
  <si>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</si>
  <si>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</si>
  <si>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</si>
  <si>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Adquisición tecnologia (camara termica, Dron)</t>
  </si>
  <si>
    <t>Material didactico</t>
  </si>
  <si>
    <t>Servicio de simulador sismico</t>
  </si>
  <si>
    <t>Organización de foros, talleres, eventos y7o actividades</t>
  </si>
  <si>
    <t xml:space="preserve">Realizar 10 intervenciones en  áreas vulnerables del departamento </t>
  </si>
  <si>
    <t>Número de intervenciones en áreas vulnerables realizadas</t>
  </si>
  <si>
    <t xml:space="preserve">Intervenciones, obras de ingenieria y/o análisis vulnerabilidad </t>
  </si>
  <si>
    <t>Transferencia Fondo Nacional Gestión del Riesgo Res. 0329/2019</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</si>
  <si>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</si>
  <si>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</si>
  <si>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</si>
  <si>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</si>
  <si>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 xml:space="preserve">Actualización y desarrollo de  tecnologías en gestión del riesgo </t>
  </si>
  <si>
    <t>Formacion y capacitacion en el manejo del riesgo</t>
  </si>
  <si>
    <t>Servicios y atención  de manejo de riesgos</t>
  </si>
  <si>
    <t xml:space="preserve">Fortalecimiento  a las instituciones del comité de manejo
</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</si>
  <si>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</si>
  <si>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</si>
  <si>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</si>
  <si>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</si>
  <si>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</si>
  <si>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</si>
  <si>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</si>
  <si>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</si>
  <si>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Adquisición y/o mantenimiento  de equipos de  comunicación y/o tecnología   </t>
  </si>
  <si>
    <t xml:space="preserve">Articulación y coordinación para el manejo de  desastres en la sala de crisis del departamento </t>
  </si>
  <si>
    <t>Fortalecer  la dotación de la bodega estratégica de la Unidad Departamental de la Gestión del Riesgo de Desastres UDEGER</t>
  </si>
  <si>
    <t>Unidad Departamental de la Gestión del Riesgo de Desastre UDEGER dotada</t>
  </si>
  <si>
    <t xml:space="preserve">Apoyo para la entrega de ayuda humanitaria </t>
  </si>
  <si>
    <t>Suministro de ayudas  Humanitaria</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</si>
  <si>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</si>
  <si>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</si>
  <si>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</si>
  <si>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</si>
  <si>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</si>
  <si>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</si>
  <si>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</si>
  <si>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</si>
  <si>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</si>
  <si>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</si>
  <si>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 xml:space="preserve">Celebración de la semana de participación </t>
  </si>
  <si>
    <t>Realización de eventos para el  fortalecimiento a la participación ciudadana y control social</t>
  </si>
  <si>
    <t>Superavit Ordinario </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</si>
  <si>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</si>
  <si>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</si>
  <si>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</si>
  <si>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</si>
  <si>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</si>
  <si>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</si>
  <si>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</si>
  <si>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</si>
  <si>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</si>
  <si>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 xml:space="preserve">Servicios de Apoyo para eventos de formación, capacitación y/o formulación de políticas publicas 
</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</si>
  <si>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</si>
  <si>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</si>
  <si>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</si>
  <si>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</si>
  <si>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insumos logísticos, transporte,suminsitro de combustible y/o alimentación para la celebración de los comicios electorales </t>
  </si>
  <si>
    <t>Diseñar e implementar la Escuela de Liderazgo democrático</t>
  </si>
  <si>
    <t>Escuela de liderazgo diseñada e implementada</t>
  </si>
  <si>
    <t xml:space="preserve">Estructuración e implementación   de la escuela de liderazgo </t>
  </si>
  <si>
    <t xml:space="preserve">Logística, transporte, impresos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</si>
  <si>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</si>
  <si>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</si>
  <si>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</si>
  <si>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</si>
  <si>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</si>
  <si>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</si>
  <si>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</si>
  <si>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</si>
  <si>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</si>
  <si>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</si>
  <si>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</si>
  <si>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</si>
  <si>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</si>
  <si>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</si>
  <si>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</si>
  <si>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20</t>
  </si>
  <si>
    <t>Recurso Ordianrio</t>
  </si>
  <si>
    <t>Apoyo a eventos de carácter municipal, departamental y/o  nacional</t>
  </si>
  <si>
    <t>Apoyo para fortalecimiento de programas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</si>
  <si>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</si>
  <si>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</si>
  <si>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</si>
  <si>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</si>
  <si>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</si>
  <si>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</si>
  <si>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</si>
  <si>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</si>
  <si>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</si>
  <si>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</si>
  <si>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</si>
  <si>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</si>
  <si>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</si>
  <si>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</si>
  <si>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</si>
  <si>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0305 - 5 - 3 1 5 28 87 17 9 - 20
0305 - 5 - 3 1 5 28 87 17 9 - 88</t>
  </si>
  <si>
    <t>PROGRAMACION PLAN DE ACCIÓN
SECRETARIA DEL INTERIOR
NOVIEMBRE 30 DE  2019</t>
  </si>
  <si>
    <t>PROGRAMACION PLAN DE ACCIÓN 
SECRETARIA DE SALUD
NOVIEMBRE 30 2019</t>
  </si>
  <si>
    <t xml:space="preserve"> INCLUSION SOCIAL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</si>
  <si>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</si>
  <si>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</si>
  <si>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</si>
  <si>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201663000-0132</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</si>
  <si>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</si>
  <si>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</si>
  <si>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</si>
  <si>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</si>
  <si>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Fondo Local de Salud - SGP (61)
Superávit SGP Salud Pública (98)</t>
  </si>
  <si>
    <t>N/A</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</si>
  <si>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</si>
  <si>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</si>
  <si>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Actualización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</si>
  <si>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</si>
  <si>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</si>
  <si>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</si>
  <si>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</si>
  <si>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</si>
  <si>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</si>
  <si>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</si>
  <si>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</si>
  <si>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</si>
  <si>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</si>
  <si>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</si>
  <si>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</si>
  <si>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</si>
  <si>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</si>
  <si>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</si>
  <si>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</si>
  <si>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</si>
  <si>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</si>
  <si>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</si>
  <si>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</si>
  <si>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</si>
  <si>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</si>
  <si>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</si>
  <si>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
1803 - 5 - 3 1 3 12 36 2 133 - 98</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</si>
  <si>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</si>
  <si>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</si>
  <si>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</si>
  <si>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</si>
  <si>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</si>
  <si>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Fondo Local de Salud - SGP  (61)
Superavit SGP Salud Pública (98)</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</si>
  <si>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</si>
  <si>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</si>
  <si>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</si>
  <si>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</si>
  <si>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</si>
  <si>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</si>
  <si>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</si>
  <si>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1803 - 5 - 3 1 3 12 37 2 134 - 61
1803 - 5 - 3 1 3 12 37 2 134 - 98</t>
  </si>
  <si>
    <t>201663000-0134</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</si>
  <si>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</si>
  <si>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</si>
  <si>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</si>
  <si>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</si>
  <si>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Fondo Local de Salud - SGP (61)
Superávit  Fondo Local de Salud - SGP (98)</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</si>
  <si>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</si>
  <si>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</si>
  <si>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</si>
  <si>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articuladas intersectorialmente en los doce (12) municipios del departamento, con enfoque de derechos en colectivos LGTBI, jóvenes, mujeres gestantes adolescentes.</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</si>
  <si>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</si>
  <si>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</si>
  <si>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</si>
  <si>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</si>
  <si>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</si>
  <si>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</si>
  <si>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</si>
  <si>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</si>
  <si>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</si>
  <si>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</si>
  <si>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</si>
  <si>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</si>
  <si>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</si>
  <si>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</si>
  <si>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</si>
  <si>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</si>
  <si>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</si>
  <si>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</si>
  <si>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</si>
  <si>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</si>
  <si>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</si>
  <si>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</si>
  <si>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</si>
  <si>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</si>
  <si>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</si>
  <si>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1803 - 5 - 3 1 3 12 38 2 135 - 98</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</si>
  <si>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</si>
  <si>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</si>
  <si>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</si>
  <si>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</si>
  <si>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</si>
  <si>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</si>
  <si>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</si>
  <si>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</si>
  <si>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</si>
  <si>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</si>
  <si>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</si>
  <si>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</si>
  <si>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</si>
  <si>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</si>
  <si>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</si>
  <si>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</si>
  <si>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</si>
  <si>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</si>
  <si>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</si>
  <si>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</si>
  <si>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</si>
  <si>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</si>
  <si>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</si>
  <si>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</si>
  <si>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</si>
  <si>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</si>
  <si>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</si>
  <si>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</si>
  <si>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</si>
  <si>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
1803 - 5 - 3 1 3 12 39 2 138 - 96</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</si>
  <si>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</si>
  <si>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</si>
  <si>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</si>
  <si>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</si>
  <si>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</si>
  <si>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</si>
  <si>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</si>
  <si>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</si>
  <si>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</si>
  <si>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</si>
  <si>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</si>
  <si>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</si>
  <si>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</si>
  <si>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</si>
  <si>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</si>
  <si>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</si>
  <si>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</si>
  <si>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</si>
  <si>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</si>
  <si>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</si>
  <si>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</si>
  <si>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
0318 - 5 - 3 1 3 12 40 2 139 - 20
1803 - 5 - 3 1 3 12 40 2 139 - 161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</si>
  <si>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</si>
  <si>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</si>
  <si>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</si>
  <si>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</si>
  <si>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</si>
  <si>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Fondo Local de Salud - SGP (61)
Recursos propios
(20)
Superavit Resoluciones Vigencias Anteriores
(161) 
</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</si>
  <si>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</si>
  <si>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</si>
  <si>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</si>
  <si>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</si>
  <si>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</si>
  <si>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</si>
  <si>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</si>
  <si>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</si>
  <si>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</si>
  <si>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</si>
  <si>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1803 - 5 - 3 1 3 12 40 2 141 - 111
1803 - 5 - 3 1 3 12 40 2 141 - 61
1803 - 5 - 3 1 3 12 40 2 141 - 20
1803 - 5 - 3 1 3 12 40 2 141 - 107
1803 - 5 - 3 1 3 12 40 2 141 - 147</t>
  </si>
  <si>
    <t>201663000-0141</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</si>
  <si>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</si>
  <si>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</si>
  <si>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</si>
  <si>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</si>
  <si>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
Fondo Local de Salud - SGP
Superavit Res. 781/15 Prev. y control enfermedades por Vect
Superavit Res. 2311/2017 MSPS -Vectores 
Recurso Ordinario</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</si>
  <si>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</si>
  <si>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</si>
  <si>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</si>
  <si>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</si>
  <si>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</si>
  <si>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</si>
  <si>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</si>
  <si>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</si>
  <si>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</si>
  <si>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</si>
  <si>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</si>
  <si>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</si>
  <si>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</si>
  <si>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</si>
  <si>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</si>
  <si>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</si>
  <si>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</si>
  <si>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Fondo Local de Salud - SGP
Aportes Nación Tuberculosis
Aportes Nacion lepra </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</si>
  <si>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</si>
  <si>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</si>
  <si>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 " CERCET" Comite Evaluador  Regional de Casos Especiales de Tuberculosis.</t>
  </si>
  <si>
    <t>1803 - 5 - 3 1 3 12 40 2 142 - 114</t>
  </si>
  <si>
    <t>Acompañar la vigilancia de cumplimiento a guías, lineamientos y protocolos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</si>
  <si>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</si>
  <si>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</si>
  <si>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</si>
  <si>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1803 - 5 - 3 1 3 12 40 2 142 - 98</t>
  </si>
  <si>
    <t>hacer seguimiento a la implementacion y ejecucion de  los nuevos planes estratégicos de tuberculosis y lepra en los 12 municipios.</t>
  </si>
  <si>
    <t>Realizar campañas de prevención y atención integral en afectados por tuberculosis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</si>
  <si>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</si>
  <si>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</si>
  <si>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Realizar actividades de promoción y prevención implementadas para la comunidad y grupos focalizados en tuberculosis y lepra en los 12 municipios del departamento. (rondas medicas, busqueda de sintomaticos respiratorios y de piel, movilizaciones, talleres, sensibilizaciones , etc)</t>
  </si>
  <si>
    <t>Salud publica en emergencias y desastres</t>
  </si>
  <si>
    <t>Realizar catorce (14) simulacros de atención a emergencias en la Red Pública Hospitalaria</t>
  </si>
  <si>
    <t>1803 - 5 - 3 1 3 12 41 2 143 - 61
1803 - 5 - 3 1 3 12 41 2 143 - 98</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</si>
  <si>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</si>
  <si>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</si>
  <si>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</si>
  <si>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</si>
  <si>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</si>
  <si>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SGP Salud Pública
Superavit SGP Salud Pública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</si>
  <si>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</si>
  <si>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</si>
  <si>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</si>
  <si>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</si>
  <si>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</si>
  <si>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</si>
  <si>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</si>
  <si>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</si>
  <si>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</si>
  <si>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</si>
  <si>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</si>
  <si>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201663000-0145</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</si>
  <si>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</si>
  <si>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</si>
  <si>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</si>
  <si>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</si>
  <si>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SGP Salud Pública</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</si>
  <si>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</si>
  <si>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</si>
  <si>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</si>
  <si>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</si>
  <si>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</si>
  <si>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</si>
  <si>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</si>
  <si>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</si>
  <si>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</si>
  <si>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</si>
  <si>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</si>
  <si>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</si>
  <si>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</si>
  <si>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</si>
  <si>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</si>
  <si>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</si>
  <si>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</si>
  <si>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</si>
  <si>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</si>
  <si>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Fondo Local de Salud - SGP
Recurso Ordinario
Superávit  - SGP Salud Pública
Fondo de Estupefacientes
Superávit Fondo de Estupefacientes</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</si>
  <si>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</si>
  <si>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</si>
  <si>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</si>
  <si>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1803 - 5 - 3 1 3 12 43 2 146 - 61</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</si>
  <si>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</si>
  <si>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</si>
  <si>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</si>
  <si>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0318 - 5 - 3 1 3 12 43 2 146 - 20</t>
  </si>
  <si>
    <t>Realizar inspección  vigilancia y control para verificar las condiciones técnicas, higiénico sanitarias locativas y de calidad a los establecimientos farmacéuticos en los 12 municipios del departamento del Quindío.</t>
  </si>
  <si>
    <t xml:space="preserve">Suministrar medicamentos de control especial- monopolio del estado a los establecimientos farmacéuticos autorizados. </t>
  </si>
  <si>
    <t>0318 - 5 - 3 1 3 12 43 2 146 - 98</t>
  </si>
  <si>
    <t>0318 - 5 - 3 1 3 12 43 2 146 - 99</t>
  </si>
  <si>
    <t>Adquisición de mobiliario, equipos tecnológicos, de telecomunicación y computo del Fondo Rotatorio de Estupefacientes</t>
  </si>
  <si>
    <t>1803 - 5 - 3 1 3 12 43 2 146 - 63</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</si>
  <si>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</si>
  <si>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</si>
  <si>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</si>
  <si>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</si>
  <si>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</si>
  <si>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</si>
  <si>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 xml:space="preserve">
1803 - 5 - 3 1 3 12 44 2 148 - 61
1803 - 5 - 3 1 3 12 44 2 148 - 98
</t>
  </si>
  <si>
    <t>201663000-0148</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</si>
  <si>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</si>
  <si>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</si>
  <si>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</si>
  <si>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</si>
  <si>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SGP Salud Pública
Superávit  - SGP Salud Pública</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</si>
  <si>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</si>
  <si>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</si>
  <si>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</si>
  <si>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</si>
  <si>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</si>
  <si>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</si>
  <si>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</si>
  <si>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</si>
  <si>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</si>
  <si>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</si>
  <si>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</si>
  <si>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</si>
  <si>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</si>
  <si>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</si>
  <si>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</si>
  <si>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</si>
  <si>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</si>
  <si>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</si>
  <si>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</si>
  <si>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</si>
  <si>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</si>
  <si>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</si>
  <si>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</si>
  <si>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</si>
  <si>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</si>
  <si>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</si>
  <si>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</si>
  <si>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</si>
  <si>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</si>
  <si>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</si>
  <si>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</si>
  <si>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</si>
  <si>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</si>
  <si>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</si>
  <si>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</si>
  <si>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 xml:space="preserve">1803 - 5 - 3 1 3 12 45 2 150 - 61
1803 - 5 - 3 1 3 12 45 2 150 - 98_x000D_
</t>
  </si>
  <si>
    <t>201663000-0150</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</si>
  <si>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</si>
  <si>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</si>
  <si>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</si>
  <si>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</si>
  <si>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</si>
  <si>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</si>
  <si>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</si>
  <si>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</si>
  <si>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</si>
  <si>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</si>
  <si>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</si>
  <si>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</si>
  <si>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
0318 - 5 - 3 1 3 12 46 2 151 - 20
1803 - 5 - 3 1 3 12 46 2 151 - 96
0318 - 5 - 3 1 3 12 46 2 151 - 88
0318 - 5 - 3 1 3 12 46 2 151 - 98</t>
  </si>
  <si>
    <t>201663000-0151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</si>
  <si>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</si>
  <si>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</si>
  <si>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</si>
  <si>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</si>
  <si>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Fondo Local de Salud - SGP
Superávit Recurso Ordinario
Recurso ordinario 
Superávit SGP Salud Pública
Superavit Rentas Cedidas</t>
  </si>
  <si>
    <t>Compra de equipos de laboratorio</t>
  </si>
  <si>
    <t xml:space="preserve">Optimizar los procesos contractuales desde el LSP y  la DTS
</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</si>
  <si>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</si>
  <si>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</si>
  <si>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</si>
  <si>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</si>
  <si>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</si>
  <si>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</si>
  <si>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</si>
  <si>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2 152 - 61
1803 - 5 - 3 1 3 12 46 2 152 - 98</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</si>
  <si>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</si>
  <si>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</si>
  <si>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</si>
  <si>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</si>
  <si>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</si>
  <si>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SGP Salud Pública
Superávit SGP Salud Pública</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</si>
  <si>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</si>
  <si>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</si>
  <si>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</si>
  <si>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</si>
  <si>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</si>
  <si>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</si>
  <si>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</si>
  <si>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</si>
  <si>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</si>
  <si>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</si>
  <si>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</si>
  <si>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</si>
  <si>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</si>
  <si>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0318 - 5 - 3 1 3 13 47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</si>
  <si>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</si>
  <si>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</si>
  <si>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</si>
  <si>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</si>
  <si>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</si>
  <si>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</si>
  <si>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</si>
  <si>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</si>
  <si>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</si>
  <si>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2 153 - 154</t>
  </si>
  <si>
    <t xml:space="preserve"> Gestionar  recursos para cofinanciación de la afialicon  mpo y lugares de afiliación
</t>
  </si>
  <si>
    <t>Gestión de recursos para cofinanciación de la afiliación a los municipios y lugares de afiliación</t>
  </si>
  <si>
    <t>ADRES S.S.F.
REC. TRANSFERIDOS COLJUEGOS -SSF</t>
  </si>
  <si>
    <t>RENDIMIENTOS FINANCIEROS - ADRES S.S.F.</t>
  </si>
  <si>
    <t>Superávit Decreto 1684/2017 Ingreso Adicional Cigarrillo</t>
  </si>
  <si>
    <t>Asistencia técnica  a los actores del sistema en el proceso de aseguramiento de la población</t>
  </si>
  <si>
    <t>Brindar asistencia técnica a 12 Municipios del departamento,  en los procesos del régimen subsidiado</t>
  </si>
  <si>
    <t>0318 - 5 - 3 1 3 13 49 2 153 - 20
1804 - 5 - 3 1 3 13 49 2 153 - 96</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</si>
  <si>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</si>
  <si>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</si>
  <si>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Superávit Rentas Cedidas</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</si>
  <si>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</si>
  <si>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</si>
  <si>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</si>
  <si>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</si>
  <si>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 xml:space="preserve">1802 - 5 - 3 1 3 14 50 2 154 - 60
1802 - 5 - 3 1 3 14 50 2 154 - 110
1802 - 5 - 3 1 3 14 50 2 154 - 58
1802 - 5 - 3 1 3 14 50 2 154 - 59 
1804 - 5 - 3 1 3 14 50 2 154 - 162
1802 - 5 - 3 1 3 14 50 2 154 - 96
1802 - 5 - 3 1 3 14 50 2 154 - 97
1802 - 5 - 3 1 3 14 50 2 154 - 65
1802 - 5 - 3 1 3 14 50 2 154 - 156
1802 - 5 - 3 1 3 14 50 2 154 - 102
1802 - 5 - 3 1 3 14 50 2 154 - 148
1802 - 5 - 3 1 3 14 50 2 154 - 152_x000D_
_x000D_
 _x000D_
_x000D_
_x000D_
_x000D_
_x000D_
</t>
  </si>
  <si>
    <t>201663000-0154</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</si>
  <si>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</si>
  <si>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</si>
  <si>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</si>
  <si>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a los procesos de inspección, vigilancia y control en el acceso de los afiliados  a la red de servicios de salud.</t>
  </si>
  <si>
    <t>Mantener la contratación con la red pública y privada (15)  para la atención de la población no afiliada.</t>
  </si>
  <si>
    <t xml:space="preserve">Fortalecer la contratación para la atención de la población no afiliada </t>
  </si>
  <si>
    <t xml:space="preserve">Fortalecer la contratacion para la atencion de la poblacion pobre no asegurada y los servicios no incluidos en el Plan de beneficios de la poblacion afiliada a la regimen subsidiado. </t>
  </si>
  <si>
    <t>Resoluciones  971/2016, 5864/2018, 493/2019, MINISTERIOVCPROGRAMA INIMPUTABLES</t>
  </si>
  <si>
    <t>RENTAS CEDIDAS - SALUD</t>
  </si>
  <si>
    <t>RENDIMIENTOS FINANCIEROS - RENTAS CEDIDAS - SALUD</t>
  </si>
  <si>
    <t>SGP SALUD PRESTACIÓN SERVICIOS C S F</t>
  </si>
  <si>
    <t>SGP SALUD APORTES PATRONALES SS  F</t>
  </si>
  <si>
    <t>SUPERÁVIT RENTAS CEDIDAS</t>
  </si>
  <si>
    <t>SUPERAVIT SALUD PRESTACIÓN DE SERVICIOS SGP</t>
  </si>
  <si>
    <t>SUPERÁVIT REND. FROS COFINANCIACION NAL</t>
  </si>
  <si>
    <t>SUPERAVIT RESOL. 997/2018 PROG. INIMPUTABLES</t>
  </si>
  <si>
    <t>SUPERAVIT COFINANCIACIÓN NAL RES. 3876/12 DESPLAZADOS</t>
  </si>
  <si>
    <t>SUPERAVIT DEC. 1684/2017 INGRESO ADICIONAL CIGARRILLO</t>
  </si>
  <si>
    <t>SUPERAVIT EXCEDENTES APROTES PATRONALES  ESE DEPTO</t>
  </si>
  <si>
    <t>SUPERAVIT RESOL. VIGENCIAS ANTERIORES</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</si>
  <si>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</si>
  <si>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</si>
  <si>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</si>
  <si>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</si>
  <si>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</si>
  <si>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</si>
  <si>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</si>
  <si>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</si>
  <si>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</si>
  <si>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</si>
  <si>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</si>
  <si>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</si>
  <si>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</si>
  <si>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</si>
  <si>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</si>
  <si>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Garantizar red de servicios en eventos de emergencias</t>
  </si>
  <si>
    <t xml:space="preserve">Ajustar los 14 planes de emergencia de las instituciones prestadoras de salud de todo el Departamento.  </t>
  </si>
  <si>
    <t>0318 - 5 - 3 1 3 14 52 2 156 - 20</t>
  </si>
  <si>
    <t>201663000-0156</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</si>
  <si>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</si>
  <si>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</si>
  <si>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</si>
  <si>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</si>
  <si>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</si>
  <si>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</si>
  <si>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Ajustar un (1) Plan de Emergencias en Salud Departamental.</t>
  </si>
  <si>
    <t xml:space="preserve">Articular  la red hospitalaria del Departamento
</t>
  </si>
  <si>
    <t>Desarrollar el plan de emergencias de salud departamental</t>
  </si>
  <si>
    <t xml:space="preserve">Realizar mantenimiento de los equipos de telecomunicación </t>
  </si>
  <si>
    <t>Atender en los 12 municipios  del departamento, los eventos de emergencia y urgencias, y el sistema de referencia y contra referencia  de la población  no afiliada.</t>
  </si>
  <si>
    <t>1802 - 5 - 3 1 3 14 52 2 157 - 20
1804 - 5 - 3 1 3 14 52 2 157 - 96
0318 - 5 - 3 1 3 14 52 2 157 - 88</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</si>
  <si>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</si>
  <si>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</si>
  <si>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</si>
  <si>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</si>
  <si>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</si>
  <si>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SUPERAVIT RENTAS CEDIDAS</t>
  </si>
  <si>
    <t>Realizar asistencia técnica a los prestadores de servicios de salud.</t>
  </si>
  <si>
    <t>Mantenimiento y adquisición de equipos de tecnología, equipos de computo  y telecomunicaciones y mobiliario para el funcionamiento del CRUE.</t>
  </si>
  <si>
    <t xml:space="preserve">Superavit ordinario </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</si>
  <si>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</si>
  <si>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</si>
  <si>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</si>
  <si>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</si>
  <si>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</si>
  <si>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</si>
  <si>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
1804 - 5 - 3 1 3 14 53 2 158 - 96</t>
  </si>
  <si>
    <t>201663000-0158</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</si>
  <si>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</si>
  <si>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</si>
  <si>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</si>
  <si>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</si>
  <si>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</si>
  <si>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</si>
  <si>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</si>
  <si>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</si>
  <si>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 xml:space="preserve">Garantizar eficiencia en el establecimiento de los indicadores de seguimiento a riesgo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</si>
  <si>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</si>
  <si>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</si>
  <si>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</si>
  <si>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</si>
  <si>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Cumplimiento de los prestadores de salud en los requisitos de habilitación</t>
  </si>
  <si>
    <t>Verificación de los requisitos de habilitación</t>
  </si>
  <si>
    <t>Fortalecimiento financiero de la red de servicios publica</t>
  </si>
  <si>
    <t>Evaluar semestralmente los indicadores de monitoreo del sistema de catorce (14) ESE´s del nivel I, II y III</t>
  </si>
  <si>
    <t>0318 - 5 - 3 1 3 14 54 2 159 - 20
0318 - 5 - 3 1 3 14 54 2 159 - 88</t>
  </si>
  <si>
    <t>201663000-0159</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</si>
  <si>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</si>
  <si>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</si>
  <si>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</si>
  <si>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</si>
  <si>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</si>
  <si>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</si>
  <si>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</si>
  <si>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</si>
  <si>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</si>
  <si>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</si>
  <si>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</si>
  <si>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</si>
  <si>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</si>
  <si>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</si>
  <si>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</si>
  <si>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</si>
  <si>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</si>
  <si>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</si>
  <si>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</si>
  <si>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</si>
  <si>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</si>
  <si>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</si>
  <si>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</si>
  <si>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</si>
  <si>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</si>
  <si>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</si>
  <si>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</si>
  <si>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</si>
  <si>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</si>
  <si>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</si>
  <si>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Cesar Augusto Rincón Zuluaga</t>
  </si>
  <si>
    <t>Secretario de Salud</t>
  </si>
  <si>
    <t>PROGRAMACION PLAN DE ACCIÓN
SECRETARIA DE PLANEACION
NOVIEMBRE 30 DE 2019</t>
  </si>
  <si>
    <t>PROGRAMACION PLAN DE ACCIÓN
SECRETARIA DE CULTURA
NOVIEMBRE 30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</si>
</sst>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_(&quot;$&quot;* \(#,##0.00\);_(&quot;$&quot;* &quot;-&quot;??_);_(@_)"/>
    <numFmt numFmtId="167" formatCode="00"/>
    <numFmt numFmtId="168" formatCode="dd/mm/yy;@"/>
    <numFmt numFmtId="169" formatCode="0.0"/>
    <numFmt numFmtId="170" formatCode="&quot;$&quot;\ #,##0"/>
    <numFmt numFmtId="171" formatCode="dd/mm/yyyy;@"/>
    <numFmt numFmtId="172" formatCode="d/mm/yyyy;@"/>
    <numFmt numFmtId="173" formatCode="_(* #,##0_);_(* \(#,##0\);_(* &quot;-&quot;??_);_(@_)"/>
    <numFmt numFmtId="174" formatCode="_(&quot;$&quot;\ * #,##0_);_(&quot;$&quot;\ * \(#,##0\);_(&quot;$&quot;\ * &quot;-&quot;??_);_(@_)"/>
    <numFmt numFmtId="175" formatCode="&quot;$&quot;#,##0"/>
    <numFmt numFmtId="176" formatCode="&quot;$&quot;#,##0.00"/>
    <numFmt numFmtId="177" formatCode="_ [$€-2]\ * #,##0.00_ ;_ [$€-2]\ * \-#,##0.00_ ;_ [$€-2]\ * &quot;-&quot;??_ "/>
    <numFmt numFmtId="178" formatCode="0_ ;\-0\ "/>
    <numFmt numFmtId="179" formatCode="_-* #,##0.00\ _€_-;\-* #,##0.00\ _€_-;_-* &quot;-&quot;??\ _€_-;_-@_-"/>
    <numFmt numFmtId="180" formatCode="0.0%"/>
    <numFmt numFmtId="181" formatCode="#,##0.00;[Red]#,##0.00"/>
    <numFmt numFmtId="182" formatCode="#,##0;[Red]#,##0"/>
    <numFmt numFmtId="183" formatCode="0;[Red]0"/>
    <numFmt numFmtId="184" formatCode="_-[$$-240A]* #,##0.00_-;\-[$$-240A]* #,##0.00_-;_-[$$-240A]* &quot;-&quot;??_-;_-@_-"/>
    <numFmt numFmtId="185" formatCode="_-[$$-240A]* #,##0_-;\-[$$-240A]* #,##0_-;_-[$$-240A]* &quot;-&quot;_-;_-@_-"/>
    <numFmt numFmtId="186" formatCode="_-[$$-240A]* #,##0_-;\-[$$-240A]* #,##0_-;_-[$$-240A]* &quot;-&quot;??_-;_-@_-"/>
    <numFmt numFmtId="187" formatCode="_-* #,##0.00\ &quot;€&quot;_-;\-* #,##0.00\ &quot;€&quot;_-;_-* &quot;-&quot;??\ &quot;€&quot;_-;_-@_-"/>
    <numFmt numFmtId="188" formatCode="#,##0.0"/>
    <numFmt numFmtId="189" formatCode="_([$$-240A]\ * #,##0.00_);_([$$-240A]\ * \(#,##0.00\);_([$$-240A]\ * &quot;-&quot;??_);_(@_)"/>
    <numFmt numFmtId="190" formatCode="_-&quot;$&quot;* #,##0_-;\-&quot;$&quot;* #,##0_-;_-&quot;$&quot;* &quot;-&quot;??_-;_-@_-"/>
    <numFmt numFmtId="191" formatCode="_(* #,##0.00_);_(* \(#,##0.00\);_(* &quot;-&quot;_);_(@_)"/>
    <numFmt numFmtId="192" formatCode="_-[$$-240A]\ * #,##0_-;\-[$$-240A]\ * #,##0_-;_-[$$-240A]\ * &quot;-&quot;_-;_-@_-"/>
    <numFmt numFmtId="193" formatCode="#,##0.000"/>
    <numFmt numFmtId="194" formatCode="_-* #,##0.00_-;\-* #,##0.00_-;_-* &quot;-&quot;??_-;_-@_-"/>
  </numFmts>
  <fonts count="46" x14ac:knownFonts="1">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2"/>
      <color theme="1"/>
      <name val="Arial"/>
      <family val="2"/>
    </font>
    <font>
      <b/>
      <sz val="10"/>
      <color indexed="8"/>
      <name val="Arial"/>
      <family val="2"/>
    </font>
    <font>
      <b/>
      <sz val="12"/>
      <color theme="1"/>
      <name val="Arial"/>
      <family val="2"/>
    </font>
    <font>
      <b/>
      <sz val="12"/>
      <name val="Arial"/>
      <family val="2"/>
    </font>
    <font>
      <sz val="12"/>
      <name val="Arial"/>
      <family val="2"/>
    </font>
    <font>
      <b/>
      <sz val="14"/>
      <color indexed="8"/>
      <name val="Arial"/>
      <family val="2"/>
    </font>
    <font>
      <sz val="12"/>
      <color indexed="8"/>
      <name val="Arial"/>
      <family val="2"/>
    </font>
    <font>
      <b/>
      <sz val="12"/>
      <color indexed="8"/>
      <name val="Arial"/>
      <family val="2"/>
    </font>
    <font>
      <sz val="11"/>
      <color indexed="8"/>
      <name val="Calibri"/>
      <family val="2"/>
    </font>
    <font>
      <sz val="12"/>
      <color rgb="FFFF0000"/>
      <name val="Arial"/>
      <family val="2"/>
    </font>
    <font>
      <sz val="12"/>
      <color theme="1"/>
      <name val="Calibri"/>
      <family val="2"/>
      <scheme val="minor"/>
    </font>
    <font>
      <sz val="10"/>
      <name val="Arial"/>
      <family val="2"/>
    </font>
    <font>
      <sz val="12"/>
      <color rgb="FF000000"/>
      <name val="Arial"/>
      <family val="2"/>
    </font>
    <font>
      <b/>
      <sz val="12"/>
      <color theme="1"/>
      <name val="Calibri"/>
      <family val="2"/>
      <scheme val="minor"/>
    </font>
    <font>
      <b/>
      <sz val="12"/>
      <name val="Calibri"/>
      <family val="2"/>
      <scheme val="minor"/>
    </font>
    <font>
      <b/>
      <sz val="10"/>
      <name val="Arial"/>
      <family val="2"/>
    </font>
    <font>
      <sz val="12"/>
      <color rgb="FF000000"/>
      <name val="Calibri"/>
      <family val="2"/>
      <scheme val="minor"/>
    </font>
    <font>
      <b/>
      <sz val="12"/>
      <color rgb="FFFF0000"/>
      <name val="Arial"/>
      <family val="2"/>
    </font>
    <font>
      <sz val="11"/>
      <color theme="1"/>
      <name val="Arial"/>
      <family val="2"/>
    </font>
    <font>
      <b/>
      <sz val="11"/>
      <color theme="1"/>
      <name val="Arial"/>
      <family val="2"/>
    </font>
    <font>
      <sz val="11"/>
      <name val="Arial"/>
      <family val="2"/>
    </font>
    <font>
      <sz val="10"/>
      <color theme="1"/>
      <name val="Arial"/>
      <family val="2"/>
    </font>
    <font>
      <sz val="12"/>
      <color rgb="FFFF0000"/>
      <name val="Calibri"/>
      <family val="2"/>
      <scheme val="minor"/>
    </font>
    <font>
      <b/>
      <sz val="11"/>
      <color indexed="8"/>
      <name val="Arial"/>
      <family val="2"/>
    </font>
    <font>
      <b/>
      <sz val="11"/>
      <name val="Arial"/>
      <family val="2"/>
    </font>
    <font>
      <sz val="11"/>
      <name val="Calibri"/>
      <family val="2"/>
      <scheme val="minor"/>
    </font>
    <font>
      <sz val="11"/>
      <color rgb="FF000000"/>
      <name val="Arial"/>
      <family val="2"/>
    </font>
    <font>
      <b/>
      <sz val="9"/>
      <name val="Calibri"/>
      <family val="2"/>
      <scheme val="minor"/>
    </font>
    <font>
      <sz val="11"/>
      <color rgb="FF000000"/>
      <name val="Calibri"/>
      <family val="2"/>
      <scheme val="minor"/>
    </font>
    <font>
      <sz val="11"/>
      <color indexed="8"/>
      <name val="Arial"/>
      <family val="2"/>
    </font>
    <font>
      <sz val="8"/>
      <color theme="1"/>
      <name val="Calibri"/>
      <family val="2"/>
      <scheme val="minor"/>
    </font>
    <font>
      <b/>
      <sz val="11"/>
      <name val="Calibri"/>
      <family val="2"/>
      <scheme val="minor"/>
    </font>
    <font>
      <sz val="8"/>
      <name val="Arial"/>
      <family val="2"/>
    </font>
    <font>
      <sz val="9"/>
      <color theme="1"/>
      <name val="Arial Narrow"/>
      <family val="2"/>
    </font>
    <font>
      <sz val="11"/>
      <color theme="1"/>
      <name val="Arial Narrow"/>
      <family val="2"/>
    </font>
    <font>
      <b/>
      <sz val="11"/>
      <color theme="1"/>
      <name val="Calibri"/>
      <family val="2"/>
      <scheme val="minor"/>
    </font>
    <font>
      <sz val="11"/>
      <color theme="0"/>
      <name val="Arial"/>
      <family val="2"/>
    </font>
    <font>
      <b/>
      <sz val="20"/>
      <color theme="1"/>
      <name val="Arial Narrow"/>
      <family val="2"/>
    </font>
    <font>
      <sz val="20"/>
      <color theme="1"/>
      <name val="Arial Narrow"/>
      <family val="2"/>
    </font>
    <font>
      <i/>
      <sz val="14"/>
      <color theme="1"/>
      <name val="Arial Narrow"/>
      <family val="2"/>
    </font>
    <font>
      <sz val="14"/>
      <color theme="1"/>
      <name val="Arial Narrow"/>
      <family val="2"/>
    </font>
    <font>
      <sz val="12"/>
      <color theme="1"/>
      <name val="Arial"/>
      <family val="2"/>
    </font>
  </fonts>
  <fills count="2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0C316"/>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
      <patternFill patternType="solid">
        <fgColor theme="3"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right/>
      <top/>
      <bottom style="thin">
        <color indexed="64"/>
      </bottom>
      <diagonal/>
    </border>
    <border>
      <left style="medium">
        <color indexed="64"/>
      </left>
      <right/>
      <top style="thin">
        <color auto="1"/>
      </top>
      <bottom/>
      <diagonal/>
    </border>
    <border>
      <left/>
      <right/>
      <top style="thin">
        <color indexed="64"/>
      </top>
      <bottom/>
      <diagonal/>
    </border>
    <border>
      <left/>
      <right style="thin">
        <color auto="1"/>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bottom/>
      <diagonal/>
    </border>
    <border>
      <left style="thin">
        <color auto="1"/>
      </left>
      <right/>
      <top/>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auto="1"/>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auto="1"/>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rgb="FF000000"/>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indexed="64"/>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indexed="64"/>
      </right>
      <top/>
      <bottom style="medium">
        <color indexed="64"/>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rgb="FF000000"/>
      </left>
      <right/>
      <top style="thin">
        <color indexed="64"/>
      </top>
      <bottom/>
      <diagonal/>
    </border>
    <border>
      <left style="thin">
        <color rgb="FF000000"/>
      </left>
      <right/>
      <top/>
      <bottom style="thin">
        <color indexed="64"/>
      </bottom>
      <diagonal/>
    </border>
    <border>
      <left/>
      <right/>
      <top style="thin">
        <color rgb="FF000000"/>
      </top>
      <bottom style="thin">
        <color rgb="FF000000"/>
      </bottom>
      <diagonal/>
    </border>
    <border>
      <left style="thin">
        <color indexed="64"/>
      </left>
      <right style="medium">
        <color indexed="64"/>
      </right>
      <top/>
      <bottom style="medium">
        <color indexed="64"/>
      </bottom>
      <diagonal/>
    </border>
  </borders>
  <cellStyleXfs count="3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1" fontId="1" fillId="0" borderId="0" applyFont="0" applyFill="0" applyBorder="0" applyAlignment="0" applyProtection="0"/>
    <xf numFmtId="0" fontId="15" fillId="0" borderId="0"/>
    <xf numFmtId="0" fontId="15" fillId="0" borderId="0"/>
    <xf numFmtId="0" fontId="15" fillId="0" borderId="0"/>
    <xf numFmtId="43" fontId="1" fillId="0" borderId="0" applyFont="0" applyFill="0" applyBorder="0" applyAlignment="0" applyProtection="0"/>
    <xf numFmtId="0" fontId="1" fillId="0" borderId="0"/>
    <xf numFmtId="177" fontId="1" fillId="0" borderId="0"/>
    <xf numFmtId="165" fontId="1" fillId="0" borderId="0" applyFont="0" applyFill="0" applyBorder="0" applyAlignment="0" applyProtection="0"/>
    <xf numFmtId="179" fontId="1" fillId="0" borderId="0" applyFont="0" applyFill="0" applyBorder="0" applyAlignment="0" applyProtection="0"/>
    <xf numFmtId="0" fontId="25" fillId="0" borderId="0"/>
    <xf numFmtId="43"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9" fontId="12" fillId="0" borderId="0" applyFont="0" applyFill="0" applyBorder="0" applyAlignment="0" applyProtection="0"/>
    <xf numFmtId="0" fontId="1" fillId="0" borderId="0"/>
    <xf numFmtId="0" fontId="15" fillId="0" borderId="0"/>
    <xf numFmtId="41" fontId="1" fillId="0" borderId="0" applyFont="0" applyFill="0" applyBorder="0" applyAlignment="0" applyProtection="0"/>
    <xf numFmtId="187" fontId="12" fillId="0" borderId="0" applyFont="0" applyFill="0" applyBorder="0" applyAlignment="0" applyProtection="0"/>
    <xf numFmtId="164" fontId="15" fillId="0" borderId="0" applyFont="0" applyFill="0" applyBorder="0" applyAlignment="0" applyProtection="0"/>
  </cellStyleXfs>
  <cellXfs count="4249">
    <xf numFmtId="0" fontId="0" fillId="0" borderId="0" xfId="0"/>
    <xf numFmtId="0" fontId="3" fillId="0" borderId="3" xfId="0" applyFont="1" applyBorder="1"/>
    <xf numFmtId="0" fontId="3" fillId="0" borderId="4" xfId="0" applyFont="1" applyBorder="1"/>
    <xf numFmtId="0" fontId="4" fillId="0" borderId="0" xfId="0" applyFont="1"/>
    <xf numFmtId="0" fontId="3" fillId="0" borderId="6" xfId="0" applyFont="1" applyBorder="1" applyAlignment="1">
      <alignment horizontal="left"/>
    </xf>
    <xf numFmtId="167" fontId="3" fillId="0" borderId="7" xfId="0" applyNumberFormat="1" applyFont="1" applyBorder="1" applyAlignment="1">
      <alignment horizontal="left"/>
    </xf>
    <xf numFmtId="0" fontId="3" fillId="0" borderId="6" xfId="0" applyFont="1" applyBorder="1"/>
    <xf numFmtId="17" fontId="3" fillId="0" borderId="7" xfId="0" applyNumberFormat="1" applyFont="1" applyBorder="1" applyAlignment="1">
      <alignment horizontal="left"/>
    </xf>
    <xf numFmtId="0" fontId="3" fillId="0" borderId="6" xfId="0" applyFont="1" applyBorder="1" applyAlignment="1">
      <alignment vertical="center"/>
    </xf>
    <xf numFmtId="3" fontId="5" fillId="2" borderId="7" xfId="0" applyNumberFormat="1" applyFont="1" applyFill="1" applyBorder="1" applyAlignment="1">
      <alignment horizontal="left" vertical="center" wrapText="1"/>
    </xf>
    <xf numFmtId="0" fontId="4" fillId="0" borderId="0" xfId="0" applyFont="1" applyAlignment="1">
      <alignment wrapText="1"/>
    </xf>
    <xf numFmtId="1" fontId="6" fillId="5" borderId="18" xfId="0" applyNumberFormat="1" applyFont="1" applyFill="1" applyBorder="1" applyAlignment="1">
      <alignment horizontal="left" vertical="center" wrapText="1"/>
    </xf>
    <xf numFmtId="0" fontId="6" fillId="5" borderId="14" xfId="0" applyFont="1" applyFill="1" applyBorder="1" applyAlignment="1">
      <alignment vertical="center"/>
    </xf>
    <xf numFmtId="0" fontId="6" fillId="5" borderId="15" xfId="0" applyFont="1" applyFill="1" applyBorder="1" applyAlignment="1">
      <alignment vertical="center"/>
    </xf>
    <xf numFmtId="0" fontId="6" fillId="5" borderId="15" xfId="0" applyFont="1" applyFill="1" applyBorder="1" applyAlignment="1">
      <alignment horizontal="justify" vertical="center"/>
    </xf>
    <xf numFmtId="0" fontId="6" fillId="5" borderId="15" xfId="0" applyFont="1" applyFill="1" applyBorder="1" applyAlignment="1">
      <alignment horizontal="center" vertical="center"/>
    </xf>
    <xf numFmtId="169" fontId="6" fillId="5" borderId="15" xfId="0" applyNumberFormat="1" applyFont="1" applyFill="1" applyBorder="1" applyAlignment="1">
      <alignment horizontal="center" vertical="center"/>
    </xf>
    <xf numFmtId="170" fontId="6" fillId="5" borderId="15" xfId="0" applyNumberFormat="1" applyFont="1" applyFill="1" applyBorder="1" applyAlignment="1">
      <alignment vertical="center"/>
    </xf>
    <xf numFmtId="170" fontId="6" fillId="5" borderId="15" xfId="0" applyNumberFormat="1" applyFont="1" applyFill="1" applyBorder="1" applyAlignment="1">
      <alignment horizontal="center" vertical="center"/>
    </xf>
    <xf numFmtId="1" fontId="6" fillId="5" borderId="15" xfId="0" applyNumberFormat="1" applyFont="1" applyFill="1" applyBorder="1" applyAlignment="1">
      <alignment horizontal="center" vertical="center"/>
    </xf>
    <xf numFmtId="1" fontId="4" fillId="6" borderId="5" xfId="0" applyNumberFormat="1" applyFont="1" applyFill="1" applyBorder="1" applyAlignment="1">
      <alignment horizontal="center" vertical="center" wrapText="1"/>
    </xf>
    <xf numFmtId="1" fontId="4" fillId="0" borderId="0" xfId="0" applyNumberFormat="1" applyFont="1"/>
    <xf numFmtId="0" fontId="4" fillId="0" borderId="31" xfId="0" applyFont="1" applyBorder="1" applyAlignment="1">
      <alignment vertical="center"/>
    </xf>
    <xf numFmtId="0" fontId="4" fillId="0" borderId="31" xfId="0" applyFont="1" applyBorder="1" applyAlignment="1">
      <alignment horizontal="center" vertical="center"/>
    </xf>
    <xf numFmtId="0" fontId="4" fillId="0" borderId="0" xfId="0" applyFont="1" applyAlignment="1">
      <alignment vertical="center"/>
    </xf>
    <xf numFmtId="0" fontId="4" fillId="0" borderId="9" xfId="0" applyFont="1" applyBorder="1"/>
    <xf numFmtId="0" fontId="6" fillId="0" borderId="11" xfId="0" applyFont="1" applyBorder="1"/>
    <xf numFmtId="0" fontId="6" fillId="0" borderId="0" xfId="0" applyFont="1"/>
    <xf numFmtId="0" fontId="5" fillId="0" borderId="6" xfId="0" applyFont="1" applyBorder="1" applyAlignment="1">
      <alignment vertical="center"/>
    </xf>
    <xf numFmtId="0" fontId="10" fillId="0" borderId="0" xfId="0" applyFont="1"/>
    <xf numFmtId="0" fontId="5" fillId="0" borderId="6" xfId="0" applyFont="1" applyBorder="1" applyAlignment="1">
      <alignment horizontal="left" vertical="center"/>
    </xf>
    <xf numFmtId="49" fontId="5" fillId="0" borderId="6" xfId="0" applyNumberFormat="1" applyFont="1" applyBorder="1" applyAlignment="1">
      <alignment vertical="center"/>
    </xf>
    <xf numFmtId="17" fontId="5" fillId="0" borderId="6" xfId="0" applyNumberFormat="1" applyFont="1" applyBorder="1" applyAlignment="1">
      <alignment horizontal="left"/>
    </xf>
    <xf numFmtId="3" fontId="5" fillId="0" borderId="6" xfId="0" applyNumberFormat="1" applyFont="1" applyBorder="1" applyAlignment="1">
      <alignment horizontal="left" vertical="center" wrapText="1"/>
    </xf>
    <xf numFmtId="0" fontId="11" fillId="0" borderId="21" xfId="0" applyFont="1" applyBorder="1" applyAlignment="1">
      <alignment horizontal="justify" vertical="center"/>
    </xf>
    <xf numFmtId="0" fontId="11" fillId="0" borderId="9" xfId="0" applyFont="1" applyBorder="1" applyAlignment="1">
      <alignment horizontal="justify" vertical="center"/>
    </xf>
    <xf numFmtId="10" fontId="7" fillId="0" borderId="9" xfId="6" applyNumberFormat="1" applyFont="1" applyBorder="1" applyAlignment="1">
      <alignment horizontal="center" vertical="center"/>
    </xf>
    <xf numFmtId="0" fontId="11" fillId="0" borderId="9" xfId="0" applyFont="1" applyBorder="1" applyAlignment="1">
      <alignment vertical="center"/>
    </xf>
    <xf numFmtId="0" fontId="11" fillId="0" borderId="13" xfId="0" applyFont="1" applyBorder="1" applyAlignment="1">
      <alignment vertical="center"/>
    </xf>
    <xf numFmtId="1" fontId="11" fillId="8" borderId="20" xfId="0" applyNumberFormat="1" applyFont="1" applyFill="1" applyBorder="1" applyAlignment="1">
      <alignment horizontal="center" vertical="center" wrapText="1"/>
    </xf>
    <xf numFmtId="1" fontId="11" fillId="10" borderId="14" xfId="0" applyNumberFormat="1" applyFont="1" applyFill="1" applyBorder="1" applyAlignment="1">
      <alignment horizontal="left" vertical="center" wrapText="1"/>
    </xf>
    <xf numFmtId="0" fontId="11" fillId="10" borderId="15" xfId="0" applyFont="1" applyFill="1" applyBorder="1" applyAlignment="1">
      <alignment vertical="center"/>
    </xf>
    <xf numFmtId="0" fontId="11" fillId="10" borderId="15" xfId="0" applyFont="1" applyFill="1" applyBorder="1" applyAlignment="1">
      <alignment horizontal="justify" vertical="center"/>
    </xf>
    <xf numFmtId="10" fontId="7" fillId="10" borderId="15" xfId="6" applyNumberFormat="1" applyFont="1" applyFill="1" applyBorder="1" applyAlignment="1">
      <alignment horizontal="center" vertical="center"/>
    </xf>
    <xf numFmtId="43" fontId="11" fillId="10" borderId="15" xfId="7" applyFont="1" applyFill="1" applyBorder="1" applyAlignment="1">
      <alignment horizontal="justify" vertical="center"/>
    </xf>
    <xf numFmtId="170" fontId="11" fillId="10" borderId="15" xfId="0" applyNumberFormat="1" applyFont="1" applyFill="1" applyBorder="1" applyAlignment="1">
      <alignment horizontal="center" vertical="center"/>
    </xf>
    <xf numFmtId="1" fontId="11" fillId="10" borderId="15" xfId="0" applyNumberFormat="1" applyFont="1" applyFill="1" applyBorder="1" applyAlignment="1">
      <alignment horizontal="center" vertical="center"/>
    </xf>
    <xf numFmtId="0" fontId="11" fillId="10" borderId="15" xfId="0" applyFont="1" applyFill="1" applyBorder="1" applyAlignment="1">
      <alignment horizontal="center" vertical="center"/>
    </xf>
    <xf numFmtId="171" fontId="11" fillId="10" borderId="15" xfId="0" applyNumberFormat="1" applyFont="1" applyFill="1" applyBorder="1" applyAlignment="1">
      <alignment vertical="center"/>
    </xf>
    <xf numFmtId="0" fontId="11" fillId="10" borderId="16" xfId="0" applyFont="1" applyFill="1" applyBorder="1" applyAlignment="1">
      <alignment horizontal="justify" vertical="center"/>
    </xf>
    <xf numFmtId="1" fontId="11" fillId="2" borderId="19" xfId="0" applyNumberFormat="1" applyFont="1" applyFill="1" applyBorder="1" applyAlignment="1">
      <alignment vertical="center" wrapText="1"/>
    </xf>
    <xf numFmtId="1" fontId="11" fillId="2" borderId="11" xfId="0" applyNumberFormat="1" applyFont="1" applyFill="1" applyBorder="1" applyAlignment="1">
      <alignment vertical="center" wrapText="1"/>
    </xf>
    <xf numFmtId="1" fontId="11" fillId="2" borderId="12" xfId="0" applyNumberFormat="1" applyFont="1" applyFill="1" applyBorder="1" applyAlignment="1">
      <alignment vertical="center" wrapText="1"/>
    </xf>
    <xf numFmtId="1" fontId="11" fillId="8" borderId="21" xfId="0" applyNumberFormat="1" applyFont="1" applyFill="1" applyBorder="1" applyAlignment="1">
      <alignment horizontal="center" vertical="center"/>
    </xf>
    <xf numFmtId="0" fontId="11" fillId="8" borderId="9" xfId="0" applyFont="1" applyFill="1" applyBorder="1" applyAlignment="1">
      <alignment vertical="center"/>
    </xf>
    <xf numFmtId="0" fontId="11" fillId="8" borderId="9" xfId="0" applyFont="1" applyFill="1" applyBorder="1" applyAlignment="1">
      <alignment horizontal="justify" vertical="center"/>
    </xf>
    <xf numFmtId="10" fontId="7" fillId="8" borderId="9" xfId="6" applyNumberFormat="1" applyFont="1" applyFill="1" applyBorder="1" applyAlignment="1">
      <alignment horizontal="center" vertical="center"/>
    </xf>
    <xf numFmtId="43" fontId="11" fillId="8" borderId="9" xfId="7" applyFont="1" applyFill="1" applyBorder="1" applyAlignment="1">
      <alignment horizontal="justify" vertical="center"/>
    </xf>
    <xf numFmtId="170" fontId="11" fillId="8" borderId="9" xfId="0" applyNumberFormat="1" applyFont="1" applyFill="1" applyBorder="1" applyAlignment="1">
      <alignment horizontal="center" vertical="center"/>
    </xf>
    <xf numFmtId="1" fontId="11" fillId="8" borderId="9" xfId="0" applyNumberFormat="1" applyFont="1" applyFill="1" applyBorder="1" applyAlignment="1">
      <alignment horizontal="center" vertical="center"/>
    </xf>
    <xf numFmtId="0" fontId="11" fillId="8" borderId="9" xfId="0" applyFont="1" applyFill="1" applyBorder="1" applyAlignment="1">
      <alignment horizontal="center" vertical="center"/>
    </xf>
    <xf numFmtId="171" fontId="11" fillId="8" borderId="9" xfId="0" applyNumberFormat="1" applyFont="1" applyFill="1" applyBorder="1" applyAlignment="1">
      <alignment vertical="center"/>
    </xf>
    <xf numFmtId="0" fontId="11" fillId="8" borderId="13" xfId="0" applyFont="1" applyFill="1" applyBorder="1" applyAlignment="1">
      <alignment horizontal="justify" vertical="center"/>
    </xf>
    <xf numFmtId="1" fontId="11" fillId="2" borderId="23" xfId="0" applyNumberFormat="1" applyFont="1" applyFill="1" applyBorder="1" applyAlignment="1">
      <alignment vertical="center" wrapText="1"/>
    </xf>
    <xf numFmtId="1" fontId="11" fillId="2" borderId="0" xfId="0" applyNumberFormat="1" applyFont="1" applyFill="1" applyAlignment="1">
      <alignment vertical="center" wrapText="1"/>
    </xf>
    <xf numFmtId="1" fontId="11" fillId="2" borderId="25" xfId="0" applyNumberFormat="1" applyFont="1" applyFill="1" applyBorder="1" applyAlignment="1">
      <alignment vertical="center" wrapText="1"/>
    </xf>
    <xf numFmtId="0" fontId="11" fillId="2" borderId="19" xfId="0" applyFont="1" applyFill="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1" fontId="11" fillId="11" borderId="14" xfId="0" applyNumberFormat="1" applyFont="1" applyFill="1" applyBorder="1" applyAlignment="1">
      <alignment horizontal="left" vertical="center" wrapText="1" indent="1"/>
    </xf>
    <xf numFmtId="0" fontId="11" fillId="11" borderId="15" xfId="0" applyFont="1" applyFill="1" applyBorder="1" applyAlignment="1">
      <alignment vertical="center"/>
    </xf>
    <xf numFmtId="0" fontId="11" fillId="11" borderId="15" xfId="0" applyFont="1" applyFill="1" applyBorder="1" applyAlignment="1">
      <alignment horizontal="justify" vertical="center"/>
    </xf>
    <xf numFmtId="10" fontId="7" fillId="11" borderId="15" xfId="6" applyNumberFormat="1" applyFont="1" applyFill="1" applyBorder="1" applyAlignment="1">
      <alignment horizontal="center" vertical="center"/>
    </xf>
    <xf numFmtId="43" fontId="11" fillId="11" borderId="15" xfId="7" applyFont="1" applyFill="1" applyBorder="1" applyAlignment="1">
      <alignment horizontal="justify" vertical="center"/>
    </xf>
    <xf numFmtId="170" fontId="11" fillId="11" borderId="15" xfId="0" applyNumberFormat="1" applyFont="1" applyFill="1" applyBorder="1" applyAlignment="1">
      <alignment horizontal="center" vertical="center"/>
    </xf>
    <xf numFmtId="1" fontId="11" fillId="11" borderId="11" xfId="0" applyNumberFormat="1" applyFont="1" applyFill="1" applyBorder="1" applyAlignment="1">
      <alignment horizontal="center" vertical="center"/>
    </xf>
    <xf numFmtId="0" fontId="11" fillId="11" borderId="11" xfId="0" applyFont="1" applyFill="1" applyBorder="1" applyAlignment="1">
      <alignment horizontal="center" vertical="center"/>
    </xf>
    <xf numFmtId="171" fontId="11" fillId="11" borderId="15" xfId="0" applyNumberFormat="1" applyFont="1" applyFill="1" applyBorder="1" applyAlignment="1">
      <alignment vertical="center"/>
    </xf>
    <xf numFmtId="0" fontId="11" fillId="11" borderId="16" xfId="0" applyFont="1" applyFill="1" applyBorder="1" applyAlignment="1">
      <alignment horizontal="justify" vertical="center"/>
    </xf>
    <xf numFmtId="0" fontId="11" fillId="2" borderId="23" xfId="0" applyFont="1" applyFill="1" applyBorder="1" applyAlignment="1">
      <alignment vertical="center" wrapText="1"/>
    </xf>
    <xf numFmtId="0" fontId="11" fillId="2" borderId="0" xfId="0" applyFont="1" applyFill="1" applyAlignment="1">
      <alignment vertical="center" wrapText="1"/>
    </xf>
    <xf numFmtId="0" fontId="11" fillId="2" borderId="25" xfId="0" applyFont="1" applyFill="1" applyBorder="1" applyAlignment="1">
      <alignment vertical="center" wrapText="1"/>
    </xf>
    <xf numFmtId="0" fontId="10" fillId="2" borderId="23" xfId="0" applyFont="1" applyFill="1" applyBorder="1" applyAlignment="1">
      <alignment vertical="center" wrapText="1"/>
    </xf>
    <xf numFmtId="0" fontId="10" fillId="2" borderId="0" xfId="0" applyFont="1" applyFill="1" applyAlignment="1">
      <alignment vertical="center" wrapText="1"/>
    </xf>
    <xf numFmtId="0" fontId="10" fillId="2" borderId="25" xfId="0" applyFont="1" applyFill="1" applyBorder="1" applyAlignment="1">
      <alignment vertical="center" wrapText="1"/>
    </xf>
    <xf numFmtId="1" fontId="10" fillId="0" borderId="22" xfId="0" applyNumberFormat="1" applyFont="1" applyBorder="1" applyAlignment="1">
      <alignment horizontal="center" vertical="center" wrapText="1"/>
    </xf>
    <xf numFmtId="0" fontId="10" fillId="2" borderId="20" xfId="0" applyFont="1" applyFill="1" applyBorder="1" applyAlignment="1">
      <alignment vertical="center" wrapText="1"/>
    </xf>
    <xf numFmtId="10" fontId="8" fillId="2" borderId="6" xfId="6"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2" xfId="0" applyFont="1" applyFill="1" applyBorder="1" applyAlignment="1">
      <alignment vertical="center" wrapText="1"/>
    </xf>
    <xf numFmtId="1" fontId="11" fillId="2" borderId="23" xfId="0" applyNumberFormat="1" applyFont="1" applyFill="1" applyBorder="1" applyAlignment="1">
      <alignment horizontal="center" vertical="center" wrapText="1"/>
    </xf>
    <xf numFmtId="1" fontId="11" fillId="2" borderId="0" xfId="0" applyNumberFormat="1" applyFont="1" applyFill="1" applyAlignment="1">
      <alignment horizontal="center" vertical="center" wrapText="1"/>
    </xf>
    <xf numFmtId="1" fontId="11" fillId="2" borderId="25" xfId="0" applyNumberFormat="1"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5" xfId="0" applyFont="1" applyFill="1" applyBorder="1" applyAlignment="1">
      <alignment horizontal="center" vertical="center" wrapText="1"/>
    </xf>
    <xf numFmtId="0" fontId="10" fillId="0" borderId="19" xfId="0" applyFont="1" applyBorder="1" applyAlignment="1">
      <alignment horizontal="center" vertical="center" wrapText="1"/>
    </xf>
    <xf numFmtId="1" fontId="10" fillId="2" borderId="19" xfId="0" applyNumberFormat="1" applyFont="1" applyFill="1" applyBorder="1" applyAlignment="1">
      <alignment horizontal="center" vertical="center" wrapText="1"/>
    </xf>
    <xf numFmtId="0" fontId="10" fillId="0" borderId="26" xfId="0" applyFont="1" applyBorder="1" applyAlignment="1">
      <alignment horizontal="center" vertical="center" wrapText="1"/>
    </xf>
    <xf numFmtId="0" fontId="10" fillId="2" borderId="31" xfId="0" applyFont="1" applyFill="1" applyBorder="1"/>
    <xf numFmtId="0" fontId="10" fillId="2" borderId="31" xfId="0" applyFont="1" applyFill="1" applyBorder="1" applyAlignment="1">
      <alignment horizontal="justify"/>
    </xf>
    <xf numFmtId="0" fontId="10" fillId="2" borderId="31" xfId="0" applyFont="1" applyFill="1" applyBorder="1" applyAlignment="1">
      <alignment horizontal="justify" vertical="center" wrapText="1"/>
    </xf>
    <xf numFmtId="0" fontId="10" fillId="2" borderId="31" xfId="0" applyFont="1" applyFill="1" applyBorder="1" applyAlignment="1">
      <alignment horizontal="justify" vertical="center"/>
    </xf>
    <xf numFmtId="1" fontId="10" fillId="2" borderId="31" xfId="0" applyNumberFormat="1" applyFont="1" applyFill="1" applyBorder="1" applyAlignment="1">
      <alignment horizontal="justify" vertical="center"/>
    </xf>
    <xf numFmtId="10" fontId="8" fillId="2" borderId="33" xfId="6" applyNumberFormat="1" applyFont="1" applyFill="1" applyBorder="1" applyAlignment="1">
      <alignment horizontal="center" vertical="center"/>
    </xf>
    <xf numFmtId="43" fontId="11" fillId="2" borderId="32" xfId="7" applyFont="1" applyFill="1" applyBorder="1" applyAlignment="1">
      <alignment horizontal="justify" vertical="center"/>
    </xf>
    <xf numFmtId="0" fontId="10" fillId="2" borderId="30" xfId="0" applyFont="1" applyFill="1" applyBorder="1" applyAlignment="1">
      <alignment horizontal="justify" vertical="center" wrapText="1"/>
    </xf>
    <xf numFmtId="0" fontId="10" fillId="2" borderId="33" xfId="0" applyFont="1" applyFill="1" applyBorder="1" applyAlignment="1">
      <alignment horizontal="justify" vertical="center" wrapText="1"/>
    </xf>
    <xf numFmtId="43" fontId="11" fillId="0" borderId="32" xfId="7" applyFont="1" applyBorder="1" applyAlignment="1">
      <alignment horizontal="center" vertical="center"/>
    </xf>
    <xf numFmtId="1" fontId="10" fillId="2" borderId="30" xfId="0" applyNumberFormat="1" applyFont="1" applyFill="1" applyBorder="1" applyAlignment="1">
      <alignment horizontal="center" vertical="center"/>
    </xf>
    <xf numFmtId="1" fontId="10" fillId="2" borderId="31" xfId="0" applyNumberFormat="1" applyFont="1" applyFill="1" applyBorder="1" applyAlignment="1">
      <alignment horizontal="center" vertical="center"/>
    </xf>
    <xf numFmtId="1" fontId="10" fillId="2" borderId="31" xfId="0" applyNumberFormat="1" applyFont="1" applyFill="1" applyBorder="1" applyAlignment="1">
      <alignment horizontal="center" vertical="center" textRotation="180" wrapText="1"/>
    </xf>
    <xf numFmtId="171" fontId="10" fillId="2" borderId="31" xfId="0" applyNumberFormat="1" applyFont="1" applyFill="1" applyBorder="1" applyAlignment="1">
      <alignment horizontal="center" vertical="center"/>
    </xf>
    <xf numFmtId="0" fontId="10" fillId="2" borderId="33" xfId="0" applyFont="1" applyFill="1" applyBorder="1" applyAlignment="1">
      <alignment horizontal="justify" vertical="center"/>
    </xf>
    <xf numFmtId="0" fontId="10" fillId="2" borderId="0" xfId="0" applyFont="1" applyFill="1"/>
    <xf numFmtId="0" fontId="10" fillId="2" borderId="0" xfId="0" applyFont="1" applyFill="1" applyAlignment="1">
      <alignment horizontal="justify"/>
    </xf>
    <xf numFmtId="0" fontId="10" fillId="2" borderId="0" xfId="0" applyFont="1" applyFill="1" applyAlignment="1">
      <alignment horizontal="justify" vertical="center"/>
    </xf>
    <xf numFmtId="10" fontId="8" fillId="2" borderId="0" xfId="6" applyNumberFormat="1" applyFont="1" applyFill="1" applyAlignment="1">
      <alignment horizontal="center" vertical="center"/>
    </xf>
    <xf numFmtId="170" fontId="10" fillId="0" borderId="0" xfId="0" applyNumberFormat="1" applyFont="1" applyAlignment="1">
      <alignment horizontal="justify" vertical="center"/>
    </xf>
    <xf numFmtId="170" fontId="10" fillId="0" borderId="0" xfId="0" applyNumberFormat="1" applyFont="1" applyAlignment="1">
      <alignment horizontal="center" vertical="center"/>
    </xf>
    <xf numFmtId="1" fontId="10" fillId="2" borderId="0" xfId="0" applyNumberFormat="1" applyFont="1" applyFill="1" applyAlignment="1">
      <alignment horizontal="center" vertical="center"/>
    </xf>
    <xf numFmtId="0" fontId="10" fillId="2" borderId="0" xfId="0" applyFont="1" applyFill="1" applyAlignment="1">
      <alignment horizontal="center" vertical="center"/>
    </xf>
    <xf numFmtId="170" fontId="10" fillId="2" borderId="0" xfId="0" applyNumberFormat="1" applyFont="1" applyFill="1" applyAlignment="1">
      <alignment horizontal="center" vertical="center"/>
    </xf>
    <xf numFmtId="170" fontId="10" fillId="2" borderId="0" xfId="0" applyNumberFormat="1" applyFont="1" applyFill="1" applyAlignment="1">
      <alignment horizontal="justify" vertical="center"/>
    </xf>
    <xf numFmtId="0" fontId="11" fillId="2" borderId="0" xfId="0" applyFont="1" applyFill="1"/>
    <xf numFmtId="0" fontId="10" fillId="0" borderId="0" xfId="0" applyFont="1" applyAlignment="1">
      <alignment horizontal="justify"/>
    </xf>
    <xf numFmtId="10" fontId="8" fillId="0" borderId="0" xfId="6" applyNumberFormat="1" applyFont="1" applyAlignment="1">
      <alignment horizontal="center"/>
    </xf>
    <xf numFmtId="0" fontId="4" fillId="6" borderId="0" xfId="0" applyFont="1" applyFill="1"/>
    <xf numFmtId="0" fontId="3" fillId="0" borderId="6" xfId="0" applyFont="1" applyBorder="1" applyAlignment="1">
      <alignment horizontal="left" vertical="center"/>
    </xf>
    <xf numFmtId="0" fontId="3" fillId="0" borderId="6" xfId="0" applyFont="1" applyBorder="1" applyAlignment="1">
      <alignment vertical="center" wrapText="1"/>
    </xf>
    <xf numFmtId="0" fontId="6" fillId="12" borderId="14" xfId="0" applyFont="1" applyFill="1" applyBorder="1" applyAlignment="1">
      <alignment horizontal="center" vertical="center" textRotation="90" wrapText="1"/>
    </xf>
    <xf numFmtId="49" fontId="6" fillId="12" borderId="14" xfId="0" applyNumberFormat="1" applyFont="1" applyFill="1" applyBorder="1" applyAlignment="1">
      <alignment horizontal="center" vertical="center" textRotation="90" wrapText="1"/>
    </xf>
    <xf numFmtId="0" fontId="6" fillId="12" borderId="6" xfId="0" applyFont="1" applyFill="1" applyBorder="1" applyAlignment="1">
      <alignment horizontal="center" vertical="center" textRotation="90" wrapText="1"/>
    </xf>
    <xf numFmtId="0" fontId="4" fillId="6" borderId="0" xfId="0" applyFont="1" applyFill="1" applyAlignment="1">
      <alignment horizontal="center" vertical="center"/>
    </xf>
    <xf numFmtId="0" fontId="4" fillId="0" borderId="0" xfId="0" applyFont="1" applyAlignment="1">
      <alignment horizontal="center" vertical="center"/>
    </xf>
    <xf numFmtId="1" fontId="6" fillId="13" borderId="11" xfId="0" applyNumberFormat="1" applyFont="1" applyFill="1" applyBorder="1" applyAlignment="1">
      <alignment horizontal="justify" vertical="center" wrapText="1"/>
    </xf>
    <xf numFmtId="0" fontId="6" fillId="13" borderId="15" xfId="0" applyFont="1" applyFill="1" applyBorder="1" applyAlignment="1">
      <alignment horizontal="justify" vertical="center"/>
    </xf>
    <xf numFmtId="0" fontId="6" fillId="13" borderId="15" xfId="0" applyFont="1" applyFill="1" applyBorder="1" applyAlignment="1">
      <alignment horizontal="center" vertical="center"/>
    </xf>
    <xf numFmtId="169" fontId="6" fillId="13" borderId="15" xfId="0" applyNumberFormat="1" applyFont="1" applyFill="1" applyBorder="1" applyAlignment="1">
      <alignment horizontal="justify" vertical="center"/>
    </xf>
    <xf numFmtId="170" fontId="6" fillId="13" borderId="15" xfId="0" applyNumberFormat="1" applyFont="1" applyFill="1" applyBorder="1" applyAlignment="1">
      <alignment horizontal="center" vertical="center"/>
    </xf>
    <xf numFmtId="0" fontId="4" fillId="13" borderId="15" xfId="0" applyFont="1" applyFill="1" applyBorder="1" applyAlignment="1">
      <alignment horizontal="justify" vertical="center"/>
    </xf>
    <xf numFmtId="1" fontId="6" fillId="13" borderId="15" xfId="0" applyNumberFormat="1" applyFont="1" applyFill="1" applyBorder="1" applyAlignment="1">
      <alignment horizontal="center" vertical="center"/>
    </xf>
    <xf numFmtId="0" fontId="6" fillId="13" borderId="15" xfId="0" applyFont="1" applyFill="1" applyBorder="1" applyAlignment="1">
      <alignment vertical="center"/>
    </xf>
    <xf numFmtId="171" fontId="6" fillId="13" borderId="15" xfId="0" applyNumberFormat="1" applyFont="1" applyFill="1" applyBorder="1" applyAlignment="1">
      <alignment vertical="center"/>
    </xf>
    <xf numFmtId="0" fontId="6" fillId="13" borderId="16" xfId="0" applyFont="1" applyFill="1" applyBorder="1" applyAlignment="1">
      <alignment horizontal="justify" vertical="center"/>
    </xf>
    <xf numFmtId="1" fontId="6" fillId="6" borderId="19" xfId="0" applyNumberFormat="1" applyFont="1" applyFill="1" applyBorder="1" applyAlignment="1">
      <alignment horizontal="justify" vertical="center" wrapText="1"/>
    </xf>
    <xf numFmtId="0" fontId="6" fillId="6" borderId="11" xfId="0" applyFont="1" applyFill="1" applyBorder="1" applyAlignment="1">
      <alignment horizontal="justify" vertical="center" wrapText="1"/>
    </xf>
    <xf numFmtId="0" fontId="6" fillId="6" borderId="12" xfId="0" applyFont="1" applyFill="1" applyBorder="1" applyAlignment="1">
      <alignment horizontal="justify" vertical="center" wrapText="1"/>
    </xf>
    <xf numFmtId="1" fontId="6" fillId="14" borderId="0" xfId="0" applyNumberFormat="1" applyFont="1" applyFill="1" applyAlignment="1">
      <alignment horizontal="justify" vertical="center"/>
    </xf>
    <xf numFmtId="0" fontId="6" fillId="14" borderId="9" xfId="0" applyFont="1" applyFill="1" applyBorder="1" applyAlignment="1">
      <alignment horizontal="justify" vertical="center"/>
    </xf>
    <xf numFmtId="0" fontId="6" fillId="14" borderId="9" xfId="0" applyFont="1" applyFill="1" applyBorder="1" applyAlignment="1">
      <alignment horizontal="center" vertical="center"/>
    </xf>
    <xf numFmtId="169" fontId="6" fillId="14" borderId="9" xfId="0" applyNumberFormat="1" applyFont="1" applyFill="1" applyBorder="1" applyAlignment="1">
      <alignment horizontal="justify" vertical="center"/>
    </xf>
    <xf numFmtId="170" fontId="6" fillId="14" borderId="9" xfId="0" applyNumberFormat="1" applyFont="1" applyFill="1" applyBorder="1" applyAlignment="1">
      <alignment horizontal="center" vertical="center"/>
    </xf>
    <xf numFmtId="0" fontId="4" fillId="14" borderId="9" xfId="0" applyFont="1" applyFill="1" applyBorder="1" applyAlignment="1">
      <alignment horizontal="justify" vertical="center"/>
    </xf>
    <xf numFmtId="1" fontId="6" fillId="14" borderId="9" xfId="0" applyNumberFormat="1" applyFont="1" applyFill="1" applyBorder="1" applyAlignment="1">
      <alignment horizontal="center" vertical="center"/>
    </xf>
    <xf numFmtId="0" fontId="6" fillId="14" borderId="9" xfId="0" applyFont="1" applyFill="1" applyBorder="1" applyAlignment="1">
      <alignment vertical="center"/>
    </xf>
    <xf numFmtId="171" fontId="6" fillId="14" borderId="9" xfId="0" applyNumberFormat="1" applyFont="1" applyFill="1" applyBorder="1" applyAlignment="1">
      <alignment vertical="center"/>
    </xf>
    <xf numFmtId="0" fontId="6" fillId="14" borderId="13" xfId="0" applyFont="1" applyFill="1" applyBorder="1" applyAlignment="1">
      <alignment horizontal="justify" vertical="center"/>
    </xf>
    <xf numFmtId="1" fontId="6" fillId="6" borderId="23" xfId="0" applyNumberFormat="1" applyFont="1" applyFill="1" applyBorder="1" applyAlignment="1">
      <alignment horizontal="justify" vertical="center" wrapText="1"/>
    </xf>
    <xf numFmtId="0" fontId="6" fillId="6" borderId="0" xfId="0" applyFont="1" applyFill="1" applyAlignment="1">
      <alignment horizontal="justify" vertical="center" wrapText="1"/>
    </xf>
    <xf numFmtId="0" fontId="6" fillId="6" borderId="19" xfId="0" applyFont="1" applyFill="1" applyBorder="1" applyAlignment="1">
      <alignment horizontal="justify" vertical="center" wrapText="1"/>
    </xf>
    <xf numFmtId="1" fontId="6" fillId="15" borderId="14" xfId="0" applyNumberFormat="1" applyFont="1" applyFill="1" applyBorder="1" applyAlignment="1">
      <alignment horizontal="justify" vertical="center" wrapText="1"/>
    </xf>
    <xf numFmtId="0" fontId="6" fillId="15" borderId="15" xfId="0" applyFont="1" applyFill="1" applyBorder="1" applyAlignment="1">
      <alignment horizontal="justify" vertical="center"/>
    </xf>
    <xf numFmtId="0" fontId="6" fillId="15" borderId="15" xfId="0" applyFont="1" applyFill="1" applyBorder="1" applyAlignment="1">
      <alignment horizontal="center" vertical="center"/>
    </xf>
    <xf numFmtId="169" fontId="6" fillId="15" borderId="15" xfId="0" applyNumberFormat="1" applyFont="1" applyFill="1" applyBorder="1" applyAlignment="1">
      <alignment horizontal="justify" vertical="center"/>
    </xf>
    <xf numFmtId="170" fontId="6" fillId="15" borderId="11" xfId="0" applyNumberFormat="1" applyFont="1" applyFill="1" applyBorder="1" applyAlignment="1">
      <alignment horizontal="center" vertical="center"/>
    </xf>
    <xf numFmtId="0" fontId="4" fillId="15" borderId="15" xfId="0" applyFont="1" applyFill="1" applyBorder="1" applyAlignment="1">
      <alignment horizontal="justify" vertical="center"/>
    </xf>
    <xf numFmtId="1" fontId="6" fillId="15" borderId="15" xfId="0" applyNumberFormat="1" applyFont="1" applyFill="1" applyBorder="1" applyAlignment="1">
      <alignment horizontal="center" vertical="center"/>
    </xf>
    <xf numFmtId="0" fontId="6" fillId="15" borderId="15" xfId="0" applyFont="1" applyFill="1" applyBorder="1" applyAlignment="1">
      <alignment vertical="center"/>
    </xf>
    <xf numFmtId="171" fontId="6" fillId="15" borderId="15" xfId="0" applyNumberFormat="1" applyFont="1" applyFill="1" applyBorder="1" applyAlignment="1">
      <alignment vertical="center"/>
    </xf>
    <xf numFmtId="0" fontId="6" fillId="15" borderId="16" xfId="0" applyFont="1" applyFill="1" applyBorder="1" applyAlignment="1">
      <alignment horizontal="justify" vertical="center"/>
    </xf>
    <xf numFmtId="1" fontId="4" fillId="0" borderId="23" xfId="0" applyNumberFormat="1" applyFont="1" applyBorder="1" applyAlignment="1">
      <alignment horizontal="justify" vertical="center" wrapText="1"/>
    </xf>
    <xf numFmtId="0" fontId="4" fillId="0" borderId="0" xfId="0" applyFont="1" applyAlignment="1">
      <alignment horizontal="justify" vertical="center" wrapText="1"/>
    </xf>
    <xf numFmtId="1" fontId="4" fillId="6" borderId="23" xfId="0" applyNumberFormat="1" applyFont="1" applyFill="1" applyBorder="1" applyAlignment="1">
      <alignment horizontal="justify"/>
    </xf>
    <xf numFmtId="0" fontId="4" fillId="6" borderId="0" xfId="0" applyFont="1" applyFill="1" applyAlignment="1">
      <alignment horizontal="justify"/>
    </xf>
    <xf numFmtId="0" fontId="4" fillId="6" borderId="23" xfId="0" applyFont="1" applyFill="1" applyBorder="1" applyAlignment="1">
      <alignment horizontal="justify"/>
    </xf>
    <xf numFmtId="0" fontId="4" fillId="0" borderId="0" xfId="0" applyFont="1" applyAlignment="1">
      <alignment horizontal="justify"/>
    </xf>
    <xf numFmtId="170" fontId="6" fillId="15" borderId="9" xfId="0" applyNumberFormat="1" applyFont="1" applyFill="1" applyBorder="1" applyAlignment="1">
      <alignment horizontal="center" vertical="center"/>
    </xf>
    <xf numFmtId="0" fontId="6" fillId="15" borderId="15" xfId="0" applyFont="1" applyFill="1" applyBorder="1" applyAlignment="1">
      <alignment horizontal="justify" vertical="center" wrapText="1"/>
    </xf>
    <xf numFmtId="1" fontId="4" fillId="15" borderId="15" xfId="0" applyNumberFormat="1" applyFont="1" applyFill="1" applyBorder="1" applyAlignment="1">
      <alignment horizontal="center" vertical="center"/>
    </xf>
    <xf numFmtId="0" fontId="4" fillId="15" borderId="15" xfId="0" applyFont="1" applyFill="1" applyBorder="1" applyAlignment="1">
      <alignment horizontal="center" vertical="center"/>
    </xf>
    <xf numFmtId="0" fontId="4" fillId="15" borderId="15" xfId="0" applyFont="1" applyFill="1" applyBorder="1"/>
    <xf numFmtId="2" fontId="4" fillId="15" borderId="15" xfId="0" applyNumberFormat="1" applyFont="1" applyFill="1" applyBorder="1" applyAlignment="1">
      <alignment vertical="center" wrapText="1"/>
    </xf>
    <xf numFmtId="171" fontId="4" fillId="15" borderId="15" xfId="0" applyNumberFormat="1" applyFont="1" applyFill="1" applyBorder="1" applyAlignment="1">
      <alignment horizontal="right" vertical="center"/>
    </xf>
    <xf numFmtId="171" fontId="4" fillId="15" borderId="15" xfId="0" applyNumberFormat="1" applyFont="1" applyFill="1" applyBorder="1" applyAlignment="1">
      <alignment horizontal="center"/>
    </xf>
    <xf numFmtId="0" fontId="4" fillId="15" borderId="16" xfId="0" applyFont="1" applyFill="1" applyBorder="1" applyAlignment="1">
      <alignment horizontal="justify" vertical="center" wrapText="1"/>
    </xf>
    <xf numFmtId="0" fontId="4" fillId="0" borderId="21" xfId="0" applyFont="1" applyBorder="1" applyAlignment="1">
      <alignment horizontal="justify"/>
    </xf>
    <xf numFmtId="1" fontId="6" fillId="16" borderId="14" xfId="0" applyNumberFormat="1" applyFont="1" applyFill="1" applyBorder="1" applyAlignment="1">
      <alignment horizontal="justify" vertical="center"/>
    </xf>
    <xf numFmtId="0" fontId="6" fillId="16" borderId="11" xfId="0" applyFont="1" applyFill="1" applyBorder="1" applyAlignment="1">
      <alignment horizontal="justify" vertical="center"/>
    </xf>
    <xf numFmtId="0" fontId="6" fillId="16" borderId="11" xfId="0" applyFont="1" applyFill="1" applyBorder="1" applyAlignment="1">
      <alignment horizontal="center" vertical="center"/>
    </xf>
    <xf numFmtId="169" fontId="6" fillId="16" borderId="11" xfId="0" applyNumberFormat="1" applyFont="1" applyFill="1" applyBorder="1" applyAlignment="1">
      <alignment horizontal="justify" vertical="center"/>
    </xf>
    <xf numFmtId="170" fontId="6" fillId="16" borderId="11" xfId="0" applyNumberFormat="1" applyFont="1" applyFill="1" applyBorder="1" applyAlignment="1">
      <alignment horizontal="center" vertical="center"/>
    </xf>
    <xf numFmtId="0" fontId="6" fillId="16" borderId="11" xfId="0" applyFont="1" applyFill="1" applyBorder="1" applyAlignment="1">
      <alignment horizontal="justify" vertical="center" wrapText="1"/>
    </xf>
    <xf numFmtId="0" fontId="4" fillId="16" borderId="11" xfId="0" applyFont="1" applyFill="1" applyBorder="1"/>
    <xf numFmtId="2" fontId="4" fillId="16" borderId="11" xfId="0" applyNumberFormat="1" applyFont="1" applyFill="1" applyBorder="1" applyAlignment="1">
      <alignment vertical="center" wrapText="1"/>
    </xf>
    <xf numFmtId="171" fontId="4" fillId="16" borderId="11" xfId="0" applyNumberFormat="1" applyFont="1" applyFill="1" applyBorder="1" applyAlignment="1">
      <alignment horizontal="right" vertical="center"/>
    </xf>
    <xf numFmtId="171" fontId="4" fillId="16" borderId="11" xfId="0" applyNumberFormat="1" applyFont="1" applyFill="1" applyBorder="1" applyAlignment="1">
      <alignment horizontal="center"/>
    </xf>
    <xf numFmtId="0" fontId="4" fillId="16" borderId="12" xfId="0" applyFont="1" applyFill="1" applyBorder="1" applyAlignment="1">
      <alignment horizontal="justify" vertical="center" wrapText="1"/>
    </xf>
    <xf numFmtId="0" fontId="4" fillId="6" borderId="25" xfId="0" applyFont="1" applyFill="1" applyBorder="1" applyAlignment="1">
      <alignment horizontal="justify"/>
    </xf>
    <xf numFmtId="170" fontId="6" fillId="15" borderId="15" xfId="0" applyNumberFormat="1" applyFont="1" applyFill="1" applyBorder="1" applyAlignment="1">
      <alignment horizontal="center" vertical="center"/>
    </xf>
    <xf numFmtId="1" fontId="4" fillId="0" borderId="23" xfId="0" applyNumberFormat="1" applyFont="1" applyBorder="1" applyAlignment="1">
      <alignment horizontal="justify" vertical="center"/>
    </xf>
    <xf numFmtId="0" fontId="4" fillId="0" borderId="0" xfId="0" applyFont="1" applyAlignment="1">
      <alignment horizontal="justify" vertical="center"/>
    </xf>
    <xf numFmtId="0" fontId="4" fillId="0" borderId="25" xfId="0" applyFont="1" applyBorder="1" applyAlignment="1">
      <alignment horizontal="justify" vertical="center"/>
    </xf>
    <xf numFmtId="0" fontId="4" fillId="0" borderId="23" xfId="0" applyFont="1" applyBorder="1" applyAlignment="1">
      <alignment horizontal="justify" vertical="center"/>
    </xf>
    <xf numFmtId="0" fontId="4" fillId="0" borderId="19" xfId="0" applyFont="1" applyBorder="1" applyAlignment="1">
      <alignment horizontal="justify" vertical="center"/>
    </xf>
    <xf numFmtId="1" fontId="6" fillId="17" borderId="14" xfId="0" applyNumberFormat="1" applyFont="1" applyFill="1" applyBorder="1" applyAlignment="1">
      <alignment horizontal="justify" vertical="center"/>
    </xf>
    <xf numFmtId="0" fontId="6" fillId="17" borderId="15" xfId="0" applyFont="1" applyFill="1" applyBorder="1" applyAlignment="1">
      <alignment horizontal="justify" vertical="center"/>
    </xf>
    <xf numFmtId="0" fontId="6" fillId="17" borderId="11" xfId="0" applyFont="1" applyFill="1" applyBorder="1" applyAlignment="1">
      <alignment horizontal="justify" vertical="center"/>
    </xf>
    <xf numFmtId="0" fontId="6" fillId="17" borderId="11" xfId="0" applyFont="1" applyFill="1" applyBorder="1" applyAlignment="1">
      <alignment horizontal="center" vertical="center"/>
    </xf>
    <xf numFmtId="169" fontId="6" fillId="17" borderId="11" xfId="0" applyNumberFormat="1" applyFont="1" applyFill="1" applyBorder="1" applyAlignment="1">
      <alignment horizontal="justify" vertical="center"/>
    </xf>
    <xf numFmtId="170" fontId="6" fillId="17" borderId="11" xfId="0" applyNumberFormat="1" applyFont="1" applyFill="1" applyBorder="1" applyAlignment="1">
      <alignment horizontal="center" vertical="center"/>
    </xf>
    <xf numFmtId="0" fontId="6" fillId="17" borderId="11" xfId="0" applyFont="1" applyFill="1" applyBorder="1" applyAlignment="1">
      <alignment horizontal="justify" vertical="center" wrapText="1"/>
    </xf>
    <xf numFmtId="1" fontId="4" fillId="17" borderId="11" xfId="0" applyNumberFormat="1" applyFont="1" applyFill="1" applyBorder="1" applyAlignment="1">
      <alignment horizontal="center" vertical="center"/>
    </xf>
    <xf numFmtId="0" fontId="4" fillId="17" borderId="11" xfId="0" applyFont="1" applyFill="1" applyBorder="1" applyAlignment="1">
      <alignment horizontal="center" vertical="center"/>
    </xf>
    <xf numFmtId="0" fontId="4" fillId="17" borderId="11" xfId="0" applyFont="1" applyFill="1" applyBorder="1"/>
    <xf numFmtId="2" fontId="4" fillId="17" borderId="11" xfId="0" applyNumberFormat="1" applyFont="1" applyFill="1" applyBorder="1" applyAlignment="1">
      <alignment vertical="center" wrapText="1"/>
    </xf>
    <xf numFmtId="171" fontId="4" fillId="17" borderId="11" xfId="0" applyNumberFormat="1" applyFont="1" applyFill="1" applyBorder="1" applyAlignment="1">
      <alignment horizontal="right" vertical="center"/>
    </xf>
    <xf numFmtId="171" fontId="4" fillId="17" borderId="11" xfId="0" applyNumberFormat="1" applyFont="1" applyFill="1" applyBorder="1" applyAlignment="1">
      <alignment horizontal="center"/>
    </xf>
    <xf numFmtId="0" fontId="4" fillId="17" borderId="12" xfId="0" applyFont="1" applyFill="1" applyBorder="1" applyAlignment="1">
      <alignment horizontal="justify" vertical="center" wrapText="1"/>
    </xf>
    <xf numFmtId="0" fontId="4" fillId="6" borderId="19" xfId="0" applyFont="1" applyFill="1" applyBorder="1" applyAlignment="1">
      <alignment horizontal="justify"/>
    </xf>
    <xf numFmtId="0" fontId="4" fillId="6" borderId="11" xfId="0" applyFont="1" applyFill="1" applyBorder="1" applyAlignment="1">
      <alignment horizontal="justify"/>
    </xf>
    <xf numFmtId="0" fontId="4" fillId="6" borderId="12" xfId="0" applyFont="1" applyFill="1" applyBorder="1" applyAlignment="1">
      <alignment horizontal="justify"/>
    </xf>
    <xf numFmtId="0" fontId="6" fillId="15" borderId="11" xfId="0" applyFont="1" applyFill="1" applyBorder="1" applyAlignment="1">
      <alignment horizontal="center" vertical="center"/>
    </xf>
    <xf numFmtId="1" fontId="4" fillId="15" borderId="11" xfId="0" applyNumberFormat="1" applyFont="1" applyFill="1" applyBorder="1" applyAlignment="1">
      <alignment horizontal="center" vertical="center"/>
    </xf>
    <xf numFmtId="0" fontId="4" fillId="15" borderId="11" xfId="0" applyFont="1" applyFill="1" applyBorder="1" applyAlignment="1">
      <alignment horizontal="center" vertical="center"/>
    </xf>
    <xf numFmtId="0" fontId="4" fillId="15" borderId="11" xfId="0" applyFont="1" applyFill="1" applyBorder="1"/>
    <xf numFmtId="0" fontId="4" fillId="0" borderId="19" xfId="0" applyFont="1" applyBorder="1" applyAlignment="1">
      <alignment horizontal="justify"/>
    </xf>
    <xf numFmtId="0" fontId="4" fillId="0" borderId="11" xfId="0" applyFont="1" applyBorder="1" applyAlignment="1">
      <alignment horizontal="justify"/>
    </xf>
    <xf numFmtId="0" fontId="4" fillId="0" borderId="0" xfId="0" applyFont="1" applyAlignment="1">
      <alignment horizontal="justify" wrapText="1"/>
    </xf>
    <xf numFmtId="1" fontId="4" fillId="0" borderId="14" xfId="0" applyNumberFormat="1" applyFont="1" applyBorder="1" applyAlignment="1">
      <alignment horizontal="center" vertical="center"/>
    </xf>
    <xf numFmtId="0" fontId="4" fillId="0" borderId="25" xfId="0" applyFont="1" applyBorder="1" applyAlignment="1">
      <alignment horizontal="justify"/>
    </xf>
    <xf numFmtId="1" fontId="4" fillId="0" borderId="30" xfId="0" applyNumberFormat="1" applyFont="1" applyBorder="1" applyAlignment="1">
      <alignment horizontal="justify"/>
    </xf>
    <xf numFmtId="0" fontId="4" fillId="0" borderId="31" xfId="0" applyFont="1" applyBorder="1" applyAlignment="1">
      <alignment horizontal="justify"/>
    </xf>
    <xf numFmtId="0" fontId="4" fillId="6" borderId="31" xfId="0" applyFont="1" applyFill="1" applyBorder="1" applyAlignment="1">
      <alignment horizontal="justify" vertical="center"/>
    </xf>
    <xf numFmtId="0" fontId="4" fillId="6" borderId="31" xfId="0" applyFont="1" applyFill="1" applyBorder="1" applyAlignment="1">
      <alignment horizontal="justify"/>
    </xf>
    <xf numFmtId="0" fontId="6" fillId="6" borderId="31" xfId="0" applyFont="1" applyFill="1" applyBorder="1" applyAlignment="1">
      <alignment horizontal="center" vertical="center"/>
    </xf>
    <xf numFmtId="0" fontId="4" fillId="6" borderId="31" xfId="0" applyFont="1" applyFill="1" applyBorder="1" applyAlignment="1">
      <alignment horizontal="center"/>
    </xf>
    <xf numFmtId="169" fontId="4" fillId="6" borderId="33" xfId="0" applyNumberFormat="1" applyFont="1" applyFill="1" applyBorder="1" applyAlignment="1">
      <alignment horizontal="justify" vertical="center"/>
    </xf>
    <xf numFmtId="0" fontId="4" fillId="6" borderId="30" xfId="0" applyFont="1" applyFill="1" applyBorder="1" applyAlignment="1">
      <alignment horizontal="justify" vertical="center"/>
    </xf>
    <xf numFmtId="0" fontId="4" fillId="6" borderId="33" xfId="0" applyFont="1" applyFill="1" applyBorder="1" applyAlignment="1">
      <alignment horizontal="justify" vertical="center"/>
    </xf>
    <xf numFmtId="0" fontId="4" fillId="0" borderId="31" xfId="0" applyFont="1" applyBorder="1"/>
    <xf numFmtId="171" fontId="4" fillId="0" borderId="31" xfId="0" applyNumberFormat="1" applyFont="1" applyBorder="1" applyAlignment="1">
      <alignment horizontal="right" vertical="center"/>
    </xf>
    <xf numFmtId="171" fontId="4" fillId="0" borderId="31" xfId="0" applyNumberFormat="1" applyFont="1" applyBorder="1" applyAlignment="1">
      <alignment horizontal="center"/>
    </xf>
    <xf numFmtId="0" fontId="4" fillId="0" borderId="33" xfId="0" applyFont="1" applyBorder="1" applyAlignment="1">
      <alignment horizontal="justify" vertical="center"/>
    </xf>
    <xf numFmtId="1" fontId="4" fillId="0" borderId="0" xfId="0" applyNumberFormat="1" applyFont="1" applyAlignment="1">
      <alignment horizontal="justify"/>
    </xf>
    <xf numFmtId="0" fontId="4" fillId="6" borderId="0" xfId="0" applyFont="1" applyFill="1" applyAlignment="1">
      <alignment horizontal="justify" vertical="center"/>
    </xf>
    <xf numFmtId="0" fontId="4" fillId="6" borderId="0" xfId="0" applyFont="1" applyFill="1" applyAlignment="1">
      <alignment horizontal="center"/>
    </xf>
    <xf numFmtId="169" fontId="4" fillId="6" borderId="0" xfId="0" applyNumberFormat="1" applyFont="1" applyFill="1" applyAlignment="1">
      <alignment horizontal="justify" vertical="center"/>
    </xf>
    <xf numFmtId="170" fontId="4" fillId="6" borderId="0" xfId="0" applyNumberFormat="1" applyFont="1" applyFill="1" applyAlignment="1">
      <alignment horizontal="center" vertical="center"/>
    </xf>
    <xf numFmtId="1" fontId="4" fillId="6" borderId="0" xfId="0" applyNumberFormat="1" applyFont="1" applyFill="1" applyAlignment="1">
      <alignment horizontal="center" vertical="center"/>
    </xf>
    <xf numFmtId="171" fontId="4" fillId="0" borderId="0" xfId="0" applyNumberFormat="1" applyFont="1" applyAlignment="1">
      <alignment horizontal="right" vertical="center"/>
    </xf>
    <xf numFmtId="171" fontId="4" fillId="0" borderId="0" xfId="0" applyNumberFormat="1" applyFont="1" applyAlignment="1">
      <alignment horizontal="center"/>
    </xf>
    <xf numFmtId="0" fontId="4" fillId="0" borderId="0" xfId="0" applyFont="1" applyAlignment="1">
      <alignment horizontal="center"/>
    </xf>
    <xf numFmtId="169" fontId="4" fillId="0" borderId="0" xfId="0" applyNumberFormat="1" applyFont="1" applyAlignment="1">
      <alignment horizontal="center" vertical="center"/>
    </xf>
    <xf numFmtId="170" fontId="4" fillId="0" borderId="0" xfId="0" applyNumberFormat="1" applyFont="1" applyAlignment="1">
      <alignment horizontal="justify" vertical="center"/>
    </xf>
    <xf numFmtId="0" fontId="6" fillId="0" borderId="11" xfId="0" applyFont="1" applyBorder="1" applyAlignment="1">
      <alignment horizontal="center"/>
    </xf>
    <xf numFmtId="0" fontId="6" fillId="0" borderId="0" xfId="0" applyFont="1" applyAlignment="1">
      <alignment horizontal="center"/>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vertical="center" wrapText="1"/>
    </xf>
    <xf numFmtId="3" fontId="5" fillId="0" borderId="7" xfId="0" applyNumberFormat="1" applyFont="1" applyBorder="1" applyAlignment="1">
      <alignment horizontal="left" vertical="center" wrapText="1"/>
    </xf>
    <xf numFmtId="0" fontId="6" fillId="0" borderId="21" xfId="0" applyFont="1" applyBorder="1" applyAlignment="1">
      <alignment horizontal="justify" vertical="center"/>
    </xf>
    <xf numFmtId="0" fontId="6" fillId="0" borderId="9" xfId="0" applyFont="1" applyBorder="1" applyAlignment="1">
      <alignment horizontal="justify" vertical="center"/>
    </xf>
    <xf numFmtId="174" fontId="6" fillId="0" borderId="9" xfId="2" applyNumberFormat="1" applyFont="1" applyBorder="1" applyAlignment="1">
      <alignment horizontal="justify" vertical="center"/>
    </xf>
    <xf numFmtId="174" fontId="6" fillId="0" borderId="9" xfId="2" applyNumberFormat="1" applyFont="1" applyBorder="1" applyAlignment="1">
      <alignment horizontal="right" vertical="center"/>
    </xf>
    <xf numFmtId="0" fontId="6" fillId="0" borderId="9" xfId="0" applyFont="1" applyBorder="1" applyAlignment="1">
      <alignment vertical="center"/>
    </xf>
    <xf numFmtId="0" fontId="6" fillId="0" borderId="0" xfId="0" applyFont="1" applyAlignment="1">
      <alignment vertical="center"/>
    </xf>
    <xf numFmtId="0" fontId="6" fillId="0" borderId="24" xfId="0" applyFont="1" applyBorder="1" applyAlignment="1">
      <alignment vertical="center"/>
    </xf>
    <xf numFmtId="1" fontId="6" fillId="13" borderId="38" xfId="0" applyNumberFormat="1" applyFont="1" applyFill="1" applyBorder="1" applyAlignment="1">
      <alignment horizontal="left" vertical="center" wrapText="1"/>
    </xf>
    <xf numFmtId="169" fontId="6" fillId="13" borderId="15" xfId="0" applyNumberFormat="1" applyFont="1" applyFill="1" applyBorder="1" applyAlignment="1">
      <alignment horizontal="center" vertical="center"/>
    </xf>
    <xf numFmtId="174" fontId="6" fillId="13" borderId="15" xfId="2" applyNumberFormat="1" applyFont="1" applyFill="1" applyBorder="1" applyAlignment="1">
      <alignment horizontal="justify" vertical="center"/>
    </xf>
    <xf numFmtId="174" fontId="6" fillId="13" borderId="15" xfId="2" applyNumberFormat="1" applyFont="1" applyFill="1" applyBorder="1" applyAlignment="1">
      <alignment horizontal="right" vertical="center"/>
    </xf>
    <xf numFmtId="171" fontId="6" fillId="13" borderId="9" xfId="0" applyNumberFormat="1" applyFont="1" applyFill="1" applyBorder="1" applyAlignment="1">
      <alignment vertical="center"/>
    </xf>
    <xf numFmtId="0" fontId="6" fillId="13" borderId="17" xfId="0" applyFont="1" applyFill="1" applyBorder="1" applyAlignment="1">
      <alignment horizontal="justify" vertical="center"/>
    </xf>
    <xf numFmtId="1" fontId="6" fillId="14" borderId="21" xfId="0" applyNumberFormat="1" applyFont="1" applyFill="1" applyBorder="1" applyAlignment="1">
      <alignment horizontal="center" vertical="center"/>
    </xf>
    <xf numFmtId="0" fontId="6" fillId="14" borderId="0" xfId="0" applyFont="1" applyFill="1" applyAlignment="1">
      <alignment horizontal="justify" vertical="center"/>
    </xf>
    <xf numFmtId="169" fontId="6" fillId="14" borderId="9" xfId="0" applyNumberFormat="1" applyFont="1" applyFill="1" applyBorder="1" applyAlignment="1">
      <alignment horizontal="center" vertical="center"/>
    </xf>
    <xf numFmtId="174" fontId="6" fillId="14" borderId="9" xfId="2" applyNumberFormat="1" applyFont="1" applyFill="1" applyBorder="1" applyAlignment="1">
      <alignment horizontal="justify" vertical="center"/>
    </xf>
    <xf numFmtId="174" fontId="6" fillId="14" borderId="9" xfId="2" applyNumberFormat="1" applyFont="1" applyFill="1" applyBorder="1" applyAlignment="1">
      <alignment horizontal="right" vertical="center"/>
    </xf>
    <xf numFmtId="0" fontId="6" fillId="14" borderId="24" xfId="0" applyFont="1" applyFill="1" applyBorder="1" applyAlignment="1">
      <alignment horizontal="justify" vertical="center"/>
    </xf>
    <xf numFmtId="0" fontId="6" fillId="15" borderId="6" xfId="0" applyFont="1" applyFill="1" applyBorder="1" applyAlignment="1">
      <alignment horizontal="center" vertical="center" wrapText="1"/>
    </xf>
    <xf numFmtId="0" fontId="6" fillId="15" borderId="11" xfId="0" applyFont="1" applyFill="1" applyBorder="1" applyAlignment="1">
      <alignment horizontal="justify" vertical="center"/>
    </xf>
    <xf numFmtId="0" fontId="6" fillId="15" borderId="20" xfId="0" applyFont="1" applyFill="1" applyBorder="1" applyAlignment="1">
      <alignment horizontal="justify" vertical="center"/>
    </xf>
    <xf numFmtId="169" fontId="6" fillId="15" borderId="11" xfId="0" applyNumberFormat="1" applyFont="1" applyFill="1" applyBorder="1" applyAlignment="1">
      <alignment horizontal="center" vertical="center"/>
    </xf>
    <xf numFmtId="174" fontId="6" fillId="15" borderId="11" xfId="2" applyNumberFormat="1" applyFont="1" applyFill="1" applyBorder="1" applyAlignment="1">
      <alignment horizontal="justify" vertical="center"/>
    </xf>
    <xf numFmtId="174" fontId="6" fillId="15" borderId="11" xfId="2" applyNumberFormat="1" applyFont="1" applyFill="1" applyBorder="1" applyAlignment="1">
      <alignment horizontal="right" vertical="center"/>
    </xf>
    <xf numFmtId="1" fontId="6" fillId="15" borderId="11" xfId="0" applyNumberFormat="1" applyFont="1" applyFill="1" applyBorder="1" applyAlignment="1">
      <alignment horizontal="center" vertical="center"/>
    </xf>
    <xf numFmtId="0" fontId="6" fillId="15" borderId="11" xfId="0" applyFont="1" applyFill="1" applyBorder="1" applyAlignment="1">
      <alignment vertical="center"/>
    </xf>
    <xf numFmtId="171" fontId="6" fillId="15" borderId="11" xfId="0" applyNumberFormat="1" applyFont="1" applyFill="1" applyBorder="1" applyAlignment="1">
      <alignment vertical="center"/>
    </xf>
    <xf numFmtId="0" fontId="6" fillId="15" borderId="36" xfId="0" applyFont="1" applyFill="1" applyBorder="1" applyAlignment="1">
      <alignment horizontal="justify" vertical="center"/>
    </xf>
    <xf numFmtId="1" fontId="4" fillId="0" borderId="30" xfId="0" applyNumberFormat="1" applyFont="1" applyBorder="1" applyAlignment="1">
      <alignment vertical="center"/>
    </xf>
    <xf numFmtId="0" fontId="4" fillId="0" borderId="31" xfId="0" applyFont="1" applyBorder="1" applyAlignment="1">
      <alignment vertical="center" wrapText="1"/>
    </xf>
    <xf numFmtId="0" fontId="4" fillId="0" borderId="31" xfId="0" applyFont="1" applyBorder="1" applyAlignment="1">
      <alignment horizontal="justify" vertical="center"/>
    </xf>
    <xf numFmtId="169" fontId="4" fillId="0" borderId="33" xfId="0" applyNumberFormat="1" applyFont="1" applyBorder="1" applyAlignment="1">
      <alignment horizontal="center" vertical="center"/>
    </xf>
    <xf numFmtId="43" fontId="6" fillId="0" borderId="32" xfId="1" applyFont="1" applyBorder="1" applyAlignment="1">
      <alignment horizontal="justify" vertical="center"/>
    </xf>
    <xf numFmtId="0" fontId="4" fillId="0" borderId="30" xfId="0" applyFont="1" applyBorder="1" applyAlignment="1">
      <alignment horizontal="justify" vertical="center"/>
    </xf>
    <xf numFmtId="171" fontId="4" fillId="0" borderId="31" xfId="0" applyNumberFormat="1" applyFont="1" applyBorder="1" applyAlignment="1">
      <alignment horizontal="center" vertical="center"/>
    </xf>
    <xf numFmtId="174" fontId="6" fillId="0" borderId="0" xfId="2" applyNumberFormat="1" applyFont="1" applyAlignment="1">
      <alignment horizontal="justify" vertical="center"/>
    </xf>
    <xf numFmtId="174" fontId="6" fillId="0" borderId="0" xfId="2" applyNumberFormat="1" applyFont="1" applyAlignment="1">
      <alignment horizontal="right" vertical="center"/>
    </xf>
    <xf numFmtId="170" fontId="6" fillId="6" borderId="0" xfId="0" applyNumberFormat="1" applyFont="1" applyFill="1" applyAlignment="1">
      <alignment vertical="center"/>
    </xf>
    <xf numFmtId="175" fontId="6" fillId="6" borderId="0" xfId="0" applyNumberFormat="1" applyFont="1" applyFill="1" applyAlignment="1">
      <alignment horizontal="right" vertical="center"/>
    </xf>
    <xf numFmtId="176" fontId="4" fillId="6" borderId="0" xfId="0" applyNumberFormat="1" applyFont="1" applyFill="1" applyAlignment="1">
      <alignment vertical="center"/>
    </xf>
    <xf numFmtId="0" fontId="4" fillId="0" borderId="0" xfId="0" applyFont="1" applyAlignment="1">
      <alignment vertical="center" wrapText="1"/>
    </xf>
    <xf numFmtId="174" fontId="4" fillId="0" borderId="0" xfId="2" applyNumberFormat="1" applyFont="1" applyAlignment="1">
      <alignment horizontal="justify"/>
    </xf>
    <xf numFmtId="174" fontId="4" fillId="0" borderId="0" xfId="2" applyNumberFormat="1" applyFont="1" applyAlignment="1">
      <alignment horizontal="right" vertical="center"/>
    </xf>
    <xf numFmtId="169" fontId="4" fillId="6" borderId="0" xfId="0" applyNumberFormat="1" applyFont="1" applyFill="1" applyAlignment="1">
      <alignment horizontal="center" vertical="center"/>
    </xf>
    <xf numFmtId="174" fontId="4" fillId="6" borderId="0" xfId="2" applyNumberFormat="1" applyFont="1" applyFill="1" applyAlignment="1">
      <alignment horizontal="justify" vertical="center"/>
    </xf>
    <xf numFmtId="174" fontId="4" fillId="6" borderId="0" xfId="2" applyNumberFormat="1" applyFont="1" applyFill="1" applyAlignment="1">
      <alignment horizontal="right" vertical="center"/>
    </xf>
    <xf numFmtId="168" fontId="6" fillId="12" borderId="6" xfId="0" applyNumberFormat="1" applyFont="1" applyFill="1" applyBorder="1" applyAlignment="1">
      <alignment horizontal="center" vertical="center" wrapText="1"/>
    </xf>
    <xf numFmtId="0" fontId="6" fillId="13" borderId="11" xfId="0" applyFont="1" applyFill="1" applyBorder="1" applyAlignment="1">
      <alignment vertical="center"/>
    </xf>
    <xf numFmtId="0" fontId="6" fillId="13" borderId="15" xfId="0" applyFont="1" applyFill="1" applyBorder="1" applyAlignment="1">
      <alignment vertical="center" wrapText="1"/>
    </xf>
    <xf numFmtId="1" fontId="6" fillId="14" borderId="0" xfId="0" applyNumberFormat="1" applyFont="1" applyFill="1" applyAlignment="1">
      <alignment horizontal="center" vertical="center"/>
    </xf>
    <xf numFmtId="0" fontId="6" fillId="14" borderId="0" xfId="0" applyFont="1" applyFill="1" applyAlignment="1">
      <alignment vertical="center"/>
    </xf>
    <xf numFmtId="0" fontId="7" fillId="13" borderId="5" xfId="0" applyFont="1" applyFill="1" applyBorder="1" applyAlignment="1">
      <alignment vertical="center"/>
    </xf>
    <xf numFmtId="0" fontId="7" fillId="13" borderId="9" xfId="0" applyFont="1" applyFill="1" applyBorder="1" applyAlignment="1">
      <alignment horizontal="justify" vertical="center"/>
    </xf>
    <xf numFmtId="0" fontId="7" fillId="13" borderId="9" xfId="0" applyFont="1" applyFill="1" applyBorder="1" applyAlignment="1">
      <alignment vertical="center"/>
    </xf>
    <xf numFmtId="171" fontId="7" fillId="13" borderId="9" xfId="0" applyNumberFormat="1" applyFont="1" applyFill="1" applyBorder="1" applyAlignment="1">
      <alignment vertical="center"/>
    </xf>
    <xf numFmtId="0" fontId="7" fillId="14" borderId="9" xfId="0" applyFont="1" applyFill="1" applyBorder="1" applyAlignment="1">
      <alignment horizontal="justify" vertical="center"/>
    </xf>
    <xf numFmtId="0" fontId="7" fillId="14" borderId="9" xfId="0" applyFont="1" applyFill="1" applyBorder="1" applyAlignment="1">
      <alignment horizontal="center" vertical="center"/>
    </xf>
    <xf numFmtId="0" fontId="7" fillId="14" borderId="9" xfId="0" applyFont="1" applyFill="1" applyBorder="1" applyAlignment="1">
      <alignment vertical="center"/>
    </xf>
    <xf numFmtId="171" fontId="7" fillId="14" borderId="9" xfId="0" applyNumberFormat="1" applyFont="1" applyFill="1" applyBorder="1" applyAlignment="1">
      <alignment vertical="center"/>
    </xf>
    <xf numFmtId="0" fontId="8" fillId="14" borderId="11" xfId="0" applyFont="1" applyFill="1" applyBorder="1" applyAlignment="1">
      <alignment vertical="center"/>
    </xf>
    <xf numFmtId="0" fontId="8" fillId="14" borderId="15" xfId="0" applyFont="1" applyFill="1" applyBorder="1" applyAlignment="1">
      <alignment vertical="center"/>
    </xf>
    <xf numFmtId="0" fontId="7" fillId="15" borderId="15" xfId="0" applyFont="1" applyFill="1" applyBorder="1" applyAlignment="1">
      <alignment horizontal="center" vertical="center"/>
    </xf>
    <xf numFmtId="0" fontId="7" fillId="15" borderId="15" xfId="0" applyFont="1" applyFill="1" applyBorder="1" applyAlignment="1">
      <alignment horizontal="justify" vertical="center"/>
    </xf>
    <xf numFmtId="0" fontId="7" fillId="15" borderId="11" xfId="0" applyFont="1" applyFill="1" applyBorder="1" applyAlignment="1">
      <alignment horizontal="justify" vertical="center"/>
    </xf>
    <xf numFmtId="0" fontId="7" fillId="15" borderId="15" xfId="0" applyFont="1" applyFill="1" applyBorder="1" applyAlignment="1">
      <alignment vertical="center"/>
    </xf>
    <xf numFmtId="171" fontId="7" fillId="15" borderId="15" xfId="0" applyNumberFormat="1" applyFont="1" applyFill="1" applyBorder="1" applyAlignment="1">
      <alignment vertical="center"/>
    </xf>
    <xf numFmtId="0" fontId="8" fillId="15" borderId="11" xfId="0" applyFont="1" applyFill="1" applyBorder="1" applyAlignment="1">
      <alignment vertical="center"/>
    </xf>
    <xf numFmtId="0" fontId="8" fillId="15" borderId="15" xfId="0" applyFont="1" applyFill="1" applyBorder="1" applyAlignment="1">
      <alignment vertical="center"/>
    </xf>
    <xf numFmtId="0" fontId="7" fillId="15" borderId="14" xfId="0" applyFont="1" applyFill="1" applyBorder="1" applyAlignment="1">
      <alignment vertical="center"/>
    </xf>
    <xf numFmtId="0" fontId="7" fillId="15" borderId="11" xfId="0" applyFont="1" applyFill="1" applyBorder="1" applyAlignment="1">
      <alignment vertical="center"/>
    </xf>
    <xf numFmtId="0" fontId="8" fillId="6" borderId="25" xfId="0" applyFont="1" applyFill="1" applyBorder="1" applyAlignment="1">
      <alignment vertical="center" wrapText="1"/>
    </xf>
    <xf numFmtId="0" fontId="7" fillId="15" borderId="16" xfId="0"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7" fillId="0" borderId="31" xfId="0" applyFont="1" applyBorder="1" applyAlignment="1">
      <alignment vertical="center"/>
    </xf>
    <xf numFmtId="0" fontId="7" fillId="0" borderId="33" xfId="0" applyFont="1" applyBorder="1" applyAlignment="1">
      <alignment vertical="center"/>
    </xf>
    <xf numFmtId="43" fontId="7" fillId="0" borderId="32" xfId="5" applyFont="1" applyBorder="1" applyAlignment="1">
      <alignment vertical="center"/>
    </xf>
    <xf numFmtId="0" fontId="6" fillId="0" borderId="33" xfId="0" applyFont="1" applyBorder="1" applyAlignment="1">
      <alignment horizontal="justify" vertical="center"/>
    </xf>
    <xf numFmtId="170" fontId="7" fillId="0" borderId="30" xfId="0" applyNumberFormat="1" applyFont="1" applyBorder="1" applyAlignment="1">
      <alignment vertical="center"/>
    </xf>
    <xf numFmtId="0" fontId="6" fillId="6" borderId="31" xfId="0" applyFont="1" applyFill="1" applyBorder="1" applyAlignment="1">
      <alignment horizontal="justify" vertical="center"/>
    </xf>
    <xf numFmtId="0" fontId="6" fillId="0" borderId="31" xfId="0" applyFont="1" applyBorder="1" applyAlignment="1">
      <alignment horizontal="right" vertical="center"/>
    </xf>
    <xf numFmtId="168" fontId="6" fillId="0" borderId="31" xfId="0" applyNumberFormat="1" applyFont="1" applyBorder="1" applyAlignment="1">
      <alignment horizontal="center" vertical="center"/>
    </xf>
    <xf numFmtId="0" fontId="6" fillId="0" borderId="33" xfId="0" applyFont="1" applyBorder="1" applyAlignment="1">
      <alignment horizontal="left" vertical="center"/>
    </xf>
    <xf numFmtId="0" fontId="4" fillId="0" borderId="9" xfId="0" applyFont="1" applyBorder="1" applyAlignment="1">
      <alignment vertical="center"/>
    </xf>
    <xf numFmtId="0" fontId="6" fillId="13" borderId="11" xfId="0" applyFont="1" applyFill="1" applyBorder="1" applyAlignment="1">
      <alignment horizontal="justify" vertical="center"/>
    </xf>
    <xf numFmtId="0" fontId="6" fillId="13" borderId="11" xfId="0" applyFont="1" applyFill="1" applyBorder="1" applyAlignment="1">
      <alignment horizontal="center" vertical="center"/>
    </xf>
    <xf numFmtId="1" fontId="6" fillId="14" borderId="15" xfId="0" applyNumberFormat="1" applyFont="1" applyFill="1" applyBorder="1" applyAlignment="1">
      <alignment horizontal="center" vertical="center"/>
    </xf>
    <xf numFmtId="0" fontId="6" fillId="14" borderId="15" xfId="0" applyFont="1" applyFill="1" applyBorder="1" applyAlignment="1">
      <alignment vertical="center"/>
    </xf>
    <xf numFmtId="0" fontId="6" fillId="14" borderId="11" xfId="0" applyFont="1" applyFill="1" applyBorder="1" applyAlignment="1">
      <alignment vertical="center"/>
    </xf>
    <xf numFmtId="0" fontId="6" fillId="14" borderId="11" xfId="0" applyFont="1" applyFill="1" applyBorder="1" applyAlignment="1">
      <alignment horizontal="justify" vertical="center"/>
    </xf>
    <xf numFmtId="0" fontId="6" fillId="14" borderId="11" xfId="0" applyFont="1" applyFill="1" applyBorder="1" applyAlignment="1">
      <alignment horizontal="center" vertical="center"/>
    </xf>
    <xf numFmtId="0" fontId="4" fillId="6" borderId="12" xfId="0" applyFont="1" applyFill="1" applyBorder="1"/>
    <xf numFmtId="0" fontId="4" fillId="6" borderId="23" xfId="0" applyFont="1" applyFill="1" applyBorder="1"/>
    <xf numFmtId="0" fontId="4" fillId="6" borderId="25" xfId="0" applyFont="1" applyFill="1" applyBorder="1"/>
    <xf numFmtId="0" fontId="13" fillId="0" borderId="0" xfId="0" applyFont="1"/>
    <xf numFmtId="0" fontId="4" fillId="6" borderId="21" xfId="0" applyFont="1" applyFill="1" applyBorder="1"/>
    <xf numFmtId="0" fontId="4" fillId="6" borderId="13" xfId="0" applyFont="1" applyFill="1" applyBorder="1"/>
    <xf numFmtId="0" fontId="6" fillId="15" borderId="0" xfId="0" applyFont="1" applyFill="1" applyAlignment="1">
      <alignment horizontal="center" vertical="center"/>
    </xf>
    <xf numFmtId="171" fontId="6" fillId="15" borderId="15" xfId="0" applyNumberFormat="1" applyFont="1" applyFill="1" applyBorder="1" applyAlignment="1">
      <alignment horizontal="center" vertical="center"/>
    </xf>
    <xf numFmtId="43" fontId="6" fillId="14" borderId="0" xfId="5" applyFont="1" applyFill="1" applyAlignment="1">
      <alignment vertical="center"/>
    </xf>
    <xf numFmtId="43" fontId="6" fillId="14" borderId="11" xfId="5" applyFont="1" applyFill="1" applyBorder="1" applyAlignment="1">
      <alignment vertical="center"/>
    </xf>
    <xf numFmtId="43" fontId="6" fillId="15" borderId="15" xfId="5" applyFont="1" applyFill="1" applyBorder="1" applyAlignment="1">
      <alignment vertical="center"/>
    </xf>
    <xf numFmtId="169" fontId="4" fillId="6" borderId="33" xfId="0" applyNumberFormat="1" applyFont="1" applyFill="1" applyBorder="1" applyAlignment="1">
      <alignment horizontal="center" vertical="center"/>
    </xf>
    <xf numFmtId="0" fontId="6" fillId="0" borderId="0" xfId="0" applyFont="1" applyAlignment="1">
      <alignment horizontal="center" vertical="center"/>
    </xf>
    <xf numFmtId="3" fontId="7" fillId="3" borderId="6" xfId="0" applyNumberFormat="1" applyFont="1" applyFill="1" applyBorder="1" applyAlignment="1">
      <alignment horizontal="center" vertical="center" textRotation="90" wrapText="1"/>
    </xf>
    <xf numFmtId="3" fontId="7" fillId="3" borderId="15" xfId="0" applyNumberFormat="1" applyFont="1" applyFill="1" applyBorder="1" applyAlignment="1">
      <alignment horizontal="center" vertical="center" textRotation="90" wrapText="1"/>
    </xf>
    <xf numFmtId="0" fontId="7" fillId="3" borderId="14" xfId="0" applyFont="1" applyFill="1" applyBorder="1" applyAlignment="1">
      <alignment horizontal="center" vertical="center" textRotation="90" wrapText="1"/>
    </xf>
    <xf numFmtId="0" fontId="7" fillId="3" borderId="14" xfId="0" applyFont="1" applyFill="1" applyBorder="1" applyAlignment="1">
      <alignment horizontal="center" vertical="center" textRotation="90"/>
    </xf>
    <xf numFmtId="0" fontId="7" fillId="3" borderId="6" xfId="0" applyFont="1" applyFill="1" applyBorder="1" applyAlignment="1">
      <alignment horizontal="center" vertical="center" textRotation="90"/>
    </xf>
    <xf numFmtId="0" fontId="6" fillId="13" borderId="35" xfId="0" applyFont="1" applyFill="1" applyBorder="1" applyAlignment="1">
      <alignment horizontal="center" vertical="center" wrapText="1"/>
    </xf>
    <xf numFmtId="0" fontId="6" fillId="13" borderId="15" xfId="0" applyFont="1" applyFill="1" applyBorder="1" applyAlignment="1">
      <alignment horizontal="justify" vertical="center" wrapText="1"/>
    </xf>
    <xf numFmtId="2" fontId="6" fillId="13" borderId="15" xfId="0" applyNumberFormat="1" applyFont="1" applyFill="1" applyBorder="1" applyAlignment="1">
      <alignment horizontal="right" vertical="center" wrapText="1"/>
    </xf>
    <xf numFmtId="41" fontId="6" fillId="13" borderId="15" xfId="8" applyFont="1" applyFill="1" applyBorder="1" applyAlignment="1">
      <alignment horizontal="right" vertical="center" wrapText="1"/>
    </xf>
    <xf numFmtId="1" fontId="6" fillId="13" borderId="15" xfId="0" applyNumberFormat="1"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12" xfId="0" applyFont="1" applyFill="1" applyBorder="1"/>
    <xf numFmtId="0" fontId="6" fillId="19" borderId="12" xfId="0" applyFont="1" applyFill="1" applyBorder="1" applyAlignment="1">
      <alignment horizontal="center" vertical="center" wrapText="1"/>
    </xf>
    <xf numFmtId="0" fontId="6" fillId="19" borderId="15" xfId="0" applyFont="1" applyFill="1" applyBorder="1" applyAlignment="1">
      <alignment horizontal="justify" vertical="center" wrapText="1"/>
    </xf>
    <xf numFmtId="0" fontId="6" fillId="19" borderId="15" xfId="0" applyFont="1" applyFill="1" applyBorder="1" applyAlignment="1">
      <alignment vertical="center" wrapText="1"/>
    </xf>
    <xf numFmtId="2" fontId="6" fillId="19" borderId="15" xfId="0" applyNumberFormat="1" applyFont="1" applyFill="1" applyBorder="1" applyAlignment="1">
      <alignment horizontal="right" vertical="center" wrapText="1"/>
    </xf>
    <xf numFmtId="41" fontId="6" fillId="19" borderId="15" xfId="8" applyFont="1" applyFill="1" applyBorder="1" applyAlignment="1">
      <alignment horizontal="right" vertical="center" wrapText="1"/>
    </xf>
    <xf numFmtId="1" fontId="6" fillId="19" borderId="15" xfId="0" applyNumberFormat="1"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11" xfId="0" applyFont="1" applyFill="1" applyBorder="1"/>
    <xf numFmtId="0" fontId="4" fillId="15" borderId="15" xfId="0" applyFont="1" applyFill="1" applyBorder="1" applyAlignment="1">
      <alignment horizontal="justify" vertical="center" wrapText="1"/>
    </xf>
    <xf numFmtId="0" fontId="4" fillId="15" borderId="15" xfId="0" applyFont="1" applyFill="1" applyBorder="1" applyAlignment="1">
      <alignment vertical="center" wrapText="1"/>
    </xf>
    <xf numFmtId="2" fontId="4" fillId="15" borderId="15" xfId="0" applyNumberFormat="1" applyFont="1" applyFill="1" applyBorder="1" applyAlignment="1">
      <alignment horizontal="right" vertical="center" wrapText="1"/>
    </xf>
    <xf numFmtId="41" fontId="4" fillId="15" borderId="15" xfId="8" applyFont="1" applyFill="1" applyBorder="1" applyAlignment="1">
      <alignment horizontal="right" vertical="center" wrapText="1"/>
    </xf>
    <xf numFmtId="1" fontId="4" fillId="15" borderId="15" xfId="0" applyNumberFormat="1" applyFont="1" applyFill="1" applyBorder="1" applyAlignment="1">
      <alignment horizontal="center" vertical="center" wrapText="1"/>
    </xf>
    <xf numFmtId="1" fontId="4" fillId="6" borderId="22" xfId="0" applyNumberFormat="1" applyFont="1" applyFill="1" applyBorder="1" applyAlignment="1">
      <alignment vertical="center" wrapText="1"/>
    </xf>
    <xf numFmtId="0" fontId="6" fillId="15" borderId="15" xfId="0" applyFont="1" applyFill="1" applyBorder="1" applyAlignment="1">
      <alignment vertical="center" wrapText="1"/>
    </xf>
    <xf numFmtId="0" fontId="6" fillId="15" borderId="15" xfId="0" applyFont="1" applyFill="1" applyBorder="1" applyAlignment="1">
      <alignment horizontal="center" vertical="center" wrapText="1"/>
    </xf>
    <xf numFmtId="0" fontId="4" fillId="6" borderId="0" xfId="0" applyFont="1" applyFill="1" applyAlignment="1">
      <alignment vertical="center"/>
    </xf>
    <xf numFmtId="0" fontId="4" fillId="0" borderId="0" xfId="0" applyFont="1" applyAlignment="1">
      <alignment horizontal="left"/>
    </xf>
    <xf numFmtId="2" fontId="4" fillId="0" borderId="0" xfId="0" applyNumberFormat="1" applyFont="1" applyAlignment="1">
      <alignment horizontal="right"/>
    </xf>
    <xf numFmtId="165" fontId="4" fillId="0" borderId="0" xfId="0" applyNumberFormat="1" applyFont="1" applyAlignment="1">
      <alignment horizontal="right"/>
    </xf>
    <xf numFmtId="0" fontId="4" fillId="0" borderId="0" xfId="0" applyFont="1" applyAlignment="1">
      <alignment horizontal="center" vertical="center" wrapText="1"/>
    </xf>
    <xf numFmtId="0" fontId="22" fillId="0" borderId="0" xfId="0" applyFont="1"/>
    <xf numFmtId="0" fontId="22" fillId="0" borderId="0" xfId="0" applyFont="1" applyAlignment="1">
      <alignment wrapText="1"/>
    </xf>
    <xf numFmtId="0" fontId="23" fillId="20" borderId="15" xfId="0" applyFont="1" applyFill="1" applyBorder="1" applyAlignment="1">
      <alignment vertical="center"/>
    </xf>
    <xf numFmtId="0" fontId="23" fillId="20" borderId="15" xfId="0" applyFont="1" applyFill="1" applyBorder="1" applyAlignment="1">
      <alignment horizontal="justify" vertical="center"/>
    </xf>
    <xf numFmtId="0" fontId="23" fillId="20" borderId="15" xfId="0" applyFont="1" applyFill="1" applyBorder="1" applyAlignment="1">
      <alignment horizontal="center" vertical="center"/>
    </xf>
    <xf numFmtId="169" fontId="23" fillId="20" borderId="15" xfId="0" applyNumberFormat="1" applyFont="1" applyFill="1" applyBorder="1" applyAlignment="1">
      <alignment horizontal="center" vertical="center"/>
    </xf>
    <xf numFmtId="170" fontId="23" fillId="20" borderId="15" xfId="0" applyNumberFormat="1" applyFont="1" applyFill="1" applyBorder="1" applyAlignment="1">
      <alignment vertical="center"/>
    </xf>
    <xf numFmtId="1" fontId="23" fillId="20" borderId="15" xfId="0" applyNumberFormat="1" applyFont="1" applyFill="1" applyBorder="1" applyAlignment="1">
      <alignment horizontal="center" vertical="center"/>
    </xf>
    <xf numFmtId="0" fontId="22" fillId="6" borderId="0" xfId="0" applyFont="1" applyFill="1"/>
    <xf numFmtId="0" fontId="22" fillId="6" borderId="19" xfId="0" applyFont="1" applyFill="1" applyBorder="1" applyAlignment="1">
      <alignment vertical="center" wrapText="1"/>
    </xf>
    <xf numFmtId="0" fontId="22" fillId="6" borderId="11" xfId="0" applyFont="1" applyFill="1" applyBorder="1" applyAlignment="1">
      <alignment vertical="center" wrapText="1"/>
    </xf>
    <xf numFmtId="0" fontId="22" fillId="6" borderId="12" xfId="0" applyFont="1" applyFill="1" applyBorder="1" applyAlignment="1">
      <alignment vertical="center" wrapText="1"/>
    </xf>
    <xf numFmtId="1" fontId="23" fillId="17" borderId="21" xfId="0" applyNumberFormat="1" applyFont="1" applyFill="1" applyBorder="1" applyAlignment="1">
      <alignment horizontal="center" vertical="center"/>
    </xf>
    <xf numFmtId="0" fontId="23" fillId="17" borderId="9" xfId="0" applyFont="1" applyFill="1" applyBorder="1" applyAlignment="1">
      <alignment vertical="center"/>
    </xf>
    <xf numFmtId="0" fontId="23" fillId="17" borderId="9" xfId="0" applyFont="1" applyFill="1" applyBorder="1" applyAlignment="1">
      <alignment horizontal="justify" vertical="center"/>
    </xf>
    <xf numFmtId="0" fontId="23" fillId="17" borderId="9" xfId="0" applyFont="1" applyFill="1" applyBorder="1" applyAlignment="1">
      <alignment horizontal="center" vertical="center"/>
    </xf>
    <xf numFmtId="169" fontId="23" fillId="17" borderId="9" xfId="0" applyNumberFormat="1" applyFont="1" applyFill="1" applyBorder="1" applyAlignment="1">
      <alignment horizontal="center" vertical="center"/>
    </xf>
    <xf numFmtId="170" fontId="23" fillId="17" borderId="9" xfId="0" applyNumberFormat="1" applyFont="1" applyFill="1" applyBorder="1" applyAlignment="1">
      <alignment vertical="center"/>
    </xf>
    <xf numFmtId="170" fontId="23" fillId="17" borderId="9" xfId="0" applyNumberFormat="1" applyFont="1" applyFill="1" applyBorder="1" applyAlignment="1">
      <alignment horizontal="center" vertical="center"/>
    </xf>
    <xf numFmtId="1" fontId="23" fillId="17" borderId="9" xfId="0" applyNumberFormat="1" applyFont="1" applyFill="1" applyBorder="1" applyAlignment="1">
      <alignment horizontal="center" vertical="center"/>
    </xf>
    <xf numFmtId="0" fontId="22" fillId="6" borderId="23" xfId="0" applyFont="1" applyFill="1" applyBorder="1" applyAlignment="1">
      <alignment vertical="center" wrapText="1"/>
    </xf>
    <xf numFmtId="0" fontId="22" fillId="6" borderId="25" xfId="0" applyFont="1" applyFill="1" applyBorder="1" applyAlignment="1">
      <alignment vertical="center" wrapText="1"/>
    </xf>
    <xf numFmtId="1" fontId="23" fillId="7" borderId="14" xfId="0" applyNumberFormat="1" applyFont="1" applyFill="1" applyBorder="1" applyAlignment="1">
      <alignment horizontal="left" vertical="center" wrapText="1" indent="1"/>
    </xf>
    <xf numFmtId="0" fontId="23" fillId="7" borderId="15" xfId="0" applyFont="1" applyFill="1" applyBorder="1" applyAlignment="1">
      <alignment vertical="center"/>
    </xf>
    <xf numFmtId="0" fontId="23" fillId="7" borderId="15" xfId="0" applyFont="1" applyFill="1" applyBorder="1" applyAlignment="1">
      <alignment horizontal="justify" vertical="center"/>
    </xf>
    <xf numFmtId="0" fontId="23" fillId="7" borderId="15" xfId="0" applyFont="1" applyFill="1" applyBorder="1" applyAlignment="1">
      <alignment horizontal="center" vertical="center"/>
    </xf>
    <xf numFmtId="169" fontId="23" fillId="7" borderId="15" xfId="0" applyNumberFormat="1" applyFont="1" applyFill="1" applyBorder="1" applyAlignment="1">
      <alignment horizontal="center" vertical="center"/>
    </xf>
    <xf numFmtId="170" fontId="23" fillId="7" borderId="15" xfId="0" applyNumberFormat="1" applyFont="1" applyFill="1" applyBorder="1" applyAlignment="1">
      <alignment vertical="center"/>
    </xf>
    <xf numFmtId="170" fontId="23" fillId="7" borderId="15" xfId="0" applyNumberFormat="1" applyFont="1" applyFill="1" applyBorder="1" applyAlignment="1">
      <alignment horizontal="center" vertical="center"/>
    </xf>
    <xf numFmtId="1" fontId="23" fillId="7" borderId="15" xfId="0" applyNumberFormat="1" applyFont="1" applyFill="1" applyBorder="1" applyAlignment="1">
      <alignment horizontal="center" vertical="center"/>
    </xf>
    <xf numFmtId="9" fontId="22" fillId="6" borderId="6" xfId="0" applyNumberFormat="1" applyFont="1" applyFill="1" applyBorder="1" applyAlignment="1">
      <alignment horizontal="center" vertical="center" wrapText="1"/>
    </xf>
    <xf numFmtId="0" fontId="22" fillId="6" borderId="21" xfId="0" applyFont="1" applyFill="1" applyBorder="1" applyAlignment="1">
      <alignment vertical="center" wrapText="1"/>
    </xf>
    <xf numFmtId="0" fontId="22" fillId="6" borderId="13" xfId="0" applyFont="1" applyFill="1" applyBorder="1" applyAlignment="1">
      <alignment vertical="center" wrapText="1"/>
    </xf>
    <xf numFmtId="1" fontId="22" fillId="0" borderId="0" xfId="0" applyNumberFormat="1" applyFont="1"/>
    <xf numFmtId="0" fontId="22" fillId="6" borderId="0" xfId="0" applyFont="1" applyFill="1" applyAlignment="1">
      <alignment horizontal="justify" vertical="center"/>
    </xf>
    <xf numFmtId="0" fontId="22" fillId="6" borderId="0" xfId="0" applyFont="1" applyFill="1" applyAlignment="1">
      <alignment horizontal="center"/>
    </xf>
    <xf numFmtId="169" fontId="22" fillId="6" borderId="0" xfId="0" applyNumberFormat="1" applyFont="1" applyFill="1" applyAlignment="1">
      <alignment horizontal="center" vertical="center"/>
    </xf>
    <xf numFmtId="1" fontId="22" fillId="6" borderId="0" xfId="0" applyNumberFormat="1" applyFont="1" applyFill="1" applyAlignment="1">
      <alignment horizontal="center" vertical="center"/>
    </xf>
    <xf numFmtId="0" fontId="22" fillId="6" borderId="0" xfId="0" applyFont="1" applyFill="1" applyAlignment="1">
      <alignment horizontal="center" vertical="center"/>
    </xf>
    <xf numFmtId="171" fontId="22" fillId="0" borderId="0" xfId="0" applyNumberFormat="1" applyFont="1" applyAlignment="1">
      <alignment horizontal="center"/>
    </xf>
    <xf numFmtId="170" fontId="22" fillId="6" borderId="0" xfId="0" applyNumberFormat="1" applyFont="1" applyFill="1" applyAlignment="1">
      <alignment vertical="center"/>
    </xf>
    <xf numFmtId="170" fontId="22" fillId="6" borderId="0" xfId="0" applyNumberFormat="1" applyFont="1" applyFill="1" applyAlignment="1">
      <alignment horizontal="center" vertical="center"/>
    </xf>
    <xf numFmtId="0" fontId="19" fillId="0" borderId="4" xfId="0" applyFont="1" applyBorder="1"/>
    <xf numFmtId="167" fontId="19" fillId="0" borderId="7" xfId="0" applyNumberFormat="1" applyFont="1" applyBorder="1" applyAlignment="1">
      <alignment horizontal="left"/>
    </xf>
    <xf numFmtId="17" fontId="19" fillId="0" borderId="7" xfId="0" applyNumberFormat="1" applyFont="1" applyBorder="1" applyAlignment="1">
      <alignment horizontal="left"/>
    </xf>
    <xf numFmtId="3" fontId="19" fillId="2" borderId="7" xfId="0" applyNumberFormat="1" applyFont="1" applyFill="1" applyBorder="1" applyAlignment="1">
      <alignment horizontal="left" vertical="center" wrapText="1"/>
    </xf>
    <xf numFmtId="0" fontId="6" fillId="0" borderId="21" xfId="0" applyFont="1" applyBorder="1" applyAlignment="1">
      <alignment vertical="center"/>
    </xf>
    <xf numFmtId="43" fontId="4" fillId="0" borderId="9" xfId="1" applyFont="1" applyBorder="1" applyAlignment="1">
      <alignment vertical="center"/>
    </xf>
    <xf numFmtId="173" fontId="6" fillId="0" borderId="9" xfId="1" applyNumberFormat="1" applyFont="1" applyBorder="1" applyAlignment="1">
      <alignment horizontal="center" vertical="center"/>
    </xf>
    <xf numFmtId="14" fontId="6" fillId="0" borderId="9" xfId="0" applyNumberFormat="1" applyFont="1" applyBorder="1" applyAlignment="1">
      <alignment vertical="center"/>
    </xf>
    <xf numFmtId="0" fontId="4" fillId="0" borderId="24" xfId="0" applyFont="1" applyBorder="1" applyAlignment="1">
      <alignment vertical="center"/>
    </xf>
    <xf numFmtId="0" fontId="7" fillId="12" borderId="14" xfId="0" applyFont="1" applyFill="1" applyBorder="1" applyAlignment="1">
      <alignment horizontal="center" vertical="center" textRotation="90" wrapText="1"/>
    </xf>
    <xf numFmtId="173" fontId="4" fillId="12" borderId="20" xfId="1" applyNumberFormat="1" applyFont="1" applyFill="1" applyBorder="1" applyAlignment="1">
      <alignment horizontal="center" vertical="center" wrapText="1"/>
    </xf>
    <xf numFmtId="173" fontId="6" fillId="12" borderId="20" xfId="1" applyNumberFormat="1" applyFont="1" applyFill="1" applyBorder="1" applyAlignment="1">
      <alignment horizontal="center" vertical="center" wrapText="1"/>
    </xf>
    <xf numFmtId="14" fontId="6" fillId="12" borderId="20" xfId="0" applyNumberFormat="1" applyFont="1" applyFill="1" applyBorder="1" applyAlignment="1">
      <alignment horizontal="center" vertical="center" wrapText="1"/>
    </xf>
    <xf numFmtId="1" fontId="6" fillId="13" borderId="18" xfId="0" applyNumberFormat="1" applyFont="1" applyFill="1" applyBorder="1" applyAlignment="1">
      <alignment horizontal="center" vertical="center" wrapText="1"/>
    </xf>
    <xf numFmtId="0" fontId="4" fillId="13" borderId="15" xfId="0" applyFont="1" applyFill="1" applyBorder="1" applyAlignment="1">
      <alignment horizontal="center" vertical="center"/>
    </xf>
    <xf numFmtId="43" fontId="4" fillId="13" borderId="15" xfId="1" applyFont="1" applyFill="1" applyBorder="1" applyAlignment="1">
      <alignment vertical="center"/>
    </xf>
    <xf numFmtId="173" fontId="4" fillId="13" borderId="15" xfId="1" applyNumberFormat="1" applyFont="1" applyFill="1" applyBorder="1" applyAlignment="1">
      <alignment vertical="center"/>
    </xf>
    <xf numFmtId="173" fontId="6" fillId="13" borderId="15" xfId="1" applyNumberFormat="1" applyFont="1" applyFill="1" applyBorder="1" applyAlignment="1">
      <alignment vertical="center"/>
    </xf>
    <xf numFmtId="14" fontId="6" fillId="13" borderId="15" xfId="0" applyNumberFormat="1" applyFont="1" applyFill="1" applyBorder="1" applyAlignment="1">
      <alignment vertical="center"/>
    </xf>
    <xf numFmtId="0" fontId="4" fillId="13" borderId="17" xfId="0" applyFont="1" applyFill="1" applyBorder="1" applyAlignment="1">
      <alignment horizontal="justify" vertical="center"/>
    </xf>
    <xf numFmtId="1" fontId="6" fillId="14" borderId="16" xfId="0" applyNumberFormat="1" applyFont="1" applyFill="1" applyBorder="1" applyAlignment="1">
      <alignment horizontal="center" vertical="center"/>
    </xf>
    <xf numFmtId="0" fontId="6" fillId="14" borderId="6" xfId="0" applyFont="1" applyFill="1" applyBorder="1" applyAlignment="1">
      <alignment vertical="center"/>
    </xf>
    <xf numFmtId="0" fontId="4" fillId="14" borderId="9" xfId="0" applyFont="1" applyFill="1" applyBorder="1" applyAlignment="1">
      <alignment horizontal="center" vertical="center"/>
    </xf>
    <xf numFmtId="43" fontId="4" fillId="14" borderId="9" xfId="1" applyFont="1" applyFill="1" applyBorder="1" applyAlignment="1">
      <alignment vertical="center"/>
    </xf>
    <xf numFmtId="173" fontId="4" fillId="14" borderId="9" xfId="1" applyNumberFormat="1" applyFont="1" applyFill="1" applyBorder="1" applyAlignment="1">
      <alignment vertical="center"/>
    </xf>
    <xf numFmtId="173" fontId="6" fillId="14" borderId="9" xfId="1" applyNumberFormat="1" applyFont="1" applyFill="1" applyBorder="1" applyAlignment="1">
      <alignment vertical="center"/>
    </xf>
    <xf numFmtId="14" fontId="6" fillId="14" borderId="9" xfId="0" applyNumberFormat="1" applyFont="1" applyFill="1" applyBorder="1" applyAlignment="1">
      <alignment vertical="center"/>
    </xf>
    <xf numFmtId="0" fontId="4" fillId="14" borderId="24" xfId="0" applyFont="1" applyFill="1" applyBorder="1" applyAlignment="1">
      <alignment horizontal="justify" vertical="center"/>
    </xf>
    <xf numFmtId="1" fontId="6" fillId="15" borderId="16" xfId="0" applyNumberFormat="1" applyFont="1" applyFill="1" applyBorder="1" applyAlignment="1">
      <alignment horizontal="center" vertical="center" wrapText="1"/>
    </xf>
    <xf numFmtId="0" fontId="6" fillId="15" borderId="6" xfId="0" applyFont="1" applyFill="1" applyBorder="1" applyAlignment="1">
      <alignment vertical="center"/>
    </xf>
    <xf numFmtId="169" fontId="6" fillId="15" borderId="15" xfId="0" applyNumberFormat="1" applyFont="1" applyFill="1" applyBorder="1" applyAlignment="1">
      <alignment horizontal="center" vertical="center"/>
    </xf>
    <xf numFmtId="43" fontId="4" fillId="15" borderId="15" xfId="1" applyFont="1" applyFill="1" applyBorder="1" applyAlignment="1">
      <alignment vertical="center"/>
    </xf>
    <xf numFmtId="173" fontId="4" fillId="15" borderId="15" xfId="1" applyNumberFormat="1" applyFont="1" applyFill="1" applyBorder="1" applyAlignment="1">
      <alignment vertical="center"/>
    </xf>
    <xf numFmtId="173" fontId="6" fillId="15" borderId="15" xfId="1" applyNumberFormat="1" applyFont="1" applyFill="1" applyBorder="1" applyAlignment="1">
      <alignment vertical="center"/>
    </xf>
    <xf numFmtId="14" fontId="6" fillId="15" borderId="15" xfId="0" applyNumberFormat="1" applyFont="1" applyFill="1" applyBorder="1" applyAlignment="1">
      <alignment vertical="center"/>
    </xf>
    <xf numFmtId="0" fontId="4" fillId="15" borderId="17" xfId="0" applyFont="1" applyFill="1" applyBorder="1" applyAlignment="1">
      <alignment horizontal="justify" vertical="center"/>
    </xf>
    <xf numFmtId="43" fontId="6" fillId="15" borderId="6" xfId="1" applyFont="1" applyFill="1" applyBorder="1" applyAlignment="1">
      <alignment horizontal="center" vertical="center"/>
    </xf>
    <xf numFmtId="14" fontId="4" fillId="15" borderId="15" xfId="0" applyNumberFormat="1" applyFont="1" applyFill="1" applyBorder="1" applyAlignment="1">
      <alignment vertical="center"/>
    </xf>
    <xf numFmtId="0" fontId="4" fillId="15" borderId="17" xfId="0" applyFont="1" applyFill="1" applyBorder="1" applyAlignment="1">
      <alignment horizontal="justify" vertical="center" wrapText="1"/>
    </xf>
    <xf numFmtId="0" fontId="6" fillId="14" borderId="6" xfId="0" applyFont="1" applyFill="1" applyBorder="1" applyAlignment="1">
      <alignment horizontal="justify" vertical="center"/>
    </xf>
    <xf numFmtId="14" fontId="4" fillId="14" borderId="9" xfId="0" applyNumberFormat="1" applyFont="1" applyFill="1" applyBorder="1" applyAlignment="1">
      <alignment vertical="center"/>
    </xf>
    <xf numFmtId="0" fontId="4" fillId="14" borderId="24" xfId="0" applyFont="1" applyFill="1" applyBorder="1" applyAlignment="1">
      <alignment horizontal="justify" vertical="center" wrapText="1"/>
    </xf>
    <xf numFmtId="0" fontId="6" fillId="15" borderId="9" xfId="0" applyFont="1" applyFill="1" applyBorder="1" applyAlignment="1">
      <alignment vertical="center"/>
    </xf>
    <xf numFmtId="0" fontId="6" fillId="15" borderId="9" xfId="0" applyFont="1" applyFill="1" applyBorder="1" applyAlignment="1">
      <alignment horizontal="justify" vertical="center"/>
    </xf>
    <xf numFmtId="0" fontId="6" fillId="15" borderId="9" xfId="0" applyFont="1" applyFill="1" applyBorder="1" applyAlignment="1">
      <alignment horizontal="center" vertical="center"/>
    </xf>
    <xf numFmtId="0" fontId="4" fillId="15" borderId="9" xfId="0" applyFont="1" applyFill="1" applyBorder="1" applyAlignment="1">
      <alignment horizontal="center" vertical="center"/>
    </xf>
    <xf numFmtId="169" fontId="6" fillId="15" borderId="9" xfId="0" applyNumberFormat="1" applyFont="1" applyFill="1" applyBorder="1" applyAlignment="1">
      <alignment horizontal="center" vertical="center"/>
    </xf>
    <xf numFmtId="43" fontId="4" fillId="15" borderId="9" xfId="1" applyFont="1" applyFill="1" applyBorder="1" applyAlignment="1">
      <alignment vertical="center"/>
    </xf>
    <xf numFmtId="1" fontId="6" fillId="15" borderId="0" xfId="0" applyNumberFormat="1" applyFont="1" applyFill="1" applyAlignment="1">
      <alignment horizontal="center" vertical="center"/>
    </xf>
    <xf numFmtId="173" fontId="4" fillId="15" borderId="9" xfId="1" applyNumberFormat="1" applyFont="1" applyFill="1" applyBorder="1" applyAlignment="1">
      <alignment vertical="center"/>
    </xf>
    <xf numFmtId="14" fontId="4" fillId="15" borderId="9" xfId="0" applyNumberFormat="1" applyFont="1" applyFill="1" applyBorder="1" applyAlignment="1">
      <alignment vertical="center"/>
    </xf>
    <xf numFmtId="0" fontId="4" fillId="15" borderId="24" xfId="0" applyFont="1" applyFill="1" applyBorder="1" applyAlignment="1">
      <alignment horizontal="justify" vertical="center" wrapText="1"/>
    </xf>
    <xf numFmtId="1" fontId="4" fillId="0" borderId="30" xfId="0" applyNumberFormat="1" applyFont="1" applyBorder="1"/>
    <xf numFmtId="0" fontId="4" fillId="6" borderId="31" xfId="0" applyFont="1" applyFill="1" applyBorder="1"/>
    <xf numFmtId="0" fontId="7" fillId="6" borderId="31" xfId="0" applyFont="1" applyFill="1" applyBorder="1" applyAlignment="1">
      <alignment horizontal="justify" vertical="center"/>
    </xf>
    <xf numFmtId="43" fontId="6" fillId="0" borderId="32" xfId="1" applyFont="1" applyBorder="1" applyAlignment="1">
      <alignment horizontal="center" vertical="center"/>
    </xf>
    <xf numFmtId="173" fontId="4" fillId="0" borderId="31" xfId="1" applyNumberFormat="1" applyFont="1" applyBorder="1"/>
    <xf numFmtId="14" fontId="4" fillId="0" borderId="31" xfId="0" applyNumberFormat="1" applyFont="1" applyBorder="1" applyAlignment="1">
      <alignment horizontal="right" vertical="center"/>
    </xf>
    <xf numFmtId="43" fontId="4" fillId="6" borderId="0" xfId="1" applyFont="1" applyFill="1" applyAlignment="1">
      <alignment vertical="center"/>
    </xf>
    <xf numFmtId="170" fontId="4" fillId="0" borderId="0" xfId="0" applyNumberFormat="1" applyFont="1" applyAlignment="1">
      <alignment horizontal="center" vertical="center"/>
    </xf>
    <xf numFmtId="173" fontId="4" fillId="0" borderId="0" xfId="1" applyNumberFormat="1" applyFont="1"/>
    <xf numFmtId="14" fontId="4" fillId="0" borderId="0" xfId="0" applyNumberFormat="1" applyFont="1" applyAlignment="1">
      <alignment horizontal="right" vertical="center"/>
    </xf>
    <xf numFmtId="0" fontId="4" fillId="6" borderId="9" xfId="0" applyFont="1" applyFill="1" applyBorder="1"/>
    <xf numFmtId="0" fontId="4" fillId="6" borderId="6" xfId="0" applyFont="1" applyFill="1" applyBorder="1" applyAlignment="1">
      <alignment horizontal="justify" vertical="center"/>
    </xf>
    <xf numFmtId="167" fontId="3" fillId="0" borderId="6" xfId="0" applyNumberFormat="1" applyFont="1" applyBorder="1" applyAlignment="1">
      <alignment horizontal="left"/>
    </xf>
    <xf numFmtId="17" fontId="3" fillId="0" borderId="6" xfId="0" applyNumberFormat="1" applyFont="1" applyBorder="1" applyAlignment="1">
      <alignment horizontal="left"/>
    </xf>
    <xf numFmtId="3" fontId="5" fillId="2" borderId="6" xfId="0" applyNumberFormat="1" applyFont="1" applyFill="1" applyBorder="1" applyAlignment="1">
      <alignment horizontal="left" vertical="center" wrapText="1"/>
    </xf>
    <xf numFmtId="49" fontId="6" fillId="12" borderId="6" xfId="0" applyNumberFormat="1" applyFont="1" applyFill="1" applyBorder="1" applyAlignment="1">
      <alignment horizontal="center" vertical="center" textRotation="90" wrapText="1"/>
    </xf>
    <xf numFmtId="1" fontId="6" fillId="13" borderId="19" xfId="0" applyNumberFormat="1" applyFont="1" applyFill="1" applyBorder="1" applyAlignment="1">
      <alignment horizontal="left" vertical="center" wrapText="1"/>
    </xf>
    <xf numFmtId="9" fontId="6" fillId="13" borderId="11" xfId="19" applyFont="1" applyFill="1" applyBorder="1" applyAlignment="1">
      <alignment horizontal="center" vertical="center"/>
    </xf>
    <xf numFmtId="3" fontId="4" fillId="13" borderId="11" xfId="0" applyNumberFormat="1" applyFont="1" applyFill="1" applyBorder="1" applyAlignment="1">
      <alignment vertical="center"/>
    </xf>
    <xf numFmtId="3" fontId="6" fillId="13" borderId="11" xfId="0" applyNumberFormat="1" applyFont="1" applyFill="1" applyBorder="1" applyAlignment="1">
      <alignment horizontal="right" vertical="center"/>
    </xf>
    <xf numFmtId="173" fontId="6" fillId="13" borderId="11" xfId="0" applyNumberFormat="1" applyFont="1" applyFill="1" applyBorder="1" applyAlignment="1">
      <alignment horizontal="center" vertical="center"/>
    </xf>
    <xf numFmtId="0" fontId="6" fillId="13" borderId="6" xfId="0" applyFont="1" applyFill="1" applyBorder="1" applyAlignment="1">
      <alignment vertical="center"/>
    </xf>
    <xf numFmtId="0" fontId="6" fillId="13" borderId="6" xfId="0" applyFont="1" applyFill="1" applyBorder="1" applyAlignment="1">
      <alignment horizontal="justify" vertical="center"/>
    </xf>
    <xf numFmtId="0" fontId="4" fillId="6" borderId="19" xfId="0" applyFont="1" applyFill="1" applyBorder="1" applyAlignment="1">
      <alignment vertical="center" wrapText="1"/>
    </xf>
    <xf numFmtId="0" fontId="6" fillId="14" borderId="14" xfId="0" applyFont="1" applyFill="1" applyBorder="1" applyAlignment="1">
      <alignment horizontal="left" vertical="center"/>
    </xf>
    <xf numFmtId="1" fontId="6" fillId="14" borderId="15" xfId="0" applyNumberFormat="1" applyFont="1" applyFill="1" applyBorder="1" applyAlignment="1">
      <alignment horizontal="left" vertical="center"/>
    </xf>
    <xf numFmtId="9" fontId="6" fillId="14" borderId="11" xfId="19" applyFont="1" applyFill="1" applyBorder="1" applyAlignment="1">
      <alignment horizontal="center" vertical="center"/>
    </xf>
    <xf numFmtId="3" fontId="4" fillId="14" borderId="11" xfId="0" applyNumberFormat="1" applyFont="1" applyFill="1" applyBorder="1" applyAlignment="1">
      <alignment vertical="center"/>
    </xf>
    <xf numFmtId="3" fontId="6" fillId="14" borderId="11" xfId="0" applyNumberFormat="1" applyFont="1" applyFill="1" applyBorder="1" applyAlignment="1">
      <alignment horizontal="right" vertical="center"/>
    </xf>
    <xf numFmtId="173" fontId="6" fillId="14" borderId="11" xfId="0" applyNumberFormat="1" applyFont="1" applyFill="1" applyBorder="1" applyAlignment="1">
      <alignment horizontal="center" vertical="center"/>
    </xf>
    <xf numFmtId="171" fontId="6" fillId="14" borderId="6" xfId="0" applyNumberFormat="1" applyFont="1" applyFill="1" applyBorder="1" applyAlignment="1">
      <alignment vertical="center"/>
    </xf>
    <xf numFmtId="0" fontId="4" fillId="6" borderId="23" xfId="0" applyFont="1" applyFill="1" applyBorder="1" applyAlignment="1">
      <alignment vertical="center" wrapText="1"/>
    </xf>
    <xf numFmtId="1" fontId="6" fillId="15" borderId="14" xfId="0" applyNumberFormat="1" applyFont="1" applyFill="1" applyBorder="1" applyAlignment="1">
      <alignment horizontal="left" vertical="center" wrapText="1"/>
    </xf>
    <xf numFmtId="1" fontId="6" fillId="15" borderId="15" xfId="0" applyNumberFormat="1" applyFont="1" applyFill="1" applyBorder="1" applyAlignment="1">
      <alignment vertical="center"/>
    </xf>
    <xf numFmtId="0" fontId="6" fillId="15" borderId="16" xfId="0" applyFont="1" applyFill="1" applyBorder="1" applyAlignment="1">
      <alignment vertical="center"/>
    </xf>
    <xf numFmtId="0" fontId="6" fillId="15" borderId="6" xfId="0" applyFont="1" applyFill="1" applyBorder="1" applyAlignment="1">
      <alignment horizontal="justify" vertical="center"/>
    </xf>
    <xf numFmtId="0" fontId="6" fillId="15" borderId="6" xfId="0" applyFont="1" applyFill="1" applyBorder="1" applyAlignment="1">
      <alignment horizontal="center" vertical="center"/>
    </xf>
    <xf numFmtId="9" fontId="6" fillId="15" borderId="6" xfId="19" applyFont="1" applyFill="1" applyBorder="1" applyAlignment="1">
      <alignment horizontal="center" vertical="center"/>
    </xf>
    <xf numFmtId="3" fontId="4" fillId="15" borderId="6" xfId="0" applyNumberFormat="1" applyFont="1" applyFill="1" applyBorder="1" applyAlignment="1">
      <alignment vertical="center"/>
    </xf>
    <xf numFmtId="3" fontId="6" fillId="15" borderId="6" xfId="0" applyNumberFormat="1" applyFont="1" applyFill="1" applyBorder="1" applyAlignment="1">
      <alignment horizontal="right" vertical="center"/>
    </xf>
    <xf numFmtId="171" fontId="6" fillId="15" borderId="6" xfId="0" applyNumberFormat="1" applyFont="1" applyFill="1" applyBorder="1" applyAlignment="1">
      <alignment vertical="center"/>
    </xf>
    <xf numFmtId="1" fontId="6" fillId="14" borderId="14" xfId="0" applyNumberFormat="1" applyFont="1" applyFill="1" applyBorder="1" applyAlignment="1">
      <alignment horizontal="left" vertical="center"/>
    </xf>
    <xf numFmtId="0" fontId="6" fillId="14" borderId="16" xfId="0" applyFont="1" applyFill="1" applyBorder="1" applyAlignment="1">
      <alignment vertical="center"/>
    </xf>
    <xf numFmtId="0" fontId="6" fillId="14" borderId="6" xfId="0" applyFont="1" applyFill="1" applyBorder="1" applyAlignment="1">
      <alignment horizontal="center" vertical="center"/>
    </xf>
    <xf numFmtId="9" fontId="6" fillId="14" borderId="6" xfId="19" applyFont="1" applyFill="1" applyBorder="1" applyAlignment="1">
      <alignment horizontal="center" vertical="center"/>
    </xf>
    <xf numFmtId="3" fontId="4" fillId="14" borderId="6" xfId="0" applyNumberFormat="1" applyFont="1" applyFill="1" applyBorder="1" applyAlignment="1">
      <alignment vertical="center"/>
    </xf>
    <xf numFmtId="3" fontId="6" fillId="14" borderId="6" xfId="0" applyNumberFormat="1" applyFont="1" applyFill="1" applyBorder="1" applyAlignment="1">
      <alignment horizontal="right" vertical="center"/>
    </xf>
    <xf numFmtId="173" fontId="6" fillId="14" borderId="6" xfId="0" applyNumberFormat="1" applyFont="1" applyFill="1" applyBorder="1" applyAlignment="1">
      <alignment horizontal="center" vertical="center"/>
    </xf>
    <xf numFmtId="1" fontId="6" fillId="15" borderId="14" xfId="0" applyNumberFormat="1" applyFont="1" applyFill="1" applyBorder="1" applyAlignment="1">
      <alignment horizontal="left" vertical="center" wrapText="1" indent="1"/>
    </xf>
    <xf numFmtId="1" fontId="6" fillId="15" borderId="16" xfId="0" applyNumberFormat="1" applyFont="1" applyFill="1" applyBorder="1" applyAlignment="1">
      <alignment horizontal="left" vertical="center" wrapText="1" indent="1"/>
    </xf>
    <xf numFmtId="173" fontId="6" fillId="15" borderId="6" xfId="0" applyNumberFormat="1" applyFont="1" applyFill="1" applyBorder="1" applyAlignment="1">
      <alignment horizontal="center" vertical="center" wrapText="1"/>
    </xf>
    <xf numFmtId="0" fontId="4" fillId="6" borderId="43" xfId="0" applyFont="1" applyFill="1" applyBorder="1" applyAlignment="1">
      <alignment vertical="center" wrapText="1"/>
    </xf>
    <xf numFmtId="3" fontId="4" fillId="0" borderId="0" xfId="0" applyNumberFormat="1" applyFont="1"/>
    <xf numFmtId="173" fontId="4" fillId="0" borderId="0" xfId="0" applyNumberFormat="1" applyFont="1" applyAlignment="1">
      <alignment horizontal="center"/>
    </xf>
    <xf numFmtId="170" fontId="4" fillId="0" borderId="0" xfId="0" applyNumberFormat="1" applyFont="1"/>
    <xf numFmtId="3" fontId="6" fillId="6" borderId="11" xfId="0" applyNumberFormat="1" applyFont="1" applyFill="1" applyBorder="1" applyAlignment="1">
      <alignment vertical="center"/>
    </xf>
    <xf numFmtId="167" fontId="3" fillId="0" borderId="6" xfId="0" applyNumberFormat="1" applyFont="1" applyBorder="1" applyAlignment="1">
      <alignment horizontal="left" vertical="center"/>
    </xf>
    <xf numFmtId="17" fontId="3" fillId="0" borderId="6" xfId="0" applyNumberFormat="1" applyFont="1" applyBorder="1" applyAlignment="1">
      <alignment horizontal="left" vertical="center"/>
    </xf>
    <xf numFmtId="170" fontId="6" fillId="12" borderId="14" xfId="0" applyNumberFormat="1" applyFont="1" applyFill="1" applyBorder="1" applyAlignment="1">
      <alignment horizontal="center" vertical="center" wrapText="1"/>
    </xf>
    <xf numFmtId="1" fontId="6" fillId="13" borderId="19" xfId="0" applyNumberFormat="1" applyFont="1" applyFill="1" applyBorder="1" applyAlignment="1">
      <alignment horizontal="left" vertical="center"/>
    </xf>
    <xf numFmtId="0" fontId="6" fillId="13" borderId="11" xfId="0" applyFont="1" applyFill="1" applyBorder="1" applyAlignment="1">
      <alignment horizontal="left" vertical="center"/>
    </xf>
    <xf numFmtId="169" fontId="6" fillId="13" borderId="11" xfId="0" applyNumberFormat="1" applyFont="1" applyFill="1" applyBorder="1" applyAlignment="1">
      <alignment horizontal="left" vertical="center"/>
    </xf>
    <xf numFmtId="170" fontId="6" fillId="13" borderId="11" xfId="0" applyNumberFormat="1" applyFont="1" applyFill="1" applyBorder="1" applyAlignment="1">
      <alignment horizontal="left" vertical="center"/>
    </xf>
    <xf numFmtId="171" fontId="6" fillId="13" borderId="11" xfId="0" applyNumberFormat="1" applyFont="1" applyFill="1" applyBorder="1" applyAlignment="1">
      <alignment horizontal="left" vertical="center"/>
    </xf>
    <xf numFmtId="0" fontId="14" fillId="13" borderId="11" xfId="0" applyFont="1" applyFill="1" applyBorder="1"/>
    <xf numFmtId="0" fontId="14" fillId="13" borderId="12" xfId="0" applyFont="1" applyFill="1" applyBorder="1" applyAlignment="1">
      <alignment horizontal="justify"/>
    </xf>
    <xf numFmtId="0" fontId="14" fillId="0" borderId="0" xfId="0" applyFont="1"/>
    <xf numFmtId="1" fontId="6" fillId="6" borderId="19" xfId="0" applyNumberFormat="1" applyFont="1" applyFill="1" applyBorder="1" applyAlignment="1">
      <alignment horizontal="center" vertical="center" wrapText="1"/>
    </xf>
    <xf numFmtId="1" fontId="6" fillId="14" borderId="11" xfId="0" applyNumberFormat="1" applyFont="1" applyFill="1" applyBorder="1" applyAlignment="1">
      <alignment horizontal="left" vertical="center"/>
    </xf>
    <xf numFmtId="0" fontId="6" fillId="14" borderId="11" xfId="0" applyFont="1" applyFill="1" applyBorder="1" applyAlignment="1">
      <alignment horizontal="left" vertical="center"/>
    </xf>
    <xf numFmtId="169" fontId="6" fillId="14" borderId="11" xfId="0" applyNumberFormat="1" applyFont="1" applyFill="1" applyBorder="1" applyAlignment="1">
      <alignment horizontal="left" vertical="center"/>
    </xf>
    <xf numFmtId="170" fontId="6" fillId="14" borderId="11" xfId="0" applyNumberFormat="1" applyFont="1" applyFill="1" applyBorder="1" applyAlignment="1">
      <alignment horizontal="left" vertical="center"/>
    </xf>
    <xf numFmtId="171" fontId="6" fillId="14" borderId="11" xfId="0" applyNumberFormat="1" applyFont="1" applyFill="1" applyBorder="1" applyAlignment="1">
      <alignment horizontal="left" vertical="center"/>
    </xf>
    <xf numFmtId="0" fontId="14" fillId="14" borderId="11" xfId="0" applyFont="1" applyFill="1" applyBorder="1"/>
    <xf numFmtId="0" fontId="14" fillId="14" borderId="12" xfId="0" applyFont="1" applyFill="1" applyBorder="1" applyAlignment="1">
      <alignment horizontal="justify"/>
    </xf>
    <xf numFmtId="1" fontId="6" fillId="6" borderId="23" xfId="0" applyNumberFormat="1" applyFont="1" applyFill="1" applyBorder="1" applyAlignment="1">
      <alignment horizontal="center" vertical="center" wrapText="1"/>
    </xf>
    <xf numFmtId="0" fontId="6" fillId="6" borderId="19"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1" fontId="6" fillId="15" borderId="15" xfId="0" applyNumberFormat="1" applyFont="1" applyFill="1" applyBorder="1" applyAlignment="1">
      <alignment horizontal="left" vertical="center"/>
    </xf>
    <xf numFmtId="169" fontId="6" fillId="15" borderId="15" xfId="0" applyNumberFormat="1" applyFont="1" applyFill="1" applyBorder="1" applyAlignment="1">
      <alignment horizontal="left" vertical="center"/>
    </xf>
    <xf numFmtId="170" fontId="6" fillId="15" borderId="15" xfId="0" applyNumberFormat="1" applyFont="1" applyFill="1" applyBorder="1" applyAlignment="1">
      <alignment horizontal="left" vertical="center"/>
    </xf>
    <xf numFmtId="1" fontId="4" fillId="15" borderId="15" xfId="0" applyNumberFormat="1" applyFont="1" applyFill="1" applyBorder="1" applyAlignment="1">
      <alignment vertical="center" wrapText="1"/>
    </xf>
    <xf numFmtId="171" fontId="6" fillId="15" borderId="15" xfId="0" applyNumberFormat="1" applyFont="1" applyFill="1" applyBorder="1" applyAlignment="1">
      <alignment horizontal="left" vertical="center"/>
    </xf>
    <xf numFmtId="0" fontId="14" fillId="15" borderId="15" xfId="0" applyFont="1" applyFill="1" applyBorder="1"/>
    <xf numFmtId="0" fontId="14" fillId="15" borderId="16" xfId="0" applyFont="1" applyFill="1" applyBorder="1" applyAlignment="1">
      <alignment horizontal="justify"/>
    </xf>
    <xf numFmtId="0" fontId="6" fillId="6" borderId="23" xfId="0" applyFont="1" applyFill="1" applyBorder="1" applyAlignment="1">
      <alignment horizontal="center" vertical="center"/>
    </xf>
    <xf numFmtId="0" fontId="6" fillId="6" borderId="0" xfId="0" applyFont="1" applyFill="1" applyAlignment="1">
      <alignment horizontal="center" vertical="center"/>
    </xf>
    <xf numFmtId="0" fontId="6" fillId="6" borderId="25" xfId="0" applyFont="1" applyFill="1" applyBorder="1" applyAlignment="1">
      <alignment horizontal="center" vertical="center"/>
    </xf>
    <xf numFmtId="0" fontId="14" fillId="0" borderId="0" xfId="0" applyFont="1" applyAlignment="1">
      <alignment wrapText="1"/>
    </xf>
    <xf numFmtId="1" fontId="6" fillId="6" borderId="23" xfId="0" applyNumberFormat="1" applyFont="1" applyFill="1" applyBorder="1" applyAlignment="1">
      <alignment horizontal="justify" vertical="center"/>
    </xf>
    <xf numFmtId="1" fontId="6" fillId="6" borderId="0" xfId="0" applyNumberFormat="1" applyFont="1" applyFill="1" applyAlignment="1">
      <alignment horizontal="justify" vertical="center"/>
    </xf>
    <xf numFmtId="1" fontId="6" fillId="6" borderId="25" xfId="0" applyNumberFormat="1" applyFont="1" applyFill="1" applyBorder="1" applyAlignment="1">
      <alignment horizontal="justify" vertical="center"/>
    </xf>
    <xf numFmtId="1" fontId="6" fillId="15" borderId="11" xfId="0" applyNumberFormat="1" applyFont="1" applyFill="1" applyBorder="1" applyAlignment="1">
      <alignment horizontal="justify" vertical="center"/>
    </xf>
    <xf numFmtId="0" fontId="14" fillId="15" borderId="16" xfId="0" applyFont="1" applyFill="1" applyBorder="1" applyAlignment="1">
      <alignment horizontal="center" vertical="center"/>
    </xf>
    <xf numFmtId="1" fontId="4" fillId="6" borderId="23" xfId="0" applyNumberFormat="1" applyFont="1" applyFill="1" applyBorder="1" applyAlignment="1">
      <alignment horizontal="justify" vertical="center"/>
    </xf>
    <xf numFmtId="1" fontId="4" fillId="6" borderId="0" xfId="0" applyNumberFormat="1" applyFont="1" applyFill="1" applyAlignment="1">
      <alignment horizontal="justify" vertical="center"/>
    </xf>
    <xf numFmtId="0" fontId="4" fillId="6" borderId="23" xfId="0" applyFont="1" applyFill="1" applyBorder="1" applyAlignment="1">
      <alignment horizontal="justify" vertical="center"/>
    </xf>
    <xf numFmtId="0" fontId="4" fillId="6" borderId="19" xfId="0" applyFont="1" applyFill="1" applyBorder="1" applyAlignment="1">
      <alignment horizontal="justify" vertical="center"/>
    </xf>
    <xf numFmtId="0" fontId="4" fillId="6" borderId="11" xfId="0" applyFont="1" applyFill="1" applyBorder="1" applyAlignment="1">
      <alignment horizontal="justify" vertical="center"/>
    </xf>
    <xf numFmtId="0" fontId="4" fillId="6" borderId="12" xfId="0" applyFont="1" applyFill="1" applyBorder="1" applyAlignment="1">
      <alignment horizontal="justify" vertical="center"/>
    </xf>
    <xf numFmtId="0" fontId="4" fillId="6" borderId="27" xfId="0" applyFont="1" applyFill="1" applyBorder="1" applyAlignment="1">
      <alignment horizontal="justify" vertical="center"/>
    </xf>
    <xf numFmtId="0" fontId="4" fillId="6" borderId="25" xfId="0" applyFont="1" applyFill="1" applyBorder="1" applyAlignment="1">
      <alignment horizontal="justify" vertical="center"/>
    </xf>
    <xf numFmtId="0" fontId="4" fillId="0" borderId="16" xfId="0" applyFont="1" applyBorder="1" applyAlignment="1">
      <alignment horizontal="center" vertical="center"/>
    </xf>
    <xf numFmtId="0" fontId="4" fillId="6" borderId="20" xfId="0" applyFont="1" applyFill="1" applyBorder="1" applyAlignment="1">
      <alignment horizontal="justify" vertical="center"/>
    </xf>
    <xf numFmtId="0" fontId="4" fillId="6" borderId="9" xfId="0" applyFont="1" applyFill="1" applyBorder="1" applyAlignment="1">
      <alignment horizontal="justify" vertical="center"/>
    </xf>
    <xf numFmtId="0" fontId="6" fillId="14" borderId="0" xfId="0" applyFont="1" applyFill="1" applyAlignment="1">
      <alignment horizontal="left" vertical="center"/>
    </xf>
    <xf numFmtId="169" fontId="6" fillId="14" borderId="11" xfId="0" applyNumberFormat="1" applyFont="1" applyFill="1" applyBorder="1" applyAlignment="1">
      <alignment horizontal="center" vertical="center"/>
    </xf>
    <xf numFmtId="43" fontId="6" fillId="14" borderId="11" xfId="5" applyFont="1" applyFill="1" applyBorder="1" applyAlignment="1">
      <alignment horizontal="justify" vertical="center"/>
    </xf>
    <xf numFmtId="171" fontId="6" fillId="14" borderId="11" xfId="0" applyNumberFormat="1" applyFont="1" applyFill="1" applyBorder="1" applyAlignment="1">
      <alignment horizontal="center" vertical="center"/>
    </xf>
    <xf numFmtId="0" fontId="14" fillId="14" borderId="12" xfId="0" applyFont="1" applyFill="1" applyBorder="1" applyAlignment="1">
      <alignment horizontal="center" vertical="center"/>
    </xf>
    <xf numFmtId="0" fontId="6" fillId="6" borderId="0" xfId="0" applyFont="1" applyFill="1" applyAlignment="1">
      <alignment horizontal="justify" vertical="center"/>
    </xf>
    <xf numFmtId="0" fontId="6" fillId="6" borderId="19" xfId="0" applyFont="1" applyFill="1" applyBorder="1" applyAlignment="1">
      <alignment horizontal="justify" vertical="center"/>
    </xf>
    <xf numFmtId="0" fontId="6" fillId="6" borderId="11" xfId="0" applyFont="1" applyFill="1" applyBorder="1" applyAlignment="1">
      <alignment horizontal="justify" vertical="center"/>
    </xf>
    <xf numFmtId="0" fontId="6" fillId="6" borderId="12" xfId="0" applyFont="1" applyFill="1" applyBorder="1" applyAlignment="1">
      <alignment horizontal="justify" vertical="center"/>
    </xf>
    <xf numFmtId="1" fontId="6" fillId="15" borderId="15" xfId="0" applyNumberFormat="1" applyFont="1" applyFill="1" applyBorder="1" applyAlignment="1">
      <alignment horizontal="justify" vertical="center"/>
    </xf>
    <xf numFmtId="43" fontId="6" fillId="15" borderId="15" xfId="5" applyFont="1" applyFill="1" applyBorder="1" applyAlignment="1">
      <alignment horizontal="justify" vertical="center"/>
    </xf>
    <xf numFmtId="0" fontId="6" fillId="6" borderId="23" xfId="0" applyFont="1" applyFill="1" applyBorder="1" applyAlignment="1">
      <alignment horizontal="justify" vertical="center"/>
    </xf>
    <xf numFmtId="0" fontId="6" fillId="6" borderId="25" xfId="0" applyFont="1" applyFill="1" applyBorder="1" applyAlignment="1">
      <alignment horizontal="justify" vertical="center"/>
    </xf>
    <xf numFmtId="0" fontId="4" fillId="6" borderId="22" xfId="0" applyFont="1" applyFill="1" applyBorder="1" applyAlignment="1">
      <alignment horizontal="center"/>
    </xf>
    <xf numFmtId="0" fontId="6" fillId="6" borderId="23" xfId="0" applyFont="1" applyFill="1" applyBorder="1" applyAlignment="1">
      <alignment vertical="center"/>
    </xf>
    <xf numFmtId="0" fontId="6" fillId="6" borderId="0" xfId="0" applyFont="1" applyFill="1" applyAlignment="1">
      <alignment vertical="center"/>
    </xf>
    <xf numFmtId="0" fontId="6" fillId="6" borderId="25" xfId="0" applyFont="1" applyFill="1" applyBorder="1" applyAlignment="1">
      <alignment vertical="center"/>
    </xf>
    <xf numFmtId="14" fontId="14" fillId="0" borderId="22" xfId="0" applyNumberFormat="1" applyFont="1" applyBorder="1" applyAlignment="1">
      <alignment vertical="center"/>
    </xf>
    <xf numFmtId="10" fontId="4" fillId="0" borderId="14" xfId="4" applyNumberFormat="1" applyFont="1" applyBorder="1" applyAlignment="1">
      <alignment horizontal="center" vertical="center"/>
    </xf>
    <xf numFmtId="10" fontId="4" fillId="0" borderId="19" xfId="4" applyNumberFormat="1" applyFont="1" applyBorder="1" applyAlignment="1">
      <alignment horizontal="center" vertical="center"/>
    </xf>
    <xf numFmtId="3" fontId="4" fillId="0" borderId="21" xfId="0" applyNumberFormat="1" applyFont="1" applyBorder="1" applyAlignment="1">
      <alignment horizontal="center" vertical="center"/>
    </xf>
    <xf numFmtId="9" fontId="4" fillId="6" borderId="21" xfId="4" applyFont="1" applyFill="1" applyBorder="1" applyAlignment="1">
      <alignment horizontal="center" vertical="center"/>
    </xf>
    <xf numFmtId="9" fontId="4" fillId="6" borderId="19" xfId="4" applyFont="1" applyFill="1" applyBorder="1" applyAlignment="1">
      <alignment horizontal="center" vertical="center"/>
    </xf>
    <xf numFmtId="0" fontId="4" fillId="6" borderId="23" xfId="0" applyFont="1" applyFill="1" applyBorder="1" applyAlignment="1">
      <alignment vertical="center"/>
    </xf>
    <xf numFmtId="0" fontId="4" fillId="6" borderId="25" xfId="0" applyFont="1" applyFill="1" applyBorder="1" applyAlignment="1">
      <alignment vertical="center"/>
    </xf>
    <xf numFmtId="0" fontId="4" fillId="6" borderId="21" xfId="0" applyFont="1" applyFill="1" applyBorder="1" applyAlignment="1">
      <alignment vertical="center"/>
    </xf>
    <xf numFmtId="0" fontId="4" fillId="6" borderId="9" xfId="0" applyFont="1" applyFill="1" applyBorder="1" applyAlignment="1">
      <alignment vertical="center"/>
    </xf>
    <xf numFmtId="0" fontId="4" fillId="6" borderId="13" xfId="0" applyFont="1" applyFill="1" applyBorder="1" applyAlignment="1">
      <alignment vertical="center"/>
    </xf>
    <xf numFmtId="1" fontId="6" fillId="6" borderId="23" xfId="0" applyNumberFormat="1" applyFont="1" applyFill="1" applyBorder="1" applyAlignment="1">
      <alignment vertical="center" wrapText="1"/>
    </xf>
    <xf numFmtId="1" fontId="6" fillId="6" borderId="0" xfId="0" applyNumberFormat="1" applyFont="1" applyFill="1" applyAlignment="1">
      <alignment vertical="center" wrapText="1"/>
    </xf>
    <xf numFmtId="1" fontId="6" fillId="6" borderId="25" xfId="0" applyNumberFormat="1" applyFont="1" applyFill="1" applyBorder="1" applyAlignment="1">
      <alignment vertical="center" wrapText="1"/>
    </xf>
    <xf numFmtId="0" fontId="6" fillId="14" borderId="15" xfId="0" applyFont="1" applyFill="1" applyBorder="1" applyAlignment="1">
      <alignment horizontal="justify" vertical="center"/>
    </xf>
    <xf numFmtId="0" fontId="6" fillId="14" borderId="15" xfId="0" applyFont="1" applyFill="1" applyBorder="1" applyAlignment="1">
      <alignment horizontal="center" vertical="center"/>
    </xf>
    <xf numFmtId="169" fontId="6" fillId="14" borderId="15" xfId="0" applyNumberFormat="1" applyFont="1" applyFill="1" applyBorder="1" applyAlignment="1">
      <alignment horizontal="center" vertical="center"/>
    </xf>
    <xf numFmtId="43" fontId="6" fillId="14" borderId="15" xfId="5" applyFont="1" applyFill="1" applyBorder="1" applyAlignment="1">
      <alignment vertical="center"/>
    </xf>
    <xf numFmtId="171" fontId="6" fillId="14" borderId="15" xfId="0" applyNumberFormat="1" applyFont="1" applyFill="1" applyBorder="1" applyAlignment="1">
      <alignment horizontal="center" vertical="center"/>
    </xf>
    <xf numFmtId="0" fontId="14" fillId="14" borderId="15" xfId="0" applyFont="1" applyFill="1" applyBorder="1"/>
    <xf numFmtId="0" fontId="26" fillId="14" borderId="15" xfId="0" applyFont="1" applyFill="1" applyBorder="1"/>
    <xf numFmtId="0" fontId="14" fillId="4" borderId="15" xfId="0" applyFont="1" applyFill="1" applyBorder="1"/>
    <xf numFmtId="0" fontId="14" fillId="4" borderId="16" xfId="0" applyFont="1" applyFill="1" applyBorder="1" applyAlignment="1">
      <alignment horizontal="center" vertical="center"/>
    </xf>
    <xf numFmtId="1" fontId="6" fillId="15" borderId="9" xfId="0" applyNumberFormat="1" applyFont="1" applyFill="1" applyBorder="1" applyAlignment="1">
      <alignment horizontal="justify" vertical="center"/>
    </xf>
    <xf numFmtId="0" fontId="6" fillId="15" borderId="21" xfId="0" applyFont="1" applyFill="1" applyBorder="1" applyAlignment="1">
      <alignment horizontal="left" vertical="center"/>
    </xf>
    <xf numFmtId="0" fontId="6" fillId="15" borderId="9" xfId="0" applyFont="1" applyFill="1" applyBorder="1" applyAlignment="1">
      <alignment horizontal="left" vertical="center"/>
    </xf>
    <xf numFmtId="43" fontId="6" fillId="15" borderId="9" xfId="5" applyFont="1" applyFill="1" applyBorder="1" applyAlignment="1">
      <alignment vertical="center"/>
    </xf>
    <xf numFmtId="43" fontId="6" fillId="15" borderId="9" xfId="5" applyFont="1" applyFill="1" applyBorder="1" applyAlignment="1">
      <alignment horizontal="justify" vertical="center"/>
    </xf>
    <xf numFmtId="0" fontId="14" fillId="15" borderId="9" xfId="0" applyFont="1" applyFill="1" applyBorder="1"/>
    <xf numFmtId="0" fontId="26" fillId="15" borderId="9" xfId="0" applyFont="1" applyFill="1" applyBorder="1"/>
    <xf numFmtId="0" fontId="14" fillId="15" borderId="13" xfId="0" applyFont="1" applyFill="1" applyBorder="1" applyAlignment="1">
      <alignment horizontal="center" vertical="center"/>
    </xf>
    <xf numFmtId="0" fontId="14" fillId="0" borderId="0" xfId="0" applyFont="1" applyAlignment="1">
      <alignment horizontal="center"/>
    </xf>
    <xf numFmtId="9" fontId="4" fillId="6" borderId="14" xfId="4" applyFont="1" applyFill="1" applyBorder="1" applyAlignment="1">
      <alignment horizontal="center" vertical="center"/>
    </xf>
    <xf numFmtId="170" fontId="4" fillId="0" borderId="6" xfId="0" applyNumberFormat="1" applyFont="1" applyBorder="1" applyAlignment="1">
      <alignment horizontal="justify" vertical="center"/>
    </xf>
    <xf numFmtId="1" fontId="6" fillId="6" borderId="23" xfId="0" applyNumberFormat="1" applyFont="1" applyFill="1" applyBorder="1" applyAlignment="1">
      <alignment vertical="center"/>
    </xf>
    <xf numFmtId="1" fontId="6" fillId="6" borderId="0" xfId="0" applyNumberFormat="1" applyFont="1" applyFill="1" applyAlignment="1">
      <alignment vertical="center"/>
    </xf>
    <xf numFmtId="1" fontId="6" fillId="6" borderId="25" xfId="0" applyNumberFormat="1" applyFont="1" applyFill="1" applyBorder="1" applyAlignment="1">
      <alignment vertical="center"/>
    </xf>
    <xf numFmtId="43" fontId="6" fillId="15" borderId="15" xfId="5" applyFont="1" applyFill="1" applyBorder="1" applyAlignment="1">
      <alignment horizontal="left" vertical="center"/>
    </xf>
    <xf numFmtId="0" fontId="6" fillId="14" borderId="0" xfId="0" applyFont="1" applyFill="1" applyAlignment="1">
      <alignment horizontal="center" vertical="center"/>
    </xf>
    <xf numFmtId="169" fontId="6" fillId="14" borderId="0" xfId="0" applyNumberFormat="1" applyFont="1" applyFill="1" applyAlignment="1">
      <alignment horizontal="center" vertical="center"/>
    </xf>
    <xf numFmtId="43" fontId="6" fillId="14" borderId="0" xfId="5" applyFont="1" applyFill="1" applyAlignment="1">
      <alignment horizontal="justify" vertical="center"/>
    </xf>
    <xf numFmtId="1" fontId="6" fillId="14" borderId="0" xfId="0" applyNumberFormat="1" applyFont="1" applyFill="1" applyAlignment="1">
      <alignment vertical="center"/>
    </xf>
    <xf numFmtId="1" fontId="14" fillId="14" borderId="0" xfId="0" applyNumberFormat="1" applyFont="1" applyFill="1"/>
    <xf numFmtId="0" fontId="14" fillId="4" borderId="0" xfId="0" applyFont="1" applyFill="1"/>
    <xf numFmtId="0" fontId="14" fillId="4" borderId="25" xfId="0" applyFont="1" applyFill="1" applyBorder="1" applyAlignment="1">
      <alignment horizontal="center" vertical="center"/>
    </xf>
    <xf numFmtId="0" fontId="6" fillId="6" borderId="19" xfId="0" applyFont="1" applyFill="1" applyBorder="1" applyAlignment="1">
      <alignment vertical="center" wrapText="1"/>
    </xf>
    <xf numFmtId="0" fontId="6" fillId="6" borderId="11" xfId="0" applyFont="1" applyFill="1" applyBorder="1" applyAlignment="1">
      <alignment vertical="center" wrapText="1"/>
    </xf>
    <xf numFmtId="0" fontId="6" fillId="6" borderId="12" xfId="0" applyFont="1" applyFill="1" applyBorder="1" applyAlignment="1">
      <alignment vertical="center" wrapText="1"/>
    </xf>
    <xf numFmtId="0" fontId="6" fillId="6" borderId="23" xfId="0" applyFont="1" applyFill="1" applyBorder="1" applyAlignment="1">
      <alignment vertical="center" wrapText="1"/>
    </xf>
    <xf numFmtId="0" fontId="6" fillId="6" borderId="0" xfId="0" applyFont="1" applyFill="1" applyAlignment="1">
      <alignment vertical="center" wrapText="1"/>
    </xf>
    <xf numFmtId="0" fontId="6" fillId="6" borderId="25" xfId="0" applyFont="1" applyFill="1" applyBorder="1" applyAlignment="1">
      <alignment vertical="center" wrapText="1"/>
    </xf>
    <xf numFmtId="0" fontId="4" fillId="6" borderId="22" xfId="0" applyFont="1" applyFill="1" applyBorder="1" applyAlignment="1">
      <alignment horizontal="justify" vertical="center"/>
    </xf>
    <xf numFmtId="1" fontId="4" fillId="6" borderId="23" xfId="0" applyNumberFormat="1" applyFont="1" applyFill="1" applyBorder="1" applyAlignment="1">
      <alignment horizontal="center" vertical="center"/>
    </xf>
    <xf numFmtId="9" fontId="4" fillId="0" borderId="22" xfId="20" applyFont="1" applyBorder="1" applyAlignment="1">
      <alignment horizontal="center" vertical="center"/>
    </xf>
    <xf numFmtId="173" fontId="6" fillId="15" borderId="15" xfId="0" applyNumberFormat="1" applyFont="1" applyFill="1" applyBorder="1" applyAlignment="1">
      <alignment horizontal="center" vertical="center"/>
    </xf>
    <xf numFmtId="1" fontId="6" fillId="14" borderId="11" xfId="0" applyNumberFormat="1" applyFont="1" applyFill="1" applyBorder="1" applyAlignment="1">
      <alignment horizontal="center" vertical="center"/>
    </xf>
    <xf numFmtId="0" fontId="6" fillId="6" borderId="11" xfId="0" applyFont="1" applyFill="1" applyBorder="1" applyAlignment="1">
      <alignment vertical="center"/>
    </xf>
    <xf numFmtId="0" fontId="6" fillId="6" borderId="12" xfId="0" applyFont="1" applyFill="1" applyBorder="1" applyAlignment="1">
      <alignment vertical="center"/>
    </xf>
    <xf numFmtId="1" fontId="6" fillId="6" borderId="21" xfId="0" applyNumberFormat="1" applyFont="1" applyFill="1" applyBorder="1" applyAlignment="1">
      <alignment vertical="center"/>
    </xf>
    <xf numFmtId="1" fontId="6" fillId="6" borderId="9" xfId="0" applyNumberFormat="1" applyFont="1" applyFill="1" applyBorder="1" applyAlignment="1">
      <alignment vertical="center"/>
    </xf>
    <xf numFmtId="1" fontId="6" fillId="6" borderId="13" xfId="0" applyNumberFormat="1" applyFont="1" applyFill="1" applyBorder="1" applyAlignment="1">
      <alignment vertical="center"/>
    </xf>
    <xf numFmtId="0" fontId="6" fillId="6" borderId="9" xfId="0" applyFont="1" applyFill="1" applyBorder="1" applyAlignment="1">
      <alignment vertical="center"/>
    </xf>
    <xf numFmtId="0" fontId="6" fillId="6" borderId="13" xfId="0" applyFont="1" applyFill="1" applyBorder="1" applyAlignment="1">
      <alignment vertical="center"/>
    </xf>
    <xf numFmtId="0" fontId="4" fillId="6" borderId="9" xfId="0" applyFont="1" applyFill="1" applyBorder="1" applyAlignment="1">
      <alignment horizontal="justify"/>
    </xf>
    <xf numFmtId="14" fontId="14" fillId="0" borderId="6" xfId="0" applyNumberFormat="1" applyFont="1" applyBorder="1" applyAlignment="1">
      <alignment vertical="center"/>
    </xf>
    <xf numFmtId="14" fontId="14" fillId="0" borderId="27" xfId="0" applyNumberFormat="1" applyFont="1" applyBorder="1" applyAlignment="1">
      <alignment vertical="center"/>
    </xf>
    <xf numFmtId="0" fontId="6" fillId="6" borderId="6" xfId="0" applyFont="1" applyFill="1" applyBorder="1" applyAlignment="1">
      <alignment horizontal="justify" vertical="center"/>
    </xf>
    <xf numFmtId="0" fontId="6" fillId="6" borderId="6" xfId="0" applyFont="1" applyFill="1" applyBorder="1" applyAlignment="1">
      <alignment horizontal="center" vertical="center" wrapText="1"/>
    </xf>
    <xf numFmtId="9" fontId="6" fillId="6" borderId="6" xfId="4" applyFont="1" applyFill="1" applyBorder="1" applyAlignment="1">
      <alignment horizontal="center" vertical="center"/>
    </xf>
    <xf numFmtId="43" fontId="6" fillId="6" borderId="6" xfId="5" applyFont="1" applyFill="1" applyBorder="1" applyAlignment="1">
      <alignment horizontal="center" vertical="center"/>
    </xf>
    <xf numFmtId="170" fontId="6" fillId="6" borderId="6" xfId="0" applyNumberFormat="1" applyFont="1" applyFill="1" applyBorder="1" applyAlignment="1">
      <alignment horizontal="center" vertical="center"/>
    </xf>
    <xf numFmtId="14" fontId="17" fillId="0" borderId="6" xfId="0" applyNumberFormat="1" applyFont="1" applyBorder="1" applyAlignment="1">
      <alignment vertical="center"/>
    </xf>
    <xf numFmtId="0" fontId="17" fillId="0" borderId="6" xfId="0" applyFont="1" applyBorder="1" applyAlignment="1">
      <alignment horizontal="justify" vertical="center" wrapText="1"/>
    </xf>
    <xf numFmtId="0" fontId="17" fillId="0" borderId="0" xfId="0" applyFont="1"/>
    <xf numFmtId="170" fontId="8" fillId="0" borderId="0" xfId="21" applyNumberFormat="1" applyFont="1" applyAlignment="1">
      <alignment horizontal="center" vertical="center"/>
    </xf>
    <xf numFmtId="0" fontId="14" fillId="0" borderId="0" xfId="0" applyFont="1" applyAlignment="1">
      <alignment horizontal="justify"/>
    </xf>
    <xf numFmtId="3" fontId="4" fillId="0" borderId="0" xfId="0" applyNumberFormat="1" applyFont="1" applyAlignment="1">
      <alignment horizontal="right" vertical="center"/>
    </xf>
    <xf numFmtId="0" fontId="13" fillId="0" borderId="0" xfId="0" applyFont="1" applyAlignment="1">
      <alignment horizontal="justify"/>
    </xf>
    <xf numFmtId="42" fontId="13" fillId="0" borderId="0" xfId="21" applyFont="1" applyAlignment="1">
      <alignment horizontal="justify"/>
    </xf>
    <xf numFmtId="170" fontId="4" fillId="0" borderId="0" xfId="0" applyNumberFormat="1" applyFont="1" applyAlignment="1">
      <alignment horizontal="justify"/>
    </xf>
    <xf numFmtId="42" fontId="4" fillId="0" borderId="0" xfId="21" applyFont="1" applyAlignment="1">
      <alignment horizontal="justify"/>
    </xf>
    <xf numFmtId="0" fontId="4" fillId="0" borderId="0" xfId="0" applyFont="1" applyAlignment="1">
      <alignment horizontal="center" wrapText="1"/>
    </xf>
    <xf numFmtId="0" fontId="7" fillId="15" borderId="14" xfId="0" applyFont="1" applyFill="1" applyBorder="1" applyAlignment="1">
      <alignment horizontal="left" vertical="center"/>
    </xf>
    <xf numFmtId="0" fontId="23" fillId="0" borderId="3" xfId="0" applyFont="1" applyBorder="1"/>
    <xf numFmtId="0" fontId="23" fillId="0" borderId="4" xfId="0" applyFont="1" applyBorder="1"/>
    <xf numFmtId="0" fontId="23" fillId="0" borderId="6" xfId="0" applyFont="1" applyBorder="1" applyAlignment="1">
      <alignment horizontal="left"/>
    </xf>
    <xf numFmtId="167" fontId="23" fillId="0" borderId="7" xfId="0" applyNumberFormat="1" applyFont="1" applyBorder="1" applyAlignment="1">
      <alignment horizontal="left"/>
    </xf>
    <xf numFmtId="0" fontId="23" fillId="0" borderId="6" xfId="0" applyFont="1" applyBorder="1"/>
    <xf numFmtId="17" fontId="23" fillId="0" borderId="7" xfId="0" applyNumberFormat="1" applyFont="1" applyBorder="1" applyAlignment="1">
      <alignment horizontal="left"/>
    </xf>
    <xf numFmtId="0" fontId="23" fillId="0" borderId="6" xfId="0" applyFont="1" applyBorder="1" applyAlignment="1">
      <alignment vertical="center"/>
    </xf>
    <xf numFmtId="3" fontId="27" fillId="2" borderId="7" xfId="0" applyNumberFormat="1" applyFont="1" applyFill="1" applyBorder="1" applyAlignment="1">
      <alignment horizontal="left" vertical="center" wrapText="1"/>
    </xf>
    <xf numFmtId="0" fontId="21" fillId="12" borderId="12" xfId="0" applyFont="1" applyFill="1" applyBorder="1" applyAlignment="1">
      <alignment horizontal="center" vertical="center" wrapText="1"/>
    </xf>
    <xf numFmtId="1" fontId="6" fillId="13" borderId="38" xfId="0" applyNumberFormat="1" applyFont="1" applyFill="1" applyBorder="1" applyAlignment="1">
      <alignment horizontal="center" vertical="center" wrapText="1"/>
    </xf>
    <xf numFmtId="0" fontId="4" fillId="13" borderId="6" xfId="0" applyFont="1" applyFill="1" applyBorder="1"/>
    <xf numFmtId="0" fontId="4" fillId="13" borderId="7" xfId="0" applyFont="1" applyFill="1" applyBorder="1"/>
    <xf numFmtId="0" fontId="4" fillId="14" borderId="6" xfId="0" applyFont="1" applyFill="1" applyBorder="1"/>
    <xf numFmtId="0" fontId="4" fillId="14" borderId="7" xfId="0" applyFont="1" applyFill="1" applyBorder="1"/>
    <xf numFmtId="1" fontId="6" fillId="15" borderId="6" xfId="0" applyNumberFormat="1" applyFont="1" applyFill="1" applyBorder="1" applyAlignment="1">
      <alignment horizontal="left" vertical="center" wrapText="1" indent="1"/>
    </xf>
    <xf numFmtId="0" fontId="4" fillId="15" borderId="6" xfId="0" applyFont="1" applyFill="1" applyBorder="1"/>
    <xf numFmtId="0" fontId="4" fillId="15" borderId="7" xfId="0" applyFont="1" applyFill="1" applyBorder="1"/>
    <xf numFmtId="43" fontId="7" fillId="0" borderId="33" xfId="5" applyFont="1" applyBorder="1" applyAlignment="1">
      <alignment vertical="center"/>
    </xf>
    <xf numFmtId="0" fontId="23" fillId="0" borderId="0" xfId="0" applyFont="1" applyAlignment="1">
      <alignment vertical="center"/>
    </xf>
    <xf numFmtId="43" fontId="22" fillId="0" borderId="0" xfId="5" applyFont="1"/>
    <xf numFmtId="170" fontId="22" fillId="0" borderId="0" xfId="0" applyNumberFormat="1" applyFont="1"/>
    <xf numFmtId="0" fontId="22" fillId="0" borderId="11" xfId="0" applyFont="1" applyBorder="1"/>
    <xf numFmtId="0" fontId="23" fillId="0" borderId="6" xfId="0" applyFont="1" applyBorder="1" applyAlignment="1">
      <alignment horizontal="left" vertical="center"/>
    </xf>
    <xf numFmtId="0" fontId="23" fillId="0" borderId="6" xfId="0" applyFont="1" applyBorder="1" applyAlignment="1">
      <alignment vertical="center" wrapText="1"/>
    </xf>
    <xf numFmtId="3" fontId="27" fillId="0" borderId="20" xfId="0" applyNumberFormat="1" applyFont="1" applyBorder="1" applyAlignment="1">
      <alignment horizontal="left" vertical="center" wrapText="1"/>
    </xf>
    <xf numFmtId="0" fontId="24" fillId="6" borderId="6" xfId="9" applyFont="1" applyFill="1" applyBorder="1" applyAlignment="1">
      <alignment horizontal="justify" vertical="center" wrapText="1"/>
    </xf>
    <xf numFmtId="43" fontId="4" fillId="0" borderId="6" xfId="5" applyFont="1" applyBorder="1" applyAlignment="1">
      <alignment horizontal="right" vertical="center"/>
    </xf>
    <xf numFmtId="43" fontId="4" fillId="15" borderId="15" xfId="5" applyFont="1" applyFill="1" applyBorder="1" applyAlignment="1">
      <alignment horizontal="right" vertical="center"/>
    </xf>
    <xf numFmtId="43" fontId="4" fillId="15" borderId="15" xfId="8" applyNumberFormat="1" applyFont="1" applyFill="1" applyBorder="1" applyAlignment="1">
      <alignment horizontal="right" vertical="center"/>
    </xf>
    <xf numFmtId="49" fontId="24" fillId="0" borderId="6" xfId="10" applyNumberFormat="1" applyFont="1" applyBorder="1" applyAlignment="1">
      <alignment horizontal="justify" vertical="center" wrapText="1"/>
    </xf>
    <xf numFmtId="49" fontId="24" fillId="6" borderId="6" xfId="10" applyNumberFormat="1" applyFont="1" applyFill="1" applyBorder="1" applyAlignment="1">
      <alignment horizontal="justify" vertical="center" wrapText="1"/>
    </xf>
    <xf numFmtId="0" fontId="22" fillId="6" borderId="6" xfId="0" applyFont="1" applyFill="1" applyBorder="1" applyAlignment="1">
      <alignment horizontal="justify" vertical="center"/>
    </xf>
    <xf numFmtId="0" fontId="30" fillId="6" borderId="6" xfId="11" applyFont="1" applyFill="1" applyBorder="1" applyAlignment="1">
      <alignment horizontal="justify" vertical="center" wrapText="1"/>
    </xf>
    <xf numFmtId="0" fontId="24" fillId="6" borderId="6" xfId="11" applyFont="1" applyFill="1" applyBorder="1" applyAlignment="1">
      <alignment horizontal="justify" vertical="center" wrapText="1"/>
    </xf>
    <xf numFmtId="1" fontId="4" fillId="0" borderId="20" xfId="0" applyNumberFormat="1" applyFont="1" applyBorder="1" applyAlignment="1">
      <alignment vertical="center" wrapText="1"/>
    </xf>
    <xf numFmtId="0" fontId="7" fillId="15" borderId="6" xfId="0" applyFont="1" applyFill="1" applyBorder="1" applyAlignment="1">
      <alignment horizontal="left" vertical="center"/>
    </xf>
    <xf numFmtId="0" fontId="7" fillId="0" borderId="15" xfId="0" applyFont="1" applyBorder="1" applyAlignment="1">
      <alignment horizontal="center" vertical="center"/>
    </xf>
    <xf numFmtId="1" fontId="11" fillId="0" borderId="23" xfId="0" applyNumberFormat="1" applyFont="1" applyBorder="1" applyAlignment="1">
      <alignment vertical="center" wrapText="1"/>
    </xf>
    <xf numFmtId="1" fontId="11" fillId="0" borderId="0" xfId="0" applyNumberFormat="1" applyFont="1" applyAlignment="1">
      <alignment vertical="center" wrapText="1"/>
    </xf>
    <xf numFmtId="1" fontId="11" fillId="0" borderId="25" xfId="0" applyNumberFormat="1" applyFont="1" applyBorder="1" applyAlignment="1">
      <alignment vertical="center" wrapText="1"/>
    </xf>
    <xf numFmtId="0" fontId="11" fillId="0" borderId="23" xfId="0" applyFont="1" applyBorder="1" applyAlignment="1">
      <alignment vertical="center" wrapText="1"/>
    </xf>
    <xf numFmtId="0" fontId="11" fillId="0" borderId="0" xfId="0" applyFont="1" applyAlignment="1">
      <alignment vertical="center" wrapText="1"/>
    </xf>
    <xf numFmtId="0" fontId="11" fillId="0" borderId="25" xfId="0" applyFont="1" applyBorder="1" applyAlignment="1">
      <alignment vertical="center" wrapText="1"/>
    </xf>
    <xf numFmtId="0" fontId="10" fillId="0" borderId="19"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1" fontId="10" fillId="0" borderId="6" xfId="0" applyNumberFormat="1" applyFont="1" applyBorder="1" applyAlignment="1">
      <alignment horizontal="center" vertical="center" wrapText="1"/>
    </xf>
    <xf numFmtId="0" fontId="10" fillId="0" borderId="23" xfId="0" applyFont="1" applyBorder="1" applyAlignment="1">
      <alignment vertical="center" wrapText="1"/>
    </xf>
    <xf numFmtId="0" fontId="10" fillId="0" borderId="0" xfId="0" applyFont="1" applyAlignment="1">
      <alignment vertical="center" wrapText="1"/>
    </xf>
    <xf numFmtId="0" fontId="10" fillId="0" borderId="25" xfId="0" applyFont="1" applyBorder="1" applyAlignment="1">
      <alignment vertical="center" wrapText="1"/>
    </xf>
    <xf numFmtId="1" fontId="10" fillId="0" borderId="6" xfId="0" applyNumberFormat="1" applyFont="1" applyBorder="1" applyAlignment="1">
      <alignment vertical="center" wrapText="1"/>
    </xf>
    <xf numFmtId="3" fontId="10" fillId="0" borderId="6" xfId="0" applyNumberFormat="1" applyFont="1" applyBorder="1" applyAlignment="1">
      <alignment horizontal="justify" vertical="center" wrapText="1"/>
    </xf>
    <xf numFmtId="1" fontId="10" fillId="0" borderId="27" xfId="0" applyNumberFormat="1" applyFont="1" applyBorder="1" applyAlignment="1">
      <alignment horizontal="center" vertical="center" wrapText="1"/>
    </xf>
    <xf numFmtId="0" fontId="10" fillId="0" borderId="22" xfId="0" applyFont="1" applyBorder="1" applyAlignment="1">
      <alignment horizontal="center" vertical="center" wrapText="1"/>
    </xf>
    <xf numFmtId="3" fontId="27" fillId="0" borderId="6" xfId="0" applyNumberFormat="1" applyFont="1" applyBorder="1" applyAlignment="1">
      <alignment horizontal="left" vertical="center" wrapText="1"/>
    </xf>
    <xf numFmtId="0" fontId="23" fillId="0" borderId="21" xfId="0" applyFont="1" applyBorder="1" applyAlignment="1">
      <alignment vertical="center"/>
    </xf>
    <xf numFmtId="0" fontId="23" fillId="0" borderId="9" xfId="0" applyFont="1" applyBorder="1" applyAlignment="1">
      <alignment vertical="center"/>
    </xf>
    <xf numFmtId="44" fontId="23" fillId="0" borderId="9" xfId="2" applyFont="1" applyBorder="1" applyAlignment="1">
      <alignment vertical="center"/>
    </xf>
    <xf numFmtId="0" fontId="23" fillId="0" borderId="13" xfId="0" applyFont="1" applyBorder="1" applyAlignment="1">
      <alignment vertical="center"/>
    </xf>
    <xf numFmtId="1" fontId="23" fillId="12" borderId="22" xfId="0" applyNumberFormat="1" applyFont="1" applyFill="1" applyBorder="1" applyAlignment="1">
      <alignment horizontal="center" vertical="center" wrapText="1"/>
    </xf>
    <xf numFmtId="0" fontId="23" fillId="12" borderId="20" xfId="0" applyFont="1" applyFill="1" applyBorder="1" applyAlignment="1">
      <alignment horizontal="center" vertical="center" textRotation="90" wrapText="1"/>
    </xf>
    <xf numFmtId="49" fontId="23" fillId="12" borderId="20" xfId="0" applyNumberFormat="1" applyFont="1" applyFill="1" applyBorder="1" applyAlignment="1">
      <alignment horizontal="center" vertical="center" textRotation="90" wrapText="1"/>
    </xf>
    <xf numFmtId="0" fontId="23" fillId="12" borderId="19" xfId="0" applyFont="1" applyFill="1" applyBorder="1" applyAlignment="1">
      <alignment horizontal="center" vertical="center" textRotation="90" wrapText="1"/>
    </xf>
    <xf numFmtId="1" fontId="23" fillId="13" borderId="14" xfId="0" applyNumberFormat="1" applyFont="1" applyFill="1" applyBorder="1" applyAlignment="1">
      <alignment horizontal="center" vertical="center" wrapText="1"/>
    </xf>
    <xf numFmtId="0" fontId="23" fillId="13" borderId="15" xfId="0" applyFont="1" applyFill="1" applyBorder="1" applyAlignment="1">
      <alignment vertical="center"/>
    </xf>
    <xf numFmtId="0" fontId="23" fillId="13" borderId="15" xfId="0" applyFont="1" applyFill="1" applyBorder="1" applyAlignment="1">
      <alignment horizontal="justify" vertical="center"/>
    </xf>
    <xf numFmtId="0" fontId="23" fillId="13" borderId="15" xfId="0" applyFont="1" applyFill="1" applyBorder="1" applyAlignment="1">
      <alignment horizontal="center" vertical="center"/>
    </xf>
    <xf numFmtId="169" fontId="23" fillId="13" borderId="15" xfId="0" applyNumberFormat="1" applyFont="1" applyFill="1" applyBorder="1" applyAlignment="1">
      <alignment horizontal="center" vertical="center"/>
    </xf>
    <xf numFmtId="170" fontId="23" fillId="13" borderId="15" xfId="0" applyNumberFormat="1" applyFont="1" applyFill="1" applyBorder="1" applyAlignment="1">
      <alignment vertical="center"/>
    </xf>
    <xf numFmtId="44" fontId="23" fillId="13" borderId="15" xfId="2" applyFont="1" applyFill="1" applyBorder="1" applyAlignment="1">
      <alignment horizontal="center" vertical="center"/>
    </xf>
    <xf numFmtId="1" fontId="23" fillId="13" borderId="15" xfId="0" applyNumberFormat="1" applyFont="1" applyFill="1" applyBorder="1" applyAlignment="1">
      <alignment horizontal="center" vertical="center"/>
    </xf>
    <xf numFmtId="171" fontId="23" fillId="13" borderId="15" xfId="0" applyNumberFormat="1" applyFont="1" applyFill="1" applyBorder="1" applyAlignment="1">
      <alignment vertical="center"/>
    </xf>
    <xf numFmtId="0" fontId="23" fillId="13" borderId="16" xfId="0" applyFont="1" applyFill="1" applyBorder="1" applyAlignment="1">
      <alignment horizontal="justify" vertical="center"/>
    </xf>
    <xf numFmtId="1" fontId="23" fillId="14" borderId="6" xfId="0" applyNumberFormat="1" applyFont="1" applyFill="1" applyBorder="1" applyAlignment="1">
      <alignment horizontal="center" vertical="center"/>
    </xf>
    <xf numFmtId="0" fontId="23" fillId="14" borderId="6" xfId="0" applyFont="1" applyFill="1" applyBorder="1" applyAlignment="1">
      <alignment vertical="center"/>
    </xf>
    <xf numFmtId="0" fontId="23" fillId="14" borderId="6" xfId="0" applyFont="1" applyFill="1" applyBorder="1" applyAlignment="1">
      <alignment horizontal="justify" vertical="center"/>
    </xf>
    <xf numFmtId="0" fontId="23" fillId="14" borderId="6" xfId="0" applyFont="1" applyFill="1" applyBorder="1" applyAlignment="1">
      <alignment horizontal="center" vertical="center"/>
    </xf>
    <xf numFmtId="169" fontId="23" fillId="14" borderId="6" xfId="0" applyNumberFormat="1" applyFont="1" applyFill="1" applyBorder="1" applyAlignment="1">
      <alignment horizontal="center" vertical="center"/>
    </xf>
    <xf numFmtId="170" fontId="23" fillId="14" borderId="6" xfId="0" applyNumberFormat="1" applyFont="1" applyFill="1" applyBorder="1" applyAlignment="1">
      <alignment vertical="center"/>
    </xf>
    <xf numFmtId="44" fontId="23" fillId="14" borderId="6" xfId="2" applyFont="1" applyFill="1" applyBorder="1" applyAlignment="1">
      <alignment horizontal="center" vertical="center"/>
    </xf>
    <xf numFmtId="171" fontId="23" fillId="14" borderId="6" xfId="0" applyNumberFormat="1" applyFont="1" applyFill="1" applyBorder="1" applyAlignment="1">
      <alignment vertical="center"/>
    </xf>
    <xf numFmtId="1" fontId="23" fillId="15" borderId="6" xfId="0" applyNumberFormat="1" applyFont="1" applyFill="1" applyBorder="1" applyAlignment="1">
      <alignment horizontal="center" vertical="center" wrapText="1"/>
    </xf>
    <xf numFmtId="0" fontId="23" fillId="15" borderId="6" xfId="0" applyFont="1" applyFill="1" applyBorder="1" applyAlignment="1">
      <alignment vertical="center"/>
    </xf>
    <xf numFmtId="0" fontId="23" fillId="15" borderId="6" xfId="0" applyFont="1" applyFill="1" applyBorder="1" applyAlignment="1">
      <alignment horizontal="justify" vertical="center"/>
    </xf>
    <xf numFmtId="0" fontId="23" fillId="15" borderId="6" xfId="0" applyFont="1" applyFill="1" applyBorder="1" applyAlignment="1">
      <alignment horizontal="center" vertical="center"/>
    </xf>
    <xf numFmtId="169" fontId="23" fillId="15" borderId="6" xfId="0" applyNumberFormat="1" applyFont="1" applyFill="1" applyBorder="1" applyAlignment="1">
      <alignment horizontal="center" vertical="center"/>
    </xf>
    <xf numFmtId="170" fontId="23" fillId="15" borderId="6" xfId="0" applyNumberFormat="1" applyFont="1" applyFill="1" applyBorder="1" applyAlignment="1">
      <alignment vertical="center"/>
    </xf>
    <xf numFmtId="44" fontId="23" fillId="15" borderId="6" xfId="2" applyFont="1" applyFill="1" applyBorder="1" applyAlignment="1">
      <alignment horizontal="center" vertical="center"/>
    </xf>
    <xf numFmtId="1" fontId="23" fillId="15" borderId="6" xfId="0" applyNumberFormat="1" applyFont="1" applyFill="1" applyBorder="1" applyAlignment="1">
      <alignment horizontal="center" vertical="center"/>
    </xf>
    <xf numFmtId="171" fontId="23" fillId="15" borderId="6" xfId="0" applyNumberFormat="1" applyFont="1" applyFill="1" applyBorder="1" applyAlignment="1">
      <alignment vertical="center"/>
    </xf>
    <xf numFmtId="14" fontId="25" fillId="6" borderId="6" xfId="0" applyNumberFormat="1" applyFont="1" applyFill="1" applyBorder="1" applyAlignment="1">
      <alignment horizontal="center" vertical="center" wrapText="1"/>
    </xf>
    <xf numFmtId="0" fontId="7" fillId="13" borderId="11" xfId="0" applyFont="1" applyFill="1" applyBorder="1" applyAlignment="1">
      <alignment vertical="center"/>
    </xf>
    <xf numFmtId="0" fontId="7" fillId="13" borderId="0" xfId="0" applyFont="1" applyFill="1" applyAlignment="1">
      <alignment vertical="center"/>
    </xf>
    <xf numFmtId="0" fontId="7" fillId="13" borderId="15" xfId="0" applyFont="1" applyFill="1" applyBorder="1" applyAlignment="1">
      <alignment horizontal="justify" vertical="center"/>
    </xf>
    <xf numFmtId="0" fontId="7" fillId="13" borderId="15" xfId="0" applyFont="1" applyFill="1" applyBorder="1" applyAlignment="1">
      <alignment horizontal="center" vertical="center"/>
    </xf>
    <xf numFmtId="3" fontId="7" fillId="13" borderId="9" xfId="0" applyNumberFormat="1" applyFont="1" applyFill="1" applyBorder="1" applyAlignment="1">
      <alignment horizontal="center" vertical="center"/>
    </xf>
    <xf numFmtId="1" fontId="7" fillId="13" borderId="9" xfId="0" applyNumberFormat="1" applyFont="1" applyFill="1" applyBorder="1" applyAlignment="1">
      <alignment horizontal="center" vertical="center"/>
    </xf>
    <xf numFmtId="0" fontId="8" fillId="13" borderId="9" xfId="0" applyFont="1" applyFill="1" applyBorder="1" applyAlignment="1">
      <alignment horizontal="left" vertical="center"/>
    </xf>
    <xf numFmtId="0" fontId="7" fillId="13" borderId="15" xfId="0" applyFont="1" applyFill="1" applyBorder="1" applyAlignment="1">
      <alignment vertical="center"/>
    </xf>
    <xf numFmtId="0" fontId="8" fillId="13" borderId="11" xfId="0" applyFont="1" applyFill="1" applyBorder="1" applyAlignment="1">
      <alignment vertical="center"/>
    </xf>
    <xf numFmtId="0" fontId="8" fillId="13" borderId="15" xfId="0" applyFont="1" applyFill="1" applyBorder="1" applyAlignment="1">
      <alignment vertical="center"/>
    </xf>
    <xf numFmtId="0" fontId="8" fillId="13" borderId="16" xfId="0" applyFont="1" applyFill="1" applyBorder="1" applyAlignment="1">
      <alignment vertical="center"/>
    </xf>
    <xf numFmtId="0" fontId="7" fillId="14" borderId="15" xfId="0" applyFont="1" applyFill="1" applyBorder="1" applyAlignment="1">
      <alignment vertical="center"/>
    </xf>
    <xf numFmtId="3" fontId="7" fillId="14" borderId="9" xfId="0" applyNumberFormat="1" applyFont="1" applyFill="1" applyBorder="1" applyAlignment="1">
      <alignment horizontal="center" vertical="center"/>
    </xf>
    <xf numFmtId="1" fontId="7" fillId="14" borderId="9" xfId="0" applyNumberFormat="1" applyFont="1" applyFill="1" applyBorder="1" applyAlignment="1">
      <alignment horizontal="center" vertical="center"/>
    </xf>
    <xf numFmtId="0" fontId="8" fillId="14" borderId="9" xfId="0" applyFont="1" applyFill="1" applyBorder="1" applyAlignment="1">
      <alignment horizontal="left" vertical="center"/>
    </xf>
    <xf numFmtId="0" fontId="8" fillId="14" borderId="16" xfId="0" applyFont="1" applyFill="1" applyBorder="1" applyAlignment="1">
      <alignment vertical="center"/>
    </xf>
    <xf numFmtId="3" fontId="7" fillId="15" borderId="11" xfId="0" applyNumberFormat="1" applyFont="1" applyFill="1" applyBorder="1" applyAlignment="1">
      <alignment horizontal="center" vertical="center"/>
    </xf>
    <xf numFmtId="0" fontId="8" fillId="15" borderId="15" xfId="0" applyFont="1" applyFill="1" applyBorder="1" applyAlignment="1">
      <alignment horizontal="left" vertical="center"/>
    </xf>
    <xf numFmtId="0" fontId="8" fillId="15" borderId="16" xfId="0" applyFont="1" applyFill="1" applyBorder="1" applyAlignment="1">
      <alignment vertical="center"/>
    </xf>
    <xf numFmtId="0" fontId="8" fillId="6" borderId="23" xfId="0" applyFont="1" applyFill="1" applyBorder="1" applyAlignment="1">
      <alignment vertical="center" wrapText="1"/>
    </xf>
    <xf numFmtId="0" fontId="8" fillId="6" borderId="0" xfId="0" applyFont="1" applyFill="1" applyAlignment="1">
      <alignment vertical="center" wrapText="1"/>
    </xf>
    <xf numFmtId="0" fontId="7" fillId="15" borderId="9" xfId="0" applyFont="1" applyFill="1" applyBorder="1" applyAlignment="1">
      <alignment vertical="center"/>
    </xf>
    <xf numFmtId="3" fontId="8" fillId="6" borderId="6" xfId="0" applyNumberFormat="1" applyFont="1" applyFill="1" applyBorder="1" applyAlignment="1">
      <alignment horizontal="center" vertical="center" wrapText="1"/>
    </xf>
    <xf numFmtId="3" fontId="8" fillId="0" borderId="6"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172" fontId="8" fillId="0" borderId="6" xfId="0" applyNumberFormat="1" applyFont="1" applyBorder="1" applyAlignment="1">
      <alignment horizontal="center" vertical="center" wrapText="1"/>
    </xf>
    <xf numFmtId="0" fontId="8" fillId="0" borderId="15" xfId="0" applyFont="1" applyBorder="1" applyAlignment="1">
      <alignment horizontal="center" vertical="center" wrapText="1"/>
    </xf>
    <xf numFmtId="1" fontId="7" fillId="6" borderId="15" xfId="0" applyNumberFormat="1" applyFont="1" applyFill="1" applyBorder="1" applyAlignment="1">
      <alignment vertical="center" wrapText="1"/>
    </xf>
    <xf numFmtId="0" fontId="8" fillId="6" borderId="15" xfId="0" applyFont="1" applyFill="1" applyBorder="1" applyAlignment="1">
      <alignment vertical="center" wrapText="1"/>
    </xf>
    <xf numFmtId="0" fontId="7" fillId="0" borderId="15" xfId="0" applyFont="1" applyBorder="1" applyAlignment="1">
      <alignment horizontal="justify" vertical="center"/>
    </xf>
    <xf numFmtId="0" fontId="0" fillId="0" borderId="15" xfId="0" applyBorder="1" applyAlignment="1">
      <alignment vertical="center" wrapText="1"/>
    </xf>
    <xf numFmtId="0" fontId="0" fillId="0" borderId="14" xfId="0" applyBorder="1" applyAlignment="1">
      <alignment vertical="center" wrapText="1"/>
    </xf>
    <xf numFmtId="44" fontId="7" fillId="0" borderId="27" xfId="2" applyFont="1" applyBorder="1" applyAlignment="1">
      <alignment horizontal="center" vertical="center"/>
    </xf>
    <xf numFmtId="176" fontId="7" fillId="0" borderId="9" xfId="0" applyNumberFormat="1" applyFont="1" applyBorder="1" applyAlignment="1">
      <alignment horizontal="center" vertical="center"/>
    </xf>
    <xf numFmtId="0" fontId="7" fillId="0" borderId="9" xfId="0" applyFont="1" applyBorder="1" applyAlignment="1">
      <alignment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0" fillId="0" borderId="0" xfId="0" applyAlignment="1">
      <alignment vertical="center" wrapText="1"/>
    </xf>
    <xf numFmtId="44" fontId="22" fillId="6" borderId="0" xfId="2" applyFont="1" applyFill="1" applyAlignment="1">
      <alignment horizontal="center" vertical="center"/>
    </xf>
    <xf numFmtId="171" fontId="22" fillId="0" borderId="0" xfId="0" applyNumberFormat="1" applyFont="1" applyAlignment="1">
      <alignment horizontal="right" vertical="center"/>
    </xf>
    <xf numFmtId="0" fontId="22" fillId="0" borderId="0" xfId="0" applyFont="1" applyAlignment="1">
      <alignment horizontal="justify" vertical="center"/>
    </xf>
    <xf numFmtId="0" fontId="23" fillId="0" borderId="0" xfId="0" applyFont="1"/>
    <xf numFmtId="49" fontId="4" fillId="6" borderId="6" xfId="0" applyNumberFormat="1" applyFont="1" applyFill="1" applyBorder="1" applyAlignment="1">
      <alignment horizontal="center" vertical="center" wrapText="1"/>
    </xf>
    <xf numFmtId="3" fontId="4" fillId="0" borderId="19" xfId="0" applyNumberFormat="1" applyFont="1" applyBorder="1" applyAlignment="1">
      <alignment horizontal="center" vertical="center"/>
    </xf>
    <xf numFmtId="9" fontId="4" fillId="6" borderId="6" xfId="4" applyFont="1" applyFill="1" applyBorder="1" applyAlignment="1">
      <alignment horizontal="center" vertical="center"/>
    </xf>
    <xf numFmtId="0" fontId="14" fillId="0" borderId="6" xfId="0" applyFont="1" applyBorder="1" applyAlignment="1">
      <alignment vertical="center"/>
    </xf>
    <xf numFmtId="0" fontId="22" fillId="6" borderId="0" xfId="0" applyFont="1" applyFill="1" applyAlignment="1">
      <alignment vertical="center"/>
    </xf>
    <xf numFmtId="0" fontId="22" fillId="0" borderId="0" xfId="0" applyFont="1" applyAlignment="1">
      <alignment vertical="center"/>
    </xf>
    <xf numFmtId="10" fontId="23" fillId="0" borderId="9" xfId="0" applyNumberFormat="1" applyFont="1" applyBorder="1" applyAlignment="1">
      <alignment vertical="center"/>
    </xf>
    <xf numFmtId="0" fontId="22" fillId="12" borderId="22" xfId="0" applyFont="1" applyFill="1" applyBorder="1" applyAlignment="1">
      <alignment horizontal="center" vertical="center" wrapText="1"/>
    </xf>
    <xf numFmtId="1" fontId="22" fillId="12" borderId="22" xfId="0" applyNumberFormat="1" applyFont="1" applyFill="1" applyBorder="1" applyAlignment="1">
      <alignment horizontal="center" vertical="center" wrapText="1"/>
    </xf>
    <xf numFmtId="0" fontId="22" fillId="12" borderId="20" xfId="0" applyFont="1" applyFill="1" applyBorder="1" applyAlignment="1">
      <alignment horizontal="center" vertical="center" textRotation="90" wrapText="1"/>
    </xf>
    <xf numFmtId="49" fontId="22" fillId="12" borderId="20" xfId="0" applyNumberFormat="1" applyFont="1" applyFill="1" applyBorder="1" applyAlignment="1">
      <alignment horizontal="center" vertical="center" textRotation="90" wrapText="1"/>
    </xf>
    <xf numFmtId="0" fontId="22" fillId="12" borderId="19" xfId="0" applyFont="1" applyFill="1" applyBorder="1" applyAlignment="1">
      <alignment horizontal="center" vertical="center" textRotation="90" wrapText="1"/>
    </xf>
    <xf numFmtId="0" fontId="22" fillId="0" borderId="0" xfId="0" applyFont="1" applyAlignment="1">
      <alignment horizontal="center" vertical="center"/>
    </xf>
    <xf numFmtId="1" fontId="23" fillId="13" borderId="15" xfId="0" applyNumberFormat="1" applyFont="1" applyFill="1" applyBorder="1" applyAlignment="1">
      <alignment vertical="center" wrapText="1"/>
    </xf>
    <xf numFmtId="1" fontId="23" fillId="13" borderId="15" xfId="0" applyNumberFormat="1" applyFont="1" applyFill="1" applyBorder="1" applyAlignment="1">
      <alignment horizontal="center" vertical="center" wrapText="1"/>
    </xf>
    <xf numFmtId="10" fontId="23" fillId="13" borderId="15" xfId="0" applyNumberFormat="1" applyFont="1" applyFill="1" applyBorder="1" applyAlignment="1">
      <alignment vertical="center" wrapText="1"/>
    </xf>
    <xf numFmtId="1" fontId="23" fillId="13" borderId="16" xfId="0" applyNumberFormat="1" applyFont="1" applyFill="1" applyBorder="1" applyAlignment="1">
      <alignment vertical="center" wrapText="1"/>
    </xf>
    <xf numFmtId="1" fontId="23" fillId="14" borderId="14" xfId="0" applyNumberFormat="1" applyFont="1" applyFill="1" applyBorder="1" applyAlignment="1">
      <alignment horizontal="center" vertical="center"/>
    </xf>
    <xf numFmtId="0" fontId="23" fillId="14" borderId="9" xfId="0" applyFont="1" applyFill="1" applyBorder="1" applyAlignment="1">
      <alignment vertical="center"/>
    </xf>
    <xf numFmtId="0" fontId="23" fillId="14" borderId="9" xfId="0" applyFont="1" applyFill="1" applyBorder="1" applyAlignment="1">
      <alignment horizontal="center" vertical="center"/>
    </xf>
    <xf numFmtId="0" fontId="23" fillId="14" borderId="9" xfId="0" applyFont="1" applyFill="1" applyBorder="1" applyAlignment="1">
      <alignment horizontal="justify" vertical="center"/>
    </xf>
    <xf numFmtId="10" fontId="23" fillId="14" borderId="9" xfId="0" applyNumberFormat="1" applyFont="1" applyFill="1" applyBorder="1" applyAlignment="1">
      <alignment horizontal="center" vertical="center"/>
    </xf>
    <xf numFmtId="170" fontId="23" fillId="14" borderId="9" xfId="0" applyNumberFormat="1" applyFont="1" applyFill="1" applyBorder="1" applyAlignment="1">
      <alignment vertical="center"/>
    </xf>
    <xf numFmtId="170" fontId="23" fillId="14" borderId="9" xfId="0" applyNumberFormat="1" applyFont="1" applyFill="1" applyBorder="1" applyAlignment="1">
      <alignment horizontal="center" vertical="center"/>
    </xf>
    <xf numFmtId="1" fontId="23" fillId="14" borderId="9" xfId="0" applyNumberFormat="1" applyFont="1" applyFill="1" applyBorder="1" applyAlignment="1">
      <alignment horizontal="center" vertical="center"/>
    </xf>
    <xf numFmtId="171" fontId="23" fillId="14" borderId="9" xfId="0" applyNumberFormat="1" applyFont="1" applyFill="1" applyBorder="1" applyAlignment="1">
      <alignment vertical="center"/>
    </xf>
    <xf numFmtId="0" fontId="23" fillId="14" borderId="13" xfId="0" applyFont="1" applyFill="1" applyBorder="1" applyAlignment="1">
      <alignment horizontal="justify" vertical="center"/>
    </xf>
    <xf numFmtId="0" fontId="23" fillId="15" borderId="15" xfId="0" applyFont="1" applyFill="1" applyBorder="1" applyAlignment="1">
      <alignment vertical="center"/>
    </xf>
    <xf numFmtId="0" fontId="23" fillId="15" borderId="15" xfId="0" applyFont="1" applyFill="1" applyBorder="1" applyAlignment="1">
      <alignment horizontal="center" vertical="center"/>
    </xf>
    <xf numFmtId="0" fontId="23" fillId="15" borderId="15" xfId="0" applyFont="1" applyFill="1" applyBorder="1" applyAlignment="1">
      <alignment horizontal="justify" vertical="center"/>
    </xf>
    <xf numFmtId="10" fontId="23" fillId="15" borderId="15" xfId="0" applyNumberFormat="1" applyFont="1" applyFill="1" applyBorder="1" applyAlignment="1">
      <alignment horizontal="center" vertical="center"/>
    </xf>
    <xf numFmtId="170" fontId="23" fillId="15" borderId="15" xfId="0" applyNumberFormat="1" applyFont="1" applyFill="1" applyBorder="1" applyAlignment="1">
      <alignment vertical="center"/>
    </xf>
    <xf numFmtId="170" fontId="23" fillId="15" borderId="15" xfId="0" applyNumberFormat="1" applyFont="1" applyFill="1" applyBorder="1" applyAlignment="1">
      <alignment horizontal="center" vertical="center"/>
    </xf>
    <xf numFmtId="1" fontId="23" fillId="15" borderId="15" xfId="0" applyNumberFormat="1" applyFont="1" applyFill="1" applyBorder="1" applyAlignment="1">
      <alignment horizontal="center" vertical="center"/>
    </xf>
    <xf numFmtId="171" fontId="23" fillId="15" borderId="15" xfId="0" applyNumberFormat="1" applyFont="1" applyFill="1" applyBorder="1" applyAlignment="1">
      <alignment vertical="center"/>
    </xf>
    <xf numFmtId="0" fontId="23" fillId="15" borderId="16" xfId="0" applyFont="1" applyFill="1" applyBorder="1" applyAlignment="1">
      <alignment horizontal="justify" vertical="center"/>
    </xf>
    <xf numFmtId="0" fontId="22" fillId="6" borderId="6" xfId="0" applyFont="1" applyFill="1" applyBorder="1" applyAlignment="1">
      <alignment vertical="center" wrapText="1"/>
    </xf>
    <xf numFmtId="3" fontId="24" fillId="0" borderId="6" xfId="0" applyNumberFormat="1" applyFont="1" applyBorder="1" applyAlignment="1">
      <alignment horizontal="center" vertical="center" wrapText="1"/>
    </xf>
    <xf numFmtId="10" fontId="22" fillId="6" borderId="6" xfId="0" applyNumberFormat="1" applyFont="1" applyFill="1" applyBorder="1" applyAlignment="1">
      <alignment horizontal="center" vertical="center" wrapText="1"/>
    </xf>
    <xf numFmtId="0" fontId="23" fillId="15" borderId="6" xfId="0" applyFont="1" applyFill="1" applyBorder="1" applyAlignment="1">
      <alignment horizontal="center" vertical="center" wrapText="1"/>
    </xf>
    <xf numFmtId="0" fontId="22" fillId="15" borderId="6" xfId="0" applyFont="1" applyFill="1" applyBorder="1" applyAlignment="1">
      <alignment vertical="center" wrapText="1"/>
    </xf>
    <xf numFmtId="10" fontId="22" fillId="15" borderId="6" xfId="0" applyNumberFormat="1" applyFont="1" applyFill="1" applyBorder="1" applyAlignment="1">
      <alignment vertical="center" wrapText="1"/>
    </xf>
    <xf numFmtId="0" fontId="22" fillId="15" borderId="6" xfId="0" applyFont="1" applyFill="1" applyBorder="1" applyAlignment="1">
      <alignment horizontal="justify" vertical="center" wrapText="1"/>
    </xf>
    <xf numFmtId="1" fontId="22" fillId="15" borderId="6" xfId="0" applyNumberFormat="1" applyFont="1" applyFill="1" applyBorder="1" applyAlignment="1">
      <alignment horizontal="center" vertical="center" wrapText="1"/>
    </xf>
    <xf numFmtId="0" fontId="22" fillId="15" borderId="6" xfId="0" applyFont="1" applyFill="1" applyBorder="1" applyAlignment="1">
      <alignment horizontal="center" vertical="center" wrapText="1"/>
    </xf>
    <xf numFmtId="1" fontId="23" fillId="15" borderId="6" xfId="0" applyNumberFormat="1" applyFont="1" applyFill="1" applyBorder="1" applyAlignment="1">
      <alignment vertical="center" textRotation="180" wrapText="1" readingOrder="2"/>
    </xf>
    <xf numFmtId="1" fontId="23" fillId="15" borderId="6" xfId="0" applyNumberFormat="1" applyFont="1" applyFill="1" applyBorder="1" applyAlignment="1">
      <alignment vertical="center" textRotation="180" wrapText="1"/>
    </xf>
    <xf numFmtId="1" fontId="22" fillId="15" borderId="6" xfId="0" applyNumberFormat="1" applyFont="1" applyFill="1" applyBorder="1" applyAlignment="1">
      <alignment vertical="center" textRotation="180" wrapText="1"/>
    </xf>
    <xf numFmtId="1" fontId="22" fillId="15" borderId="6" xfId="0" applyNumberFormat="1" applyFont="1" applyFill="1" applyBorder="1" applyAlignment="1">
      <alignment horizontal="center" vertical="center" textRotation="180" wrapText="1"/>
    </xf>
    <xf numFmtId="1" fontId="23" fillId="15" borderId="6" xfId="0" applyNumberFormat="1" applyFont="1" applyFill="1" applyBorder="1" applyAlignment="1">
      <alignment horizontal="center" vertical="center" textRotation="180" wrapText="1"/>
    </xf>
    <xf numFmtId="171" fontId="22" fillId="15" borderId="6" xfId="0" applyNumberFormat="1" applyFont="1" applyFill="1" applyBorder="1" applyAlignment="1">
      <alignment vertical="center" wrapText="1"/>
    </xf>
    <xf numFmtId="3" fontId="22" fillId="15" borderId="6" xfId="0" applyNumberFormat="1" applyFont="1" applyFill="1" applyBorder="1" applyAlignment="1">
      <alignment vertical="center" wrapText="1"/>
    </xf>
    <xf numFmtId="0" fontId="22" fillId="6" borderId="22" xfId="0" applyFont="1" applyFill="1" applyBorder="1" applyAlignment="1">
      <alignment vertical="center" wrapText="1"/>
    </xf>
    <xf numFmtId="0" fontId="22" fillId="15" borderId="0" xfId="0" applyFont="1" applyFill="1" applyAlignment="1">
      <alignment horizontal="center" vertical="center"/>
    </xf>
    <xf numFmtId="0" fontId="22" fillId="15" borderId="0" xfId="0" applyFont="1" applyFill="1" applyAlignment="1">
      <alignment horizontal="justify" vertical="center"/>
    </xf>
    <xf numFmtId="0" fontId="22" fillId="15" borderId="0" xfId="0" applyFont="1" applyFill="1" applyAlignment="1">
      <alignment vertical="center"/>
    </xf>
    <xf numFmtId="0" fontId="22" fillId="15" borderId="0" xfId="0" applyFont="1" applyFill="1" applyAlignment="1">
      <alignment vertical="center" wrapText="1"/>
    </xf>
    <xf numFmtId="10" fontId="22" fillId="15" borderId="0" xfId="0" applyNumberFormat="1" applyFont="1" applyFill="1" applyAlignment="1">
      <alignment horizontal="center" vertical="center"/>
    </xf>
    <xf numFmtId="170" fontId="22" fillId="15" borderId="0" xfId="0" applyNumberFormat="1" applyFont="1" applyFill="1" applyAlignment="1">
      <alignment vertical="center"/>
    </xf>
    <xf numFmtId="1" fontId="22" fillId="15" borderId="0" xfId="0" applyNumberFormat="1" applyFont="1" applyFill="1" applyAlignment="1">
      <alignment horizontal="center" vertical="center"/>
    </xf>
    <xf numFmtId="3" fontId="24" fillId="6" borderId="6" xfId="0" applyNumberFormat="1" applyFont="1" applyFill="1" applyBorder="1" applyAlignment="1">
      <alignment horizontal="center" vertical="center" wrapText="1"/>
    </xf>
    <xf numFmtId="1" fontId="23" fillId="13" borderId="6" xfId="0" applyNumberFormat="1" applyFont="1" applyFill="1" applyBorder="1" applyAlignment="1">
      <alignment horizontal="center" vertical="center"/>
    </xf>
    <xf numFmtId="0" fontId="22" fillId="13" borderId="15" xfId="0" applyFont="1" applyFill="1" applyBorder="1" applyAlignment="1">
      <alignment vertical="center"/>
    </xf>
    <xf numFmtId="0" fontId="22" fillId="13" borderId="15" xfId="0" applyFont="1" applyFill="1" applyBorder="1" applyAlignment="1">
      <alignment horizontal="center" vertical="center"/>
    </xf>
    <xf numFmtId="0" fontId="22" fillId="13" borderId="11" xfId="0" applyFont="1" applyFill="1" applyBorder="1" applyAlignment="1">
      <alignment horizontal="justify" vertical="center"/>
    </xf>
    <xf numFmtId="0" fontId="22" fillId="13" borderId="11" xfId="0" applyFont="1" applyFill="1" applyBorder="1" applyAlignment="1">
      <alignment vertical="center"/>
    </xf>
    <xf numFmtId="0" fontId="22" fillId="13" borderId="11" xfId="0" applyFont="1" applyFill="1" applyBorder="1" applyAlignment="1">
      <alignment horizontal="center" vertical="center"/>
    </xf>
    <xf numFmtId="10" fontId="22" fillId="13" borderId="11" xfId="0" applyNumberFormat="1" applyFont="1" applyFill="1" applyBorder="1" applyAlignment="1">
      <alignment horizontal="center" vertical="center"/>
    </xf>
    <xf numFmtId="170" fontId="22" fillId="13" borderId="11" xfId="0" applyNumberFormat="1" applyFont="1" applyFill="1" applyBorder="1" applyAlignment="1">
      <alignment vertical="center"/>
    </xf>
    <xf numFmtId="1" fontId="22" fillId="13" borderId="11" xfId="0" applyNumberFormat="1" applyFont="1" applyFill="1" applyBorder="1" applyAlignment="1">
      <alignment horizontal="center" vertical="center"/>
    </xf>
    <xf numFmtId="171" fontId="22" fillId="13" borderId="11" xfId="0" applyNumberFormat="1" applyFont="1" applyFill="1" applyBorder="1" applyAlignment="1">
      <alignment horizontal="right" vertical="center"/>
    </xf>
    <xf numFmtId="171" fontId="22" fillId="13" borderId="11" xfId="0" applyNumberFormat="1" applyFont="1" applyFill="1" applyBorder="1" applyAlignment="1">
      <alignment horizontal="center" vertical="center"/>
    </xf>
    <xf numFmtId="0" fontId="22" fillId="13" borderId="12" xfId="0" applyFont="1" applyFill="1" applyBorder="1" applyAlignment="1">
      <alignment horizontal="justify" vertical="center"/>
    </xf>
    <xf numFmtId="0" fontId="23" fillId="14" borderId="27" xfId="0" applyFont="1" applyFill="1" applyBorder="1" applyAlignment="1">
      <alignment horizontal="center" vertical="center"/>
    </xf>
    <xf numFmtId="0" fontId="22" fillId="14" borderId="9" xfId="0" applyFont="1" applyFill="1" applyBorder="1" applyAlignment="1">
      <alignment horizontal="center" vertical="center"/>
    </xf>
    <xf numFmtId="0" fontId="22" fillId="14" borderId="15" xfId="0" applyFont="1" applyFill="1" applyBorder="1" applyAlignment="1">
      <alignment horizontal="justify" vertical="center"/>
    </xf>
    <xf numFmtId="0" fontId="22" fillId="14" borderId="15" xfId="0" applyFont="1" applyFill="1" applyBorder="1" applyAlignment="1">
      <alignment vertical="center"/>
    </xf>
    <xf numFmtId="0" fontId="22" fillId="14" borderId="15" xfId="0" applyFont="1" applyFill="1" applyBorder="1" applyAlignment="1">
      <alignment horizontal="center" vertical="center"/>
    </xf>
    <xf numFmtId="10" fontId="22" fillId="14" borderId="15" xfId="0" applyNumberFormat="1" applyFont="1" applyFill="1" applyBorder="1" applyAlignment="1">
      <alignment horizontal="center" vertical="center"/>
    </xf>
    <xf numFmtId="170" fontId="22" fillId="14" borderId="15" xfId="0" applyNumberFormat="1" applyFont="1" applyFill="1" applyBorder="1" applyAlignment="1">
      <alignment vertical="center"/>
    </xf>
    <xf numFmtId="1" fontId="22" fillId="14" borderId="15" xfId="0" applyNumberFormat="1" applyFont="1" applyFill="1" applyBorder="1" applyAlignment="1">
      <alignment horizontal="center" vertical="center"/>
    </xf>
    <xf numFmtId="171" fontId="22" fillId="14" borderId="15" xfId="0" applyNumberFormat="1" applyFont="1" applyFill="1" applyBorder="1" applyAlignment="1">
      <alignment horizontal="right" vertical="center"/>
    </xf>
    <xf numFmtId="171" fontId="22" fillId="14" borderId="15" xfId="0" applyNumberFormat="1" applyFont="1" applyFill="1" applyBorder="1" applyAlignment="1">
      <alignment horizontal="center" vertical="center"/>
    </xf>
    <xf numFmtId="0" fontId="22" fillId="14" borderId="16" xfId="0" applyFont="1" applyFill="1" applyBorder="1" applyAlignment="1">
      <alignment horizontal="justify" vertical="center"/>
    </xf>
    <xf numFmtId="0" fontId="23" fillId="15" borderId="11" xfId="0" applyFont="1" applyFill="1" applyBorder="1" applyAlignment="1">
      <alignment vertical="center"/>
    </xf>
    <xf numFmtId="0" fontId="22" fillId="15" borderId="15" xfId="0" applyFont="1" applyFill="1" applyBorder="1" applyAlignment="1">
      <alignment horizontal="justify" vertical="center"/>
    </xf>
    <xf numFmtId="10" fontId="22" fillId="15" borderId="15" xfId="0" applyNumberFormat="1" applyFont="1" applyFill="1" applyBorder="1" applyAlignment="1">
      <alignment horizontal="center" vertical="center"/>
    </xf>
    <xf numFmtId="170" fontId="22" fillId="15" borderId="15" xfId="0" applyNumberFormat="1" applyFont="1" applyFill="1" applyBorder="1" applyAlignment="1">
      <alignment vertical="center"/>
    </xf>
    <xf numFmtId="1" fontId="22" fillId="15" borderId="15" xfId="0" applyNumberFormat="1" applyFont="1" applyFill="1" applyBorder="1" applyAlignment="1">
      <alignment horizontal="center" vertical="center"/>
    </xf>
    <xf numFmtId="0" fontId="22" fillId="15" borderId="15" xfId="0" applyFont="1" applyFill="1" applyBorder="1" applyAlignment="1">
      <alignment horizontal="center" vertical="center"/>
    </xf>
    <xf numFmtId="0" fontId="22" fillId="15" borderId="15" xfId="0" applyFont="1" applyFill="1" applyBorder="1" applyAlignment="1">
      <alignment vertical="center"/>
    </xf>
    <xf numFmtId="171" fontId="22" fillId="15" borderId="15" xfId="0" applyNumberFormat="1" applyFont="1" applyFill="1" applyBorder="1" applyAlignment="1">
      <alignment horizontal="right" vertical="center"/>
    </xf>
    <xf numFmtId="171" fontId="22" fillId="15" borderId="15" xfId="0" applyNumberFormat="1" applyFont="1" applyFill="1" applyBorder="1" applyAlignment="1">
      <alignment horizontal="center" vertical="center"/>
    </xf>
    <xf numFmtId="0" fontId="22" fillId="15" borderId="16" xfId="0" applyFont="1" applyFill="1" applyBorder="1" applyAlignment="1">
      <alignment horizontal="justify" vertical="center"/>
    </xf>
    <xf numFmtId="0" fontId="23" fillId="15" borderId="0" xfId="0" applyFont="1" applyFill="1" applyAlignment="1">
      <alignment vertical="center"/>
    </xf>
    <xf numFmtId="3" fontId="24" fillId="6" borderId="3" xfId="0" applyNumberFormat="1" applyFont="1" applyFill="1" applyBorder="1" applyAlignment="1">
      <alignment horizontal="center" vertical="center" wrapText="1"/>
    </xf>
    <xf numFmtId="3" fontId="24" fillId="6" borderId="48" xfId="0" applyNumberFormat="1" applyFont="1" applyFill="1" applyBorder="1" applyAlignment="1">
      <alignment horizontal="center" vertical="center" wrapText="1"/>
    </xf>
    <xf numFmtId="0" fontId="23" fillId="15" borderId="14" xfId="0" applyFont="1" applyFill="1" applyBorder="1" applyAlignment="1">
      <alignment horizontal="justify" vertical="center"/>
    </xf>
    <xf numFmtId="1" fontId="24" fillId="0" borderId="27" xfId="0" applyNumberFormat="1" applyFont="1" applyBorder="1" applyAlignment="1">
      <alignment horizontal="center" vertical="center" wrapText="1"/>
    </xf>
    <xf numFmtId="1" fontId="24" fillId="0" borderId="6" xfId="0" applyNumberFormat="1" applyFont="1" applyBorder="1" applyAlignment="1">
      <alignment horizontal="center" vertical="center" wrapText="1"/>
    </xf>
    <xf numFmtId="1" fontId="23" fillId="13" borderId="14" xfId="0" applyNumberFormat="1" applyFont="1" applyFill="1" applyBorder="1" applyAlignment="1">
      <alignment horizontal="center" vertical="center"/>
    </xf>
    <xf numFmtId="0" fontId="23" fillId="13" borderId="11" xfId="0" applyFont="1" applyFill="1" applyBorder="1" applyAlignment="1">
      <alignment vertical="center"/>
    </xf>
    <xf numFmtId="0" fontId="22" fillId="13" borderId="0" xfId="0" applyFont="1" applyFill="1" applyAlignment="1">
      <alignment vertical="center"/>
    </xf>
    <xf numFmtId="0" fontId="22" fillId="13" borderId="9" xfId="0" applyFont="1" applyFill="1" applyBorder="1" applyAlignment="1">
      <alignment vertical="center"/>
    </xf>
    <xf numFmtId="0" fontId="22" fillId="13" borderId="9" xfId="0" applyFont="1" applyFill="1" applyBorder="1" applyAlignment="1">
      <alignment horizontal="center" vertical="center"/>
    </xf>
    <xf numFmtId="0" fontId="22" fillId="13" borderId="9" xfId="0" applyFont="1" applyFill="1" applyBorder="1" applyAlignment="1">
      <alignment horizontal="justify" vertical="center"/>
    </xf>
    <xf numFmtId="10" fontId="22" fillId="13" borderId="9" xfId="0" applyNumberFormat="1" applyFont="1" applyFill="1" applyBorder="1" applyAlignment="1">
      <alignment horizontal="center" vertical="center"/>
    </xf>
    <xf numFmtId="170" fontId="22" fillId="13" borderId="9" xfId="0" applyNumberFormat="1" applyFont="1" applyFill="1" applyBorder="1" applyAlignment="1">
      <alignment vertical="center"/>
    </xf>
    <xf numFmtId="1" fontId="22" fillId="13" borderId="9" xfId="0" applyNumberFormat="1" applyFont="1" applyFill="1" applyBorder="1" applyAlignment="1">
      <alignment horizontal="center" vertical="center"/>
    </xf>
    <xf numFmtId="171" fontId="22" fillId="13" borderId="9" xfId="0" applyNumberFormat="1" applyFont="1" applyFill="1" applyBorder="1" applyAlignment="1">
      <alignment horizontal="right" vertical="center"/>
    </xf>
    <xf numFmtId="171" fontId="22" fillId="13" borderId="9" xfId="0" applyNumberFormat="1" applyFont="1" applyFill="1" applyBorder="1" applyAlignment="1">
      <alignment horizontal="center" vertical="center"/>
    </xf>
    <xf numFmtId="0" fontId="22" fillId="13" borderId="13" xfId="0" applyFont="1" applyFill="1" applyBorder="1" applyAlignment="1">
      <alignment horizontal="justify" vertical="center"/>
    </xf>
    <xf numFmtId="0" fontId="23" fillId="22" borderId="6" xfId="0" applyFont="1" applyFill="1" applyBorder="1" applyAlignment="1">
      <alignment horizontal="center" vertical="center"/>
    </xf>
    <xf numFmtId="0" fontId="23" fillId="22" borderId="15" xfId="0" applyFont="1" applyFill="1" applyBorder="1" applyAlignment="1">
      <alignment vertical="center"/>
    </xf>
    <xf numFmtId="0" fontId="23" fillId="22" borderId="15" xfId="0" applyFont="1" applyFill="1" applyBorder="1" applyAlignment="1">
      <alignment horizontal="center" vertical="center"/>
    </xf>
    <xf numFmtId="0" fontId="22" fillId="22" borderId="15" xfId="0" applyFont="1" applyFill="1" applyBorder="1" applyAlignment="1">
      <alignment horizontal="center" vertical="center"/>
    </xf>
    <xf numFmtId="0" fontId="22" fillId="22" borderId="15" xfId="0" applyFont="1" applyFill="1" applyBorder="1" applyAlignment="1">
      <alignment horizontal="justify" vertical="center"/>
    </xf>
    <xf numFmtId="0" fontId="22" fillId="22" borderId="15" xfId="0" applyFont="1" applyFill="1" applyBorder="1" applyAlignment="1">
      <alignment vertical="center"/>
    </xf>
    <xf numFmtId="10" fontId="22" fillId="22" borderId="15" xfId="0" applyNumberFormat="1" applyFont="1" applyFill="1" applyBorder="1" applyAlignment="1">
      <alignment horizontal="center" vertical="center"/>
    </xf>
    <xf numFmtId="170" fontId="22" fillId="22" borderId="15" xfId="0" applyNumberFormat="1" applyFont="1" applyFill="1" applyBorder="1" applyAlignment="1">
      <alignment vertical="center"/>
    </xf>
    <xf numFmtId="1" fontId="22" fillId="22" borderId="15" xfId="0" applyNumberFormat="1" applyFont="1" applyFill="1" applyBorder="1" applyAlignment="1">
      <alignment horizontal="center" vertical="center"/>
    </xf>
    <xf numFmtId="171" fontId="22" fillId="22" borderId="15" xfId="0" applyNumberFormat="1" applyFont="1" applyFill="1" applyBorder="1" applyAlignment="1">
      <alignment horizontal="right" vertical="center"/>
    </xf>
    <xf numFmtId="171" fontId="22" fillId="22" borderId="15" xfId="0" applyNumberFormat="1" applyFont="1" applyFill="1" applyBorder="1" applyAlignment="1">
      <alignment horizontal="center" vertical="center"/>
    </xf>
    <xf numFmtId="0" fontId="22" fillId="22" borderId="16" xfId="0" applyFont="1" applyFill="1" applyBorder="1" applyAlignment="1">
      <alignment horizontal="justify" vertical="center"/>
    </xf>
    <xf numFmtId="0" fontId="23" fillId="15" borderId="14" xfId="0" applyFont="1" applyFill="1" applyBorder="1" applyAlignment="1">
      <alignment vertical="center"/>
    </xf>
    <xf numFmtId="1" fontId="24" fillId="6" borderId="6" xfId="0" applyNumberFormat="1" applyFont="1" applyFill="1" applyBorder="1" applyAlignment="1">
      <alignment horizontal="center" vertical="center"/>
    </xf>
    <xf numFmtId="1" fontId="22" fillId="0" borderId="0" xfId="0" applyNumberFormat="1" applyFont="1" applyAlignment="1">
      <alignment vertical="center"/>
    </xf>
    <xf numFmtId="10" fontId="22" fillId="6" borderId="0" xfId="0" applyNumberFormat="1" applyFont="1" applyFill="1" applyAlignment="1">
      <alignment horizontal="center" vertical="center"/>
    </xf>
    <xf numFmtId="171" fontId="22" fillId="0" borderId="0" xfId="0" applyNumberFormat="1" applyFont="1" applyAlignment="1">
      <alignment horizontal="center" vertical="center"/>
    </xf>
    <xf numFmtId="0" fontId="4" fillId="6" borderId="0" xfId="0" applyFont="1" applyFill="1" applyAlignment="1">
      <alignment vertical="center" wrapText="1"/>
    </xf>
    <xf numFmtId="3" fontId="34" fillId="0" borderId="0" xfId="18" applyNumberFormat="1" applyFont="1" applyAlignment="1">
      <alignment horizontal="center" vertical="center"/>
    </xf>
    <xf numFmtId="3" fontId="34" fillId="0" borderId="0" xfId="0" applyNumberFormat="1" applyFont="1" applyAlignment="1">
      <alignment horizontal="center" vertical="center"/>
    </xf>
    <xf numFmtId="173" fontId="34" fillId="0" borderId="0" xfId="18" applyNumberFormat="1" applyFont="1" applyAlignment="1">
      <alignment horizontal="center" vertical="center"/>
    </xf>
    <xf numFmtId="0" fontId="23" fillId="0" borderId="6" xfId="0" applyFont="1" applyBorder="1" applyAlignment="1">
      <alignment horizontal="justify" vertical="center"/>
    </xf>
    <xf numFmtId="0" fontId="23" fillId="0" borderId="6" xfId="0" applyFont="1" applyBorder="1" applyAlignment="1">
      <alignment horizontal="justify" vertical="center" wrapText="1"/>
    </xf>
    <xf numFmtId="3" fontId="27" fillId="0" borderId="6" xfId="0" applyNumberFormat="1" applyFont="1" applyBorder="1" applyAlignment="1">
      <alignment horizontal="justify" vertical="center" wrapText="1"/>
    </xf>
    <xf numFmtId="0" fontId="22" fillId="0" borderId="0" xfId="0" applyFont="1" applyAlignment="1">
      <alignment horizontal="justify" vertical="center" wrapText="1"/>
    </xf>
    <xf numFmtId="0" fontId="35" fillId="23" borderId="6" xfId="0" applyFont="1" applyFill="1" applyBorder="1" applyAlignment="1">
      <alignment vertical="center" wrapText="1"/>
    </xf>
    <xf numFmtId="0" fontId="28" fillId="12" borderId="6" xfId="0" applyFont="1" applyFill="1" applyBorder="1" applyAlignment="1">
      <alignment horizontal="center" vertical="center" wrapText="1"/>
    </xf>
    <xf numFmtId="0" fontId="23" fillId="12" borderId="6" xfId="0" applyFont="1" applyFill="1" applyBorder="1" applyAlignment="1">
      <alignment horizontal="center" vertical="center" textRotation="90" wrapText="1"/>
    </xf>
    <xf numFmtId="49" fontId="23" fillId="12" borderId="6" xfId="0" applyNumberFormat="1" applyFont="1" applyFill="1" applyBorder="1" applyAlignment="1">
      <alignment horizontal="center" vertical="center" textRotation="90" wrapText="1"/>
    </xf>
    <xf numFmtId="0" fontId="23" fillId="13" borderId="39" xfId="0" applyFont="1" applyFill="1" applyBorder="1" applyAlignment="1">
      <alignment horizontal="center" vertical="center" wrapText="1"/>
    </xf>
    <xf numFmtId="0" fontId="23" fillId="13" borderId="21" xfId="0" applyFont="1" applyFill="1" applyBorder="1" applyAlignment="1">
      <alignment horizontal="left" vertical="center"/>
    </xf>
    <xf numFmtId="0" fontId="23" fillId="13" borderId="9" xfId="0" applyFont="1" applyFill="1" applyBorder="1" applyAlignment="1">
      <alignment horizontal="left" vertical="center" wrapText="1"/>
    </xf>
    <xf numFmtId="0" fontId="23" fillId="13" borderId="9" xfId="0" applyFont="1" applyFill="1" applyBorder="1" applyAlignment="1">
      <alignment horizontal="justify" vertical="center" wrapText="1"/>
    </xf>
    <xf numFmtId="0" fontId="23" fillId="13" borderId="9" xfId="0" applyFont="1" applyFill="1" applyBorder="1" applyAlignment="1">
      <alignment horizontal="center" vertical="center" wrapText="1"/>
    </xf>
    <xf numFmtId="0" fontId="23" fillId="13" borderId="24" xfId="0" applyFont="1" applyFill="1" applyBorder="1" applyAlignment="1">
      <alignment horizontal="justify" vertical="center" wrapText="1"/>
    </xf>
    <xf numFmtId="0" fontId="23" fillId="6" borderId="5" xfId="0" applyFont="1" applyFill="1" applyBorder="1" applyAlignment="1">
      <alignment vertical="center" wrapText="1"/>
    </xf>
    <xf numFmtId="0" fontId="23" fillId="6" borderId="25" xfId="0" applyFont="1" applyFill="1" applyBorder="1" applyAlignment="1">
      <alignment vertical="center" wrapText="1"/>
    </xf>
    <xf numFmtId="0" fontId="23" fillId="14" borderId="6" xfId="0" applyFont="1" applyFill="1" applyBorder="1" applyAlignment="1">
      <alignment horizontal="center" vertical="center" wrapText="1"/>
    </xf>
    <xf numFmtId="0" fontId="23" fillId="14" borderId="14" xfId="0" applyFont="1" applyFill="1" applyBorder="1" applyAlignment="1">
      <alignment vertical="center"/>
    </xf>
    <xf numFmtId="0" fontId="23" fillId="14" borderId="0" xfId="0" applyFont="1" applyFill="1" applyAlignment="1">
      <alignment vertical="center"/>
    </xf>
    <xf numFmtId="0" fontId="23" fillId="14" borderId="0" xfId="0" applyFont="1" applyFill="1" applyAlignment="1">
      <alignment horizontal="justify" vertical="center"/>
    </xf>
    <xf numFmtId="0" fontId="23" fillId="14" borderId="0" xfId="0" applyFont="1" applyFill="1" applyAlignment="1">
      <alignment horizontal="center" vertical="center"/>
    </xf>
    <xf numFmtId="0" fontId="23" fillId="14" borderId="40" xfId="0" applyFont="1" applyFill="1" applyBorder="1" applyAlignment="1">
      <alignment horizontal="justify" vertical="center"/>
    </xf>
    <xf numFmtId="0" fontId="23" fillId="6" borderId="23" xfId="0" applyFont="1" applyFill="1" applyBorder="1" applyAlignment="1">
      <alignment vertical="center" wrapText="1"/>
    </xf>
    <xf numFmtId="0" fontId="28" fillId="15" borderId="14" xfId="0" applyFont="1" applyFill="1" applyBorder="1" applyAlignment="1">
      <alignment horizontal="left" vertical="center"/>
    </xf>
    <xf numFmtId="0" fontId="28" fillId="15" borderId="15" xfId="0" applyFont="1" applyFill="1" applyBorder="1" applyAlignment="1">
      <alignment horizontal="left" vertical="center"/>
    </xf>
    <xf numFmtId="0" fontId="28" fillId="15" borderId="15" xfId="0" applyFont="1" applyFill="1" applyBorder="1" applyAlignment="1">
      <alignment horizontal="justify" vertical="center"/>
    </xf>
    <xf numFmtId="0" fontId="28" fillId="15" borderId="15" xfId="0" applyFont="1" applyFill="1" applyBorder="1" applyAlignment="1">
      <alignment horizontal="center" vertical="center"/>
    </xf>
    <xf numFmtId="0" fontId="24" fillId="15" borderId="16" xfId="0" applyFont="1" applyFill="1" applyBorder="1" applyAlignment="1">
      <alignment horizontal="justify" vertical="center"/>
    </xf>
    <xf numFmtId="0" fontId="23" fillId="6" borderId="21" xfId="0" applyFont="1" applyFill="1" applyBorder="1" applyAlignment="1">
      <alignment vertical="center" wrapText="1"/>
    </xf>
    <xf numFmtId="0" fontId="23" fillId="6" borderId="13" xfId="0" applyFont="1" applyFill="1" applyBorder="1" applyAlignment="1">
      <alignment vertical="center" wrapText="1"/>
    </xf>
    <xf numFmtId="0" fontId="23" fillId="14" borderId="14" xfId="0" applyFont="1" applyFill="1" applyBorder="1" applyAlignment="1">
      <alignment horizontal="left" vertical="center"/>
    </xf>
    <xf numFmtId="0" fontId="23" fillId="14" borderId="15" xfId="0" applyFont="1" applyFill="1" applyBorder="1" applyAlignment="1">
      <alignment horizontal="left" vertical="center"/>
    </xf>
    <xf numFmtId="0" fontId="23" fillId="14" borderId="15" xfId="0" applyFont="1" applyFill="1" applyBorder="1" applyAlignment="1">
      <alignment horizontal="justify" vertical="center"/>
    </xf>
    <xf numFmtId="0" fontId="23" fillId="14" borderId="15" xfId="0" applyFont="1" applyFill="1" applyBorder="1" applyAlignment="1">
      <alignment horizontal="center" vertical="center"/>
    </xf>
    <xf numFmtId="0" fontId="28" fillId="15" borderId="11" xfId="0" applyFont="1" applyFill="1" applyBorder="1" applyAlignment="1">
      <alignment horizontal="justify" vertical="center"/>
    </xf>
    <xf numFmtId="0" fontId="28" fillId="15" borderId="11" xfId="0" applyFont="1" applyFill="1" applyBorder="1" applyAlignment="1">
      <alignment horizontal="left" vertical="center"/>
    </xf>
    <xf numFmtId="0" fontId="22" fillId="6" borderId="0" xfId="0" applyFont="1" applyFill="1" applyAlignment="1">
      <alignment vertical="center" wrapText="1"/>
    </xf>
    <xf numFmtId="0" fontId="30" fillId="6" borderId="6" xfId="0" applyFont="1" applyFill="1" applyBorder="1" applyAlignment="1">
      <alignment horizontal="justify" vertical="center" wrapText="1"/>
    </xf>
    <xf numFmtId="0" fontId="30" fillId="6" borderId="19" xfId="0" applyFont="1" applyFill="1" applyBorder="1" applyAlignment="1">
      <alignment horizontal="justify" vertical="center" wrapText="1"/>
    </xf>
    <xf numFmtId="0" fontId="22" fillId="6" borderId="14" xfId="0" applyFont="1" applyFill="1" applyBorder="1" applyAlignment="1">
      <alignment horizontal="justify" vertical="center" wrapText="1"/>
    </xf>
    <xf numFmtId="0" fontId="23" fillId="15" borderId="22" xfId="0" applyFont="1" applyFill="1" applyBorder="1" applyAlignment="1">
      <alignment horizontal="center" vertical="center" wrapText="1"/>
    </xf>
    <xf numFmtId="0" fontId="23" fillId="14" borderId="15" xfId="0" applyFont="1" applyFill="1" applyBorder="1" applyAlignment="1">
      <alignment vertical="center"/>
    </xf>
    <xf numFmtId="0" fontId="23" fillId="0" borderId="0" xfId="0" applyFont="1" applyAlignment="1">
      <alignment horizontal="justify" vertical="center"/>
    </xf>
    <xf numFmtId="0" fontId="28" fillId="15" borderId="11" xfId="0" applyFont="1" applyFill="1" applyBorder="1" applyAlignment="1">
      <alignment horizontal="center" vertical="center"/>
    </xf>
    <xf numFmtId="0" fontId="24" fillId="6" borderId="6" xfId="13" applyFont="1" applyFill="1" applyBorder="1" applyAlignment="1">
      <alignment horizontal="justify" vertical="center" wrapText="1"/>
    </xf>
    <xf numFmtId="0" fontId="24" fillId="6" borderId="6" xfId="0" applyFont="1" applyFill="1" applyBorder="1" applyAlignment="1">
      <alignment horizontal="justify" vertical="center" wrapText="1"/>
    </xf>
    <xf numFmtId="0" fontId="23" fillId="15" borderId="27" xfId="0" applyFont="1" applyFill="1" applyBorder="1" applyAlignment="1">
      <alignment horizontal="center" vertical="center" wrapText="1"/>
    </xf>
    <xf numFmtId="0" fontId="27" fillId="15" borderId="14" xfId="0" applyFont="1" applyFill="1" applyBorder="1" applyAlignment="1">
      <alignment horizontal="left" vertical="center"/>
    </xf>
    <xf numFmtId="0" fontId="27" fillId="15" borderId="15" xfId="0" applyFont="1" applyFill="1" applyBorder="1" applyAlignment="1">
      <alignment horizontal="left" vertical="center"/>
    </xf>
    <xf numFmtId="0" fontId="27" fillId="15" borderId="15" xfId="0" applyFont="1" applyFill="1" applyBorder="1" applyAlignment="1">
      <alignment horizontal="justify" vertical="center"/>
    </xf>
    <xf numFmtId="0" fontId="27" fillId="15" borderId="15" xfId="0" applyFont="1" applyFill="1" applyBorder="1" applyAlignment="1">
      <alignment horizontal="center" vertical="center"/>
    </xf>
    <xf numFmtId="0" fontId="33" fillId="15" borderId="16" xfId="0" applyFont="1" applyFill="1" applyBorder="1" applyAlignment="1">
      <alignment horizontal="justify" vertical="center"/>
    </xf>
    <xf numFmtId="0" fontId="27" fillId="15" borderId="14" xfId="0" applyFont="1" applyFill="1" applyBorder="1" applyAlignment="1">
      <alignment vertical="center"/>
    </xf>
    <xf numFmtId="0" fontId="27" fillId="15" borderId="15" xfId="0" applyFont="1" applyFill="1" applyBorder="1" applyAlignment="1">
      <alignment vertical="center"/>
    </xf>
    <xf numFmtId="181" fontId="22" fillId="6" borderId="20" xfId="0" applyNumberFormat="1" applyFont="1" applyFill="1" applyBorder="1" applyAlignment="1">
      <alignment vertical="center" wrapText="1"/>
    </xf>
    <xf numFmtId="181" fontId="22" fillId="6" borderId="22" xfId="0" applyNumberFormat="1" applyFont="1" applyFill="1" applyBorder="1" applyAlignment="1">
      <alignment vertical="center" wrapText="1"/>
    </xf>
    <xf numFmtId="181" fontId="22" fillId="6" borderId="27" xfId="0" applyNumberFormat="1" applyFont="1" applyFill="1" applyBorder="1" applyAlignment="1">
      <alignment vertical="center" wrapText="1"/>
    </xf>
    <xf numFmtId="0" fontId="23" fillId="14" borderId="22" xfId="0" applyFont="1" applyFill="1" applyBorder="1" applyAlignment="1">
      <alignment horizontal="center" vertical="center" wrapText="1"/>
    </xf>
    <xf numFmtId="0" fontId="27" fillId="15" borderId="11" xfId="0" applyFont="1" applyFill="1" applyBorder="1" applyAlignment="1">
      <alignment vertical="center"/>
    </xf>
    <xf numFmtId="0" fontId="27" fillId="15" borderId="11" xfId="0" applyFont="1" applyFill="1" applyBorder="1" applyAlignment="1">
      <alignment horizontal="center" vertical="center"/>
    </xf>
    <xf numFmtId="0" fontId="27" fillId="15" borderId="11" xfId="0" applyFont="1" applyFill="1" applyBorder="1" applyAlignment="1">
      <alignment horizontal="justify" vertical="center"/>
    </xf>
    <xf numFmtId="180" fontId="22" fillId="0" borderId="6" xfId="3" applyNumberFormat="1" applyFont="1" applyBorder="1" applyAlignment="1">
      <alignment horizontal="center" vertical="center"/>
    </xf>
    <xf numFmtId="0" fontId="23" fillId="6" borderId="8" xfId="0" applyFont="1" applyFill="1" applyBorder="1" applyAlignment="1">
      <alignment vertical="center" wrapText="1"/>
    </xf>
    <xf numFmtId="0" fontId="24" fillId="0" borderId="6" xfId="0" applyFont="1" applyBorder="1" applyAlignment="1">
      <alignment horizontal="justify" vertical="center" wrapText="1"/>
    </xf>
    <xf numFmtId="0" fontId="33" fillId="0" borderId="0" xfId="0" applyFont="1" applyAlignment="1">
      <alignment vertical="center" wrapText="1"/>
    </xf>
    <xf numFmtId="0" fontId="33" fillId="0" borderId="0" xfId="0" applyFont="1" applyAlignment="1">
      <alignment horizontal="justify" vertical="center" wrapText="1"/>
    </xf>
    <xf numFmtId="0" fontId="22" fillId="6" borderId="0" xfId="0" applyFont="1" applyFill="1" applyAlignment="1">
      <alignment horizontal="justify" vertical="center" wrapText="1"/>
    </xf>
    <xf numFmtId="170" fontId="23" fillId="0" borderId="0" xfId="0" applyNumberFormat="1" applyFont="1" applyAlignment="1">
      <alignment wrapText="1"/>
    </xf>
    <xf numFmtId="170" fontId="22" fillId="0" borderId="0" xfId="0" applyNumberFormat="1" applyFont="1" applyAlignment="1">
      <alignment horizontal="center" vertical="center" wrapText="1"/>
    </xf>
    <xf numFmtId="0" fontId="22" fillId="0" borderId="0" xfId="0" applyFont="1" applyAlignment="1">
      <alignment horizontal="justify" wrapText="1"/>
    </xf>
    <xf numFmtId="170" fontId="22" fillId="0" borderId="0" xfId="0" applyNumberFormat="1" applyFont="1" applyAlignment="1">
      <alignment wrapText="1"/>
    </xf>
    <xf numFmtId="0" fontId="22" fillId="0" borderId="0" xfId="0" applyFont="1" applyAlignment="1">
      <alignment horizontal="justify"/>
    </xf>
    <xf numFmtId="0" fontId="22" fillId="0" borderId="0" xfId="0" applyFont="1" applyAlignment="1">
      <alignment horizontal="center"/>
    </xf>
    <xf numFmtId="1" fontId="23" fillId="14" borderId="15" xfId="0" applyNumberFormat="1" applyFont="1" applyFill="1" applyBorder="1" applyAlignment="1">
      <alignment horizontal="center" vertical="center"/>
    </xf>
    <xf numFmtId="0" fontId="23" fillId="6" borderId="19" xfId="0" applyFont="1" applyFill="1" applyBorder="1" applyAlignment="1">
      <alignment horizontal="center" vertical="center" wrapText="1"/>
    </xf>
    <xf numFmtId="0" fontId="30" fillId="6" borderId="20" xfId="0" applyFont="1" applyFill="1" applyBorder="1" applyAlignment="1">
      <alignment horizontal="justify" vertical="center" wrapText="1"/>
    </xf>
    <xf numFmtId="0" fontId="23" fillId="15" borderId="15" xfId="0" applyFont="1" applyFill="1" applyBorder="1" applyAlignment="1">
      <alignment horizontal="justify" vertical="center" wrapText="1"/>
    </xf>
    <xf numFmtId="0" fontId="22" fillId="6" borderId="0" xfId="0" applyFont="1" applyFill="1" applyAlignment="1">
      <alignment vertical="center" textRotation="90" wrapText="1"/>
    </xf>
    <xf numFmtId="0" fontId="22" fillId="6" borderId="25" xfId="0" applyFont="1" applyFill="1" applyBorder="1" applyAlignment="1">
      <alignment vertical="center" textRotation="90" wrapText="1"/>
    </xf>
    <xf numFmtId="0" fontId="22" fillId="15" borderId="15" xfId="0" applyFont="1" applyFill="1" applyBorder="1" applyAlignment="1">
      <alignment horizontal="justify" vertical="center" wrapText="1"/>
    </xf>
    <xf numFmtId="0" fontId="24" fillId="15" borderId="15" xfId="0" applyFont="1" applyFill="1" applyBorder="1" applyAlignment="1">
      <alignment vertical="center" wrapText="1"/>
    </xf>
    <xf numFmtId="0" fontId="22" fillId="15" borderId="15" xfId="0" applyFont="1" applyFill="1" applyBorder="1" applyAlignment="1">
      <alignment vertical="center" wrapText="1"/>
    </xf>
    <xf numFmtId="4" fontId="22" fillId="15" borderId="15" xfId="0" applyNumberFormat="1" applyFont="1" applyFill="1" applyBorder="1" applyAlignment="1">
      <alignment horizontal="right" vertical="center" wrapText="1"/>
    </xf>
    <xf numFmtId="1" fontId="22" fillId="15" borderId="15"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12" xfId="0" applyFont="1" applyFill="1" applyBorder="1"/>
    <xf numFmtId="0" fontId="23" fillId="19" borderId="12" xfId="0" applyFont="1" applyFill="1" applyBorder="1" applyAlignment="1">
      <alignment horizontal="center" vertical="center" wrapText="1"/>
    </xf>
    <xf numFmtId="0" fontId="23" fillId="19" borderId="15" xfId="0" applyFont="1" applyFill="1" applyBorder="1" applyAlignment="1">
      <alignment horizontal="justify" vertical="center" wrapText="1"/>
    </xf>
    <xf numFmtId="0" fontId="28" fillId="19" borderId="15" xfId="0" applyFont="1" applyFill="1" applyBorder="1" applyAlignment="1">
      <alignment vertical="center" wrapText="1"/>
    </xf>
    <xf numFmtId="0" fontId="23" fillId="19" borderId="15" xfId="0" applyFont="1" applyFill="1" applyBorder="1" applyAlignment="1">
      <alignment vertical="center" wrapText="1"/>
    </xf>
    <xf numFmtId="4" fontId="23" fillId="19" borderId="15" xfId="0" applyNumberFormat="1" applyFont="1" applyFill="1" applyBorder="1" applyAlignment="1">
      <alignment horizontal="right" vertical="center" wrapText="1"/>
    </xf>
    <xf numFmtId="1" fontId="23" fillId="19" borderId="15" xfId="0" applyNumberFormat="1" applyFont="1" applyFill="1" applyBorder="1" applyAlignment="1">
      <alignment horizontal="center" vertical="center" wrapText="1"/>
    </xf>
    <xf numFmtId="0" fontId="23" fillId="19" borderId="6" xfId="0" applyFont="1" applyFill="1" applyBorder="1" applyAlignment="1">
      <alignment vertical="center" wrapText="1"/>
    </xf>
    <xf numFmtId="0" fontId="23" fillId="6" borderId="22" xfId="0" applyFont="1" applyFill="1" applyBorder="1" applyAlignment="1">
      <alignment horizontal="center" vertical="center" wrapText="1"/>
    </xf>
    <xf numFmtId="0" fontId="23" fillId="6" borderId="11" xfId="0" applyFont="1" applyFill="1" applyBorder="1"/>
    <xf numFmtId="0" fontId="28" fillId="15" borderId="15" xfId="0" applyFont="1" applyFill="1" applyBorder="1" applyAlignment="1">
      <alignment vertical="center" wrapText="1"/>
    </xf>
    <xf numFmtId="0" fontId="23" fillId="15" borderId="15" xfId="0" applyFont="1" applyFill="1" applyBorder="1" applyAlignment="1">
      <alignment vertical="center" wrapText="1"/>
    </xf>
    <xf numFmtId="4" fontId="23" fillId="15" borderId="15" xfId="0" applyNumberFormat="1" applyFont="1" applyFill="1" applyBorder="1" applyAlignment="1">
      <alignment horizontal="right" vertical="center" wrapText="1"/>
    </xf>
    <xf numFmtId="1" fontId="23" fillId="15" borderId="15" xfId="0" applyNumberFormat="1" applyFont="1" applyFill="1" applyBorder="1" applyAlignment="1">
      <alignment horizontal="center" vertical="center" wrapText="1"/>
    </xf>
    <xf numFmtId="0" fontId="23" fillId="15" borderId="6" xfId="0" applyFont="1" applyFill="1" applyBorder="1" applyAlignment="1">
      <alignment vertical="center" wrapText="1"/>
    </xf>
    <xf numFmtId="0" fontId="22" fillId="6" borderId="9" xfId="0" applyFont="1" applyFill="1" applyBorder="1" applyAlignment="1">
      <alignment vertical="center" textRotation="90" wrapText="1"/>
    </xf>
    <xf numFmtId="0" fontId="22" fillId="0" borderId="9" xfId="0" applyFont="1" applyBorder="1" applyAlignment="1">
      <alignment horizontal="center" vertical="center" wrapText="1"/>
    </xf>
    <xf numFmtId="178" fontId="22" fillId="0" borderId="9" xfId="0" applyNumberFormat="1" applyFont="1" applyBorder="1" applyAlignment="1">
      <alignment horizontal="center" vertical="center" wrapText="1"/>
    </xf>
    <xf numFmtId="0" fontId="22" fillId="0" borderId="21" xfId="0" applyFont="1" applyBorder="1" applyAlignment="1">
      <alignment horizontal="justify" vertical="center" wrapText="1"/>
    </xf>
    <xf numFmtId="0" fontId="22" fillId="0" borderId="21" xfId="0" applyFont="1" applyBorder="1" applyAlignment="1">
      <alignment vertical="center" wrapText="1"/>
    </xf>
    <xf numFmtId="10" fontId="22" fillId="0" borderId="21" xfId="0" applyNumberFormat="1" applyFont="1" applyBorder="1" applyAlignment="1">
      <alignment horizontal="center" vertical="center" wrapText="1"/>
    </xf>
    <xf numFmtId="4" fontId="23" fillId="0" borderId="21" xfId="0" applyNumberFormat="1" applyFont="1" applyBorder="1" applyAlignment="1">
      <alignment horizontal="right" vertical="center" wrapText="1"/>
    </xf>
    <xf numFmtId="1" fontId="22" fillId="0" borderId="27" xfId="0" applyNumberFormat="1" applyFont="1" applyBorder="1" applyAlignment="1">
      <alignment horizontal="center" vertical="center" wrapText="1"/>
    </xf>
    <xf numFmtId="0" fontId="22" fillId="0" borderId="21" xfId="0" applyFont="1" applyBorder="1" applyAlignment="1">
      <alignment horizontal="center" vertical="center" textRotation="180" wrapText="1"/>
    </xf>
    <xf numFmtId="49" fontId="22" fillId="0" borderId="21" xfId="0" applyNumberFormat="1" applyFont="1" applyBorder="1" applyAlignment="1">
      <alignment horizontal="center" vertical="center" textRotation="180" wrapText="1"/>
    </xf>
    <xf numFmtId="168" fontId="22" fillId="0" borderId="21" xfId="0" applyNumberFormat="1" applyFont="1" applyBorder="1" applyAlignment="1">
      <alignment horizontal="center" vertical="center" wrapText="1"/>
    </xf>
    <xf numFmtId="3" fontId="22" fillId="0" borderId="6" xfId="0" applyNumberFormat="1" applyFont="1" applyBorder="1" applyAlignment="1">
      <alignment horizontal="left" vertical="center" wrapText="1"/>
    </xf>
    <xf numFmtId="14" fontId="4" fillId="0" borderId="6" xfId="0" applyNumberFormat="1" applyFont="1" applyBorder="1" applyAlignment="1">
      <alignment horizontal="center" vertical="center" wrapText="1"/>
    </xf>
    <xf numFmtId="14" fontId="4" fillId="0" borderId="6" xfId="0" applyNumberFormat="1" applyFont="1" applyBorder="1" applyAlignment="1">
      <alignment horizontal="center" vertical="center"/>
    </xf>
    <xf numFmtId="14" fontId="4" fillId="0" borderId="6" xfId="0" applyNumberFormat="1" applyFont="1" applyBorder="1" applyAlignment="1">
      <alignment vertical="center" wrapText="1"/>
    </xf>
    <xf numFmtId="14" fontId="4" fillId="6" borderId="6" xfId="0" applyNumberFormat="1" applyFont="1" applyFill="1" applyBorder="1" applyAlignment="1">
      <alignment horizontal="center" vertical="center" wrapText="1"/>
    </xf>
    <xf numFmtId="14" fontId="4" fillId="6" borderId="6" xfId="0" applyNumberFormat="1" applyFont="1" applyFill="1" applyBorder="1" applyAlignment="1">
      <alignment vertical="center" wrapText="1"/>
    </xf>
    <xf numFmtId="14" fontId="14" fillId="0" borderId="6" xfId="0" applyNumberFormat="1" applyFont="1" applyBorder="1" applyAlignment="1">
      <alignment horizontal="right" vertical="center"/>
    </xf>
    <xf numFmtId="14" fontId="14" fillId="0" borderId="6" xfId="0" applyNumberFormat="1" applyFont="1" applyBorder="1" applyAlignment="1">
      <alignment vertical="center" wrapText="1"/>
    </xf>
    <xf numFmtId="14" fontId="14" fillId="0" borderId="20" xfId="0" applyNumberFormat="1" applyFont="1" applyBorder="1" applyAlignment="1">
      <alignment vertical="center"/>
    </xf>
    <xf numFmtId="0" fontId="14" fillId="15" borderId="6" xfId="0" applyFont="1" applyFill="1" applyBorder="1" applyAlignment="1">
      <alignment wrapText="1"/>
    </xf>
    <xf numFmtId="0" fontId="23" fillId="0" borderId="3" xfId="0" applyFont="1" applyBorder="1" applyAlignment="1">
      <alignment vertical="center"/>
    </xf>
    <xf numFmtId="0" fontId="23" fillId="0" borderId="4" xfId="0" applyFont="1" applyBorder="1" applyAlignment="1">
      <alignment vertical="center" wrapText="1"/>
    </xf>
    <xf numFmtId="0" fontId="23" fillId="0" borderId="7" xfId="0" applyFont="1" applyBorder="1" applyAlignment="1">
      <alignment vertical="center" wrapText="1"/>
    </xf>
    <xf numFmtId="3" fontId="27" fillId="0" borderId="7" xfId="0" applyNumberFormat="1" applyFont="1" applyBorder="1" applyAlignment="1">
      <alignment horizontal="left" vertical="center" wrapText="1"/>
    </xf>
    <xf numFmtId="0" fontId="23" fillId="0" borderId="24" xfId="0" applyFont="1" applyBorder="1" applyAlignment="1">
      <alignment vertical="center" wrapText="1"/>
    </xf>
    <xf numFmtId="1" fontId="23" fillId="20" borderId="38" xfId="0" applyNumberFormat="1" applyFont="1" applyFill="1" applyBorder="1" applyAlignment="1">
      <alignment horizontal="left" vertical="center" wrapText="1"/>
    </xf>
    <xf numFmtId="0" fontId="23" fillId="20" borderId="17" xfId="0" applyFont="1" applyFill="1" applyBorder="1" applyAlignment="1">
      <alignment horizontal="center" vertical="center" wrapText="1"/>
    </xf>
    <xf numFmtId="0" fontId="22" fillId="6" borderId="10" xfId="0" applyFont="1" applyFill="1" applyBorder="1" applyAlignment="1">
      <alignment vertical="center" wrapText="1"/>
    </xf>
    <xf numFmtId="0" fontId="23" fillId="17" borderId="24" xfId="0" applyFont="1" applyFill="1" applyBorder="1" applyAlignment="1">
      <alignment horizontal="center" vertical="center" wrapText="1"/>
    </xf>
    <xf numFmtId="0" fontId="22" fillId="6" borderId="5" xfId="0" applyFont="1" applyFill="1" applyBorder="1" applyAlignment="1">
      <alignment vertical="center" wrapText="1"/>
    </xf>
    <xf numFmtId="0" fontId="23" fillId="7" borderId="17" xfId="0" applyFont="1" applyFill="1" applyBorder="1" applyAlignment="1">
      <alignment horizontal="center" vertical="center" wrapText="1"/>
    </xf>
    <xf numFmtId="14" fontId="23" fillId="7" borderId="15" xfId="0" applyNumberFormat="1" applyFont="1" applyFill="1" applyBorder="1" applyAlignment="1">
      <alignment horizontal="center" vertical="center"/>
    </xf>
    <xf numFmtId="1" fontId="23" fillId="7" borderId="17" xfId="0" applyNumberFormat="1" applyFont="1" applyFill="1" applyBorder="1" applyAlignment="1">
      <alignment horizontal="center" vertical="center" wrapText="1"/>
    </xf>
    <xf numFmtId="14" fontId="23" fillId="17" borderId="9" xfId="0" applyNumberFormat="1" applyFont="1" applyFill="1" applyBorder="1" applyAlignment="1">
      <alignment horizontal="center" vertical="center"/>
    </xf>
    <xf numFmtId="0" fontId="17" fillId="0" borderId="0" xfId="0" applyFont="1" applyAlignment="1">
      <alignment vertical="top" wrapText="1"/>
    </xf>
    <xf numFmtId="0" fontId="23" fillId="0" borderId="20" xfId="0" applyFont="1" applyBorder="1" applyAlignment="1">
      <alignment vertical="center"/>
    </xf>
    <xf numFmtId="0" fontId="31" fillId="4" borderId="6" xfId="0" applyFont="1" applyFill="1" applyBorder="1" applyAlignment="1">
      <alignment horizontal="justify" vertical="center" wrapText="1"/>
    </xf>
    <xf numFmtId="0" fontId="23" fillId="12" borderId="20" xfId="0" applyFont="1" applyFill="1" applyBorder="1" applyAlignment="1">
      <alignment horizontal="justify" vertical="center" textRotation="90" wrapText="1"/>
    </xf>
    <xf numFmtId="49" fontId="23" fillId="12" borderId="20" xfId="0" applyNumberFormat="1" applyFont="1" applyFill="1" applyBorder="1" applyAlignment="1">
      <alignment horizontal="justify" vertical="center" textRotation="90" wrapText="1"/>
    </xf>
    <xf numFmtId="0" fontId="23" fillId="12" borderId="19" xfId="0" applyFont="1" applyFill="1" applyBorder="1" applyAlignment="1">
      <alignment horizontal="justify" vertical="center" textRotation="90" wrapText="1"/>
    </xf>
    <xf numFmtId="0" fontId="19" fillId="13" borderId="20" xfId="0" applyFont="1" applyFill="1" applyBorder="1" applyAlignment="1">
      <alignment horizontal="center" vertical="center" wrapText="1"/>
    </xf>
    <xf numFmtId="0" fontId="19" fillId="13" borderId="15" xfId="0" applyFont="1" applyFill="1" applyBorder="1" applyAlignment="1">
      <alignment vertical="center" wrapText="1"/>
    </xf>
    <xf numFmtId="14" fontId="19" fillId="13" borderId="15" xfId="0" applyNumberFormat="1" applyFont="1" applyFill="1" applyBorder="1" applyAlignment="1">
      <alignment vertical="center" wrapText="1"/>
    </xf>
    <xf numFmtId="0" fontId="19" fillId="13" borderId="16" xfId="0" applyFont="1" applyFill="1" applyBorder="1" applyAlignment="1">
      <alignment vertical="center" wrapText="1"/>
    </xf>
    <xf numFmtId="0" fontId="19" fillId="6" borderId="20" xfId="0" applyFont="1" applyFill="1" applyBorder="1" applyAlignment="1">
      <alignment horizontal="center" vertical="center" wrapText="1"/>
    </xf>
    <xf numFmtId="0" fontId="19" fillId="6" borderId="20" xfId="0" applyFont="1" applyFill="1" applyBorder="1" applyAlignment="1">
      <alignment vertical="center" wrapText="1"/>
    </xf>
    <xf numFmtId="0" fontId="19" fillId="19" borderId="12"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22" xfId="0" applyFont="1" applyFill="1" applyBorder="1" applyAlignment="1">
      <alignment vertical="center" wrapText="1"/>
    </xf>
    <xf numFmtId="0" fontId="19" fillId="15" borderId="6" xfId="0" applyFont="1" applyFill="1" applyBorder="1" applyAlignment="1">
      <alignment horizontal="center" vertical="center" wrapText="1"/>
    </xf>
    <xf numFmtId="49" fontId="15" fillId="6" borderId="22" xfId="0" applyNumberFormat="1" applyFont="1" applyFill="1" applyBorder="1" applyAlignment="1">
      <alignment vertical="center" wrapText="1"/>
    </xf>
    <xf numFmtId="0" fontId="15" fillId="6" borderId="22" xfId="0" applyFont="1" applyFill="1" applyBorder="1" applyAlignment="1">
      <alignment vertical="center" wrapText="1"/>
    </xf>
    <xf numFmtId="0" fontId="28" fillId="15" borderId="6" xfId="0" applyFont="1" applyFill="1" applyBorder="1" applyAlignment="1">
      <alignment horizontal="center" vertical="center" wrapText="1"/>
    </xf>
    <xf numFmtId="0" fontId="28" fillId="15" borderId="6" xfId="0" applyFont="1" applyFill="1" applyBorder="1" applyAlignment="1">
      <alignment horizontal="justify" vertical="center" wrapText="1"/>
    </xf>
    <xf numFmtId="14" fontId="28" fillId="15" borderId="6" xfId="0" applyNumberFormat="1" applyFont="1" applyFill="1" applyBorder="1" applyAlignment="1">
      <alignment horizontal="left" vertical="center" wrapText="1"/>
    </xf>
    <xf numFmtId="49" fontId="15" fillId="6" borderId="22" xfId="0" applyNumberFormat="1" applyFont="1" applyFill="1" applyBorder="1" applyAlignment="1">
      <alignment horizontal="center" vertical="center" wrapText="1"/>
    </xf>
    <xf numFmtId="184" fontId="24" fillId="0" borderId="6" xfId="0" applyNumberFormat="1" applyFont="1" applyBorder="1" applyAlignment="1">
      <alignment horizontal="center" vertical="center" wrapText="1"/>
    </xf>
    <xf numFmtId="49" fontId="24" fillId="6" borderId="6" xfId="0" applyNumberFormat="1" applyFont="1" applyFill="1" applyBorder="1" applyAlignment="1">
      <alignment horizontal="center" vertical="center" wrapText="1"/>
    </xf>
    <xf numFmtId="184" fontId="24" fillId="6" borderId="6" xfId="0" applyNumberFormat="1"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6" borderId="22" xfId="0" applyFont="1" applyFill="1" applyBorder="1" applyAlignment="1">
      <alignment horizontal="justify" vertical="center" wrapText="1"/>
    </xf>
    <xf numFmtId="49" fontId="15" fillId="6" borderId="27" xfId="0" applyNumberFormat="1"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27" xfId="0" applyFont="1" applyFill="1" applyBorder="1" applyAlignment="1">
      <alignment horizontal="justify" vertical="center" wrapText="1"/>
    </xf>
    <xf numFmtId="0" fontId="8" fillId="0" borderId="0" xfId="0" applyFont="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justify" vertical="center"/>
    </xf>
    <xf numFmtId="14" fontId="8" fillId="0" borderId="0" xfId="0" applyNumberFormat="1" applyFont="1" applyAlignment="1">
      <alignment horizontal="right" vertical="center"/>
    </xf>
    <xf numFmtId="14" fontId="8" fillId="0" borderId="0" xfId="0" applyNumberFormat="1" applyFont="1" applyAlignment="1">
      <alignment horizontal="left"/>
    </xf>
    <xf numFmtId="0" fontId="37" fillId="0" borderId="0" xfId="0" applyFont="1"/>
    <xf numFmtId="0" fontId="37" fillId="0" borderId="0" xfId="0" applyFont="1" applyAlignment="1">
      <alignment horizontal="center"/>
    </xf>
    <xf numFmtId="0" fontId="37" fillId="0" borderId="0" xfId="0" applyFont="1" applyAlignment="1">
      <alignment horizontal="center" vertical="center"/>
    </xf>
    <xf numFmtId="0" fontId="37" fillId="0" borderId="0" xfId="0" applyFont="1" applyAlignment="1">
      <alignment horizontal="justify" vertical="center"/>
    </xf>
    <xf numFmtId="0" fontId="38" fillId="0" borderId="0" xfId="0" applyFont="1" applyAlignment="1">
      <alignment horizontal="right" vertical="center"/>
    </xf>
    <xf numFmtId="168" fontId="37" fillId="0" borderId="0" xfId="0" applyNumberFormat="1" applyFont="1" applyAlignment="1">
      <alignment horizontal="center"/>
    </xf>
    <xf numFmtId="0" fontId="37" fillId="0" borderId="0" xfId="0" applyFont="1" applyAlignment="1">
      <alignment horizontal="left"/>
    </xf>
    <xf numFmtId="1" fontId="22" fillId="6" borderId="23" xfId="0" applyNumberFormat="1" applyFont="1" applyFill="1" applyBorder="1" applyAlignment="1">
      <alignment horizontal="center" vertical="center" wrapText="1"/>
    </xf>
    <xf numFmtId="190" fontId="4" fillId="6" borderId="6" xfId="2" applyNumberFormat="1" applyFont="1" applyFill="1" applyBorder="1" applyAlignment="1">
      <alignment vertical="center"/>
    </xf>
    <xf numFmtId="1" fontId="22" fillId="6" borderId="21" xfId="0" applyNumberFormat="1" applyFont="1" applyFill="1" applyBorder="1" applyAlignment="1">
      <alignment horizontal="center" vertical="center" wrapText="1"/>
    </xf>
    <xf numFmtId="0" fontId="22" fillId="6" borderId="9" xfId="0" applyFont="1" applyFill="1" applyBorder="1" applyAlignment="1">
      <alignment horizontal="center" vertical="center" wrapText="1"/>
    </xf>
    <xf numFmtId="1" fontId="23" fillId="6" borderId="19" xfId="0" applyNumberFormat="1" applyFont="1" applyFill="1" applyBorder="1" applyAlignment="1">
      <alignment horizontal="center" vertical="center" wrapText="1"/>
    </xf>
    <xf numFmtId="169" fontId="23" fillId="14" borderId="15" xfId="0" applyNumberFormat="1" applyFont="1" applyFill="1" applyBorder="1" applyAlignment="1">
      <alignment horizontal="center" vertical="center"/>
    </xf>
    <xf numFmtId="170" fontId="23" fillId="14" borderId="15" xfId="0" applyNumberFormat="1" applyFont="1" applyFill="1" applyBorder="1" applyAlignment="1">
      <alignment vertical="center"/>
    </xf>
    <xf numFmtId="170" fontId="23" fillId="14" borderId="15" xfId="0" applyNumberFormat="1" applyFont="1" applyFill="1" applyBorder="1" applyAlignment="1">
      <alignment horizontal="center" vertical="center"/>
    </xf>
    <xf numFmtId="171" fontId="23" fillId="14" borderId="15" xfId="0" applyNumberFormat="1" applyFont="1" applyFill="1" applyBorder="1" applyAlignment="1">
      <alignment vertical="center"/>
    </xf>
    <xf numFmtId="0" fontId="23" fillId="14" borderId="16" xfId="0" applyFont="1" applyFill="1" applyBorder="1" applyAlignment="1">
      <alignment horizontal="justify" vertical="center"/>
    </xf>
    <xf numFmtId="1" fontId="23" fillId="6" borderId="23" xfId="0" applyNumberFormat="1" applyFont="1" applyFill="1" applyBorder="1" applyAlignment="1">
      <alignment horizontal="center" vertical="center" wrapText="1"/>
    </xf>
    <xf numFmtId="169" fontId="23" fillId="15" borderId="15" xfId="0" applyNumberFormat="1" applyFont="1" applyFill="1" applyBorder="1" applyAlignment="1">
      <alignment horizontal="center" vertical="center"/>
    </xf>
    <xf numFmtId="1" fontId="7" fillId="15" borderId="11" xfId="0" applyNumberFormat="1" applyFont="1" applyFill="1" applyBorder="1" applyAlignment="1">
      <alignment horizontal="center" vertical="center"/>
    </xf>
    <xf numFmtId="49" fontId="8" fillId="0" borderId="6"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0" fontId="7" fillId="15" borderId="0" xfId="0" applyFont="1" applyFill="1" applyAlignment="1">
      <alignment vertical="center"/>
    </xf>
    <xf numFmtId="0" fontId="8" fillId="0" borderId="6" xfId="2" applyNumberFormat="1" applyFont="1" applyBorder="1" applyAlignment="1">
      <alignment horizontal="center" vertical="center" wrapText="1"/>
    </xf>
    <xf numFmtId="0" fontId="8" fillId="6" borderId="6" xfId="2" applyNumberFormat="1" applyFont="1" applyFill="1" applyBorder="1" applyAlignment="1">
      <alignment horizontal="center" vertical="center" wrapText="1"/>
    </xf>
    <xf numFmtId="176" fontId="7" fillId="0" borderId="6" xfId="0" applyNumberFormat="1" applyFont="1" applyBorder="1" applyAlignment="1">
      <alignment horizontal="center" vertical="center"/>
    </xf>
    <xf numFmtId="43" fontId="8" fillId="0" borderId="14" xfId="7" applyFont="1" applyBorder="1" applyAlignment="1">
      <alignment horizontal="center" vertical="center" wrapText="1"/>
    </xf>
    <xf numFmtId="1" fontId="22" fillId="6" borderId="20" xfId="15" applyNumberFormat="1" applyFont="1" applyFill="1" applyBorder="1" applyAlignment="1">
      <alignment horizontal="center" vertical="center" wrapText="1"/>
    </xf>
    <xf numFmtId="1" fontId="4" fillId="6" borderId="0" xfId="0" applyNumberFormat="1" applyFont="1" applyFill="1"/>
    <xf numFmtId="1" fontId="24" fillId="0" borderId="6" xfId="0" applyNumberFormat="1" applyFont="1" applyBorder="1" applyAlignment="1">
      <alignment horizontal="center" vertical="center"/>
    </xf>
    <xf numFmtId="0" fontId="4" fillId="6" borderId="0" xfId="0" applyFont="1" applyFill="1" applyAlignment="1">
      <alignment wrapText="1"/>
    </xf>
    <xf numFmtId="3" fontId="4" fillId="0" borderId="23" xfId="0" applyNumberFormat="1" applyFont="1" applyBorder="1" applyAlignment="1">
      <alignment horizontal="center" vertical="center"/>
    </xf>
    <xf numFmtId="43" fontId="4" fillId="0" borderId="6" xfId="5" applyFont="1" applyBorder="1" applyAlignment="1">
      <alignment horizontal="justify" vertical="center"/>
    </xf>
    <xf numFmtId="43" fontId="4" fillId="0" borderId="6" xfId="5" applyFont="1" applyBorder="1" applyAlignment="1">
      <alignment horizontal="justify" vertical="center" wrapText="1"/>
    </xf>
    <xf numFmtId="43" fontId="4" fillId="0" borderId="27" xfId="5" applyFont="1" applyBorder="1" applyAlignment="1">
      <alignment horizontal="justify" vertical="center"/>
    </xf>
    <xf numFmtId="190" fontId="4" fillId="6" borderId="27" xfId="2" applyNumberFormat="1" applyFont="1" applyFill="1" applyBorder="1" applyAlignment="1">
      <alignment vertical="center"/>
    </xf>
    <xf numFmtId="4" fontId="8" fillId="0" borderId="6" xfId="9" applyNumberFormat="1" applyFont="1" applyBorder="1" applyAlignment="1">
      <alignment horizontal="right" vertical="center"/>
    </xf>
    <xf numFmtId="3" fontId="8" fillId="0" borderId="6" xfId="9" applyNumberFormat="1" applyFont="1" applyBorder="1" applyAlignment="1">
      <alignment horizontal="right" vertical="center"/>
    </xf>
    <xf numFmtId="0" fontId="8" fillId="0" borderId="23" xfId="0" applyFont="1" applyBorder="1" applyAlignment="1">
      <alignment vertical="center" wrapText="1"/>
    </xf>
    <xf numFmtId="0" fontId="8" fillId="0" borderId="0" xfId="0" applyFont="1" applyAlignment="1">
      <alignment vertical="center" wrapText="1"/>
    </xf>
    <xf numFmtId="0" fontId="8" fillId="0" borderId="25" xfId="0" applyFont="1" applyBorder="1" applyAlignment="1">
      <alignment vertical="center" wrapText="1"/>
    </xf>
    <xf numFmtId="170" fontId="22" fillId="0" borderId="0" xfId="0" applyNumberFormat="1" applyFont="1" applyAlignment="1">
      <alignment horizontal="center" vertical="center"/>
    </xf>
    <xf numFmtId="0" fontId="22" fillId="0" borderId="6" xfId="0" applyFont="1" applyBorder="1" applyAlignment="1">
      <alignment horizontal="center" vertical="center" wrapText="1"/>
    </xf>
    <xf numFmtId="0" fontId="4" fillId="0" borderId="6" xfId="0" applyFont="1" applyBorder="1" applyAlignment="1">
      <alignment vertical="center" wrapText="1"/>
    </xf>
    <xf numFmtId="0" fontId="22" fillId="0" borderId="0" xfId="0" applyFont="1" applyAlignment="1">
      <alignment horizontal="center" vertical="center" wrapText="1"/>
    </xf>
    <xf numFmtId="0" fontId="11" fillId="2" borderId="30" xfId="0" applyFont="1" applyFill="1" applyBorder="1"/>
    <xf numFmtId="3" fontId="22" fillId="0" borderId="6" xfId="0" applyNumberFormat="1" applyFont="1" applyBorder="1" applyAlignment="1">
      <alignment horizontal="justify" vertical="center" wrapText="1"/>
    </xf>
    <xf numFmtId="0" fontId="22" fillId="6" borderId="6" xfId="9" applyFont="1" applyFill="1" applyBorder="1" applyAlignment="1">
      <alignment horizontal="justify" vertical="center" wrapText="1"/>
    </xf>
    <xf numFmtId="0" fontId="4" fillId="16" borderId="11" xfId="0" applyFont="1" applyFill="1" applyBorder="1" applyAlignment="1">
      <alignment horizontal="justify" vertical="center" wrapText="1"/>
    </xf>
    <xf numFmtId="0" fontId="4" fillId="17" borderId="11" xfId="0" applyFont="1" applyFill="1" applyBorder="1" applyAlignment="1">
      <alignment horizontal="justify" vertical="center" wrapText="1"/>
    </xf>
    <xf numFmtId="0" fontId="29" fillId="0" borderId="20" xfId="9" applyFont="1" applyBorder="1" applyAlignment="1">
      <alignment horizontal="justify" vertical="center" wrapText="1"/>
    </xf>
    <xf numFmtId="170" fontId="40" fillId="0" borderId="0" xfId="0" applyNumberFormat="1" applyFont="1" applyAlignment="1">
      <alignment horizontal="left" vertical="center"/>
    </xf>
    <xf numFmtId="0" fontId="7" fillId="0" borderId="14" xfId="0" applyFont="1" applyBorder="1" applyAlignment="1">
      <alignment horizontal="center" vertical="center" wrapText="1"/>
    </xf>
    <xf numFmtId="0" fontId="22" fillId="0" borderId="6" xfId="0" applyFont="1" applyBorder="1"/>
    <xf numFmtId="0" fontId="22" fillId="15" borderId="0" xfId="0" applyFont="1" applyFill="1" applyAlignment="1">
      <alignment horizontal="justify" vertical="center" wrapText="1"/>
    </xf>
    <xf numFmtId="0" fontId="30" fillId="6" borderId="27" xfId="0" applyFont="1" applyFill="1" applyBorder="1" applyAlignment="1">
      <alignment horizontal="justify" vertical="center" wrapText="1"/>
    </xf>
    <xf numFmtId="0" fontId="0" fillId="0" borderId="0" xfId="0" applyAlignment="1">
      <alignment horizontal="justify" vertical="center" wrapText="1"/>
    </xf>
    <xf numFmtId="1" fontId="23" fillId="0" borderId="6" xfId="0" applyNumberFormat="1" applyFont="1" applyBorder="1" applyAlignment="1">
      <alignment vertical="center"/>
    </xf>
    <xf numFmtId="0" fontId="23" fillId="6" borderId="6" xfId="0" applyFont="1" applyFill="1" applyBorder="1" applyAlignment="1">
      <alignment horizontal="justify" vertical="center"/>
    </xf>
    <xf numFmtId="0" fontId="7" fillId="6" borderId="6" xfId="0" applyFont="1" applyFill="1" applyBorder="1" applyAlignment="1">
      <alignment vertical="center" wrapText="1"/>
    </xf>
    <xf numFmtId="0" fontId="23" fillId="6" borderId="6" xfId="0" applyFont="1" applyFill="1" applyBorder="1" applyAlignment="1">
      <alignment vertical="center"/>
    </xf>
    <xf numFmtId="0" fontId="23" fillId="6" borderId="6" xfId="0" applyFont="1" applyFill="1" applyBorder="1" applyAlignment="1">
      <alignment horizontal="center" vertical="center"/>
    </xf>
    <xf numFmtId="10" fontId="23" fillId="6" borderId="6" xfId="0" applyNumberFormat="1" applyFont="1" applyFill="1" applyBorder="1" applyAlignment="1">
      <alignment horizontal="center" vertical="center"/>
    </xf>
    <xf numFmtId="170" fontId="23" fillId="6" borderId="6" xfId="0" applyNumberFormat="1" applyFont="1" applyFill="1" applyBorder="1" applyAlignment="1">
      <alignment horizontal="center" vertical="center"/>
    </xf>
    <xf numFmtId="1" fontId="23" fillId="6" borderId="6" xfId="0" applyNumberFormat="1" applyFont="1" applyFill="1" applyBorder="1" applyAlignment="1">
      <alignment horizontal="center" vertical="center"/>
    </xf>
    <xf numFmtId="171" fontId="23" fillId="0" borderId="6" xfId="0" applyNumberFormat="1" applyFont="1" applyBorder="1" applyAlignment="1">
      <alignment horizontal="right" vertical="center"/>
    </xf>
    <xf numFmtId="171" fontId="23" fillId="0" borderId="6" xfId="0" applyNumberFormat="1" applyFont="1" applyBorder="1" applyAlignment="1">
      <alignment horizontal="center" vertical="center"/>
    </xf>
    <xf numFmtId="0" fontId="7" fillId="6" borderId="6" xfId="0" applyFont="1" applyFill="1" applyBorder="1" applyAlignment="1">
      <alignment horizontal="justify" vertical="center" wrapText="1"/>
    </xf>
    <xf numFmtId="171" fontId="22" fillId="15" borderId="0" xfId="0" applyNumberFormat="1" applyFont="1" applyFill="1" applyAlignment="1">
      <alignment vertical="center" wrapText="1"/>
    </xf>
    <xf numFmtId="3" fontId="22" fillId="15" borderId="0" xfId="0" applyNumberFormat="1" applyFont="1" applyFill="1" applyAlignment="1">
      <alignment vertical="center" wrapText="1"/>
    </xf>
    <xf numFmtId="0" fontId="6" fillId="14" borderId="15" xfId="0" applyFont="1" applyFill="1" applyBorder="1" applyAlignment="1">
      <alignment horizontal="justify" vertical="center" wrapText="1"/>
    </xf>
    <xf numFmtId="0" fontId="6" fillId="15" borderId="9" xfId="0" applyFont="1" applyFill="1" applyBorder="1" applyAlignment="1">
      <alignment horizontal="justify" vertical="center" wrapText="1"/>
    </xf>
    <xf numFmtId="0" fontId="6" fillId="14" borderId="0" xfId="0" applyFont="1" applyFill="1" applyAlignment="1">
      <alignment horizontal="justify" vertical="center" wrapText="1"/>
    </xf>
    <xf numFmtId="0" fontId="6" fillId="14" borderId="11" xfId="0" applyFont="1" applyFill="1" applyBorder="1" applyAlignment="1">
      <alignment horizontal="justify" vertical="center" wrapText="1"/>
    </xf>
    <xf numFmtId="0" fontId="23" fillId="14" borderId="15" xfId="0" applyFont="1" applyFill="1" applyBorder="1" applyAlignment="1">
      <alignment horizontal="justify" vertical="center" wrapText="1"/>
    </xf>
    <xf numFmtId="0" fontId="28" fillId="15" borderId="15" xfId="0" applyFont="1" applyFill="1" applyBorder="1" applyAlignment="1">
      <alignment horizontal="justify" vertical="center" wrapText="1"/>
    </xf>
    <xf numFmtId="0" fontId="27" fillId="15" borderId="15" xfId="0" applyFont="1" applyFill="1" applyBorder="1" applyAlignment="1">
      <alignment horizontal="justify" vertical="center" wrapText="1"/>
    </xf>
    <xf numFmtId="0" fontId="28" fillId="15" borderId="11" xfId="0" applyFont="1" applyFill="1" applyBorder="1" applyAlignment="1">
      <alignment horizontal="justify" vertical="center" wrapText="1"/>
    </xf>
    <xf numFmtId="170" fontId="23" fillId="0" borderId="6" xfId="0" applyNumberFormat="1" applyFont="1" applyBorder="1" applyAlignment="1">
      <alignment horizontal="center" vertical="center" wrapText="1"/>
    </xf>
    <xf numFmtId="170" fontId="27" fillId="6" borderId="6" xfId="0" applyNumberFormat="1" applyFont="1" applyFill="1" applyBorder="1" applyAlignment="1">
      <alignment horizontal="justify" vertical="center" wrapText="1"/>
    </xf>
    <xf numFmtId="0" fontId="27" fillId="6" borderId="6" xfId="0" applyFont="1" applyFill="1" applyBorder="1" applyAlignment="1">
      <alignment horizontal="justify" vertical="center" wrapText="1"/>
    </xf>
    <xf numFmtId="0" fontId="27" fillId="6" borderId="6" xfId="0" applyFont="1" applyFill="1" applyBorder="1" applyAlignment="1">
      <alignment vertical="center" wrapText="1"/>
    </xf>
    <xf numFmtId="0" fontId="23" fillId="7" borderId="15" xfId="0" applyFont="1" applyFill="1" applyBorder="1" applyAlignment="1">
      <alignment horizontal="justify" vertical="center" wrapText="1"/>
    </xf>
    <xf numFmtId="1" fontId="23" fillId="7" borderId="15" xfId="0" applyNumberFormat="1" applyFont="1" applyFill="1" applyBorder="1" applyAlignment="1">
      <alignment horizontal="justify" vertical="center" wrapText="1"/>
    </xf>
    <xf numFmtId="0" fontId="23" fillId="17" borderId="9" xfId="0" applyFont="1" applyFill="1" applyBorder="1" applyAlignment="1">
      <alignment horizontal="justify" vertical="center" wrapText="1"/>
    </xf>
    <xf numFmtId="1" fontId="23" fillId="17" borderId="9" xfId="0" applyNumberFormat="1" applyFont="1" applyFill="1" applyBorder="1" applyAlignment="1">
      <alignment horizontal="justify" vertical="center" wrapText="1"/>
    </xf>
    <xf numFmtId="0" fontId="22" fillId="6" borderId="0" xfId="0" applyFont="1" applyFill="1" applyAlignment="1">
      <alignment horizontal="justify" vertical="top" wrapText="1"/>
    </xf>
    <xf numFmtId="9" fontId="22" fillId="6" borderId="0" xfId="0" applyNumberFormat="1" applyFont="1" applyFill="1" applyAlignment="1">
      <alignment horizontal="center" vertical="center" wrapText="1"/>
    </xf>
    <xf numFmtId="170" fontId="22" fillId="6" borderId="0" xfId="0" applyNumberFormat="1" applyFont="1" applyFill="1" applyAlignment="1">
      <alignment horizontal="center" vertical="center" wrapText="1"/>
    </xf>
    <xf numFmtId="1" fontId="22" fillId="6" borderId="0" xfId="0" applyNumberFormat="1" applyFont="1" applyFill="1" applyAlignment="1">
      <alignment horizontal="justify" vertical="center" wrapText="1"/>
    </xf>
    <xf numFmtId="14" fontId="22" fillId="0" borderId="0" xfId="0" applyNumberFormat="1" applyFont="1" applyAlignment="1">
      <alignment horizontal="center" vertical="center"/>
    </xf>
    <xf numFmtId="185" fontId="7" fillId="6" borderId="6" xfId="0" applyNumberFormat="1" applyFont="1" applyFill="1" applyBorder="1" applyAlignment="1">
      <alignment vertical="center" wrapText="1"/>
    </xf>
    <xf numFmtId="186" fontId="7" fillId="6" borderId="6" xfId="0" applyNumberFormat="1" applyFont="1" applyFill="1" applyBorder="1" applyAlignment="1">
      <alignment horizontal="center" vertical="center" wrapText="1"/>
    </xf>
    <xf numFmtId="184" fontId="7" fillId="6" borderId="6" xfId="0" applyNumberFormat="1" applyFont="1" applyFill="1" applyBorder="1" applyAlignment="1">
      <alignment horizontal="center" vertical="center" wrapText="1"/>
    </xf>
    <xf numFmtId="0" fontId="7" fillId="6" borderId="6" xfId="0" applyFont="1" applyFill="1" applyBorder="1" applyAlignment="1">
      <alignment vertical="center"/>
    </xf>
    <xf numFmtId="14" fontId="7" fillId="6" borderId="6" xfId="0" applyNumberFormat="1" applyFont="1" applyFill="1" applyBorder="1" applyAlignment="1">
      <alignment horizontal="right" vertical="center"/>
    </xf>
    <xf numFmtId="14" fontId="7" fillId="6" borderId="6" xfId="0" applyNumberFormat="1" applyFont="1" applyFill="1" applyBorder="1" applyAlignment="1">
      <alignment horizontal="left" vertical="center"/>
    </xf>
    <xf numFmtId="0" fontId="7" fillId="6" borderId="6" xfId="0" applyFont="1" applyFill="1" applyBorder="1" applyAlignment="1">
      <alignment horizontal="left" vertical="center"/>
    </xf>
    <xf numFmtId="0" fontId="41" fillId="0" borderId="0" xfId="0" applyFont="1"/>
    <xf numFmtId="0" fontId="42" fillId="0" borderId="0" xfId="0" applyFont="1"/>
    <xf numFmtId="0" fontId="42" fillId="0" borderId="0" xfId="0" applyFont="1" applyAlignment="1">
      <alignment horizontal="center"/>
    </xf>
    <xf numFmtId="0" fontId="43" fillId="0" borderId="0" xfId="0" applyFont="1"/>
    <xf numFmtId="0" fontId="44" fillId="0" borderId="0" xfId="0" applyFont="1"/>
    <xf numFmtId="0" fontId="44" fillId="0" borderId="0" xfId="0" applyFont="1" applyAlignment="1">
      <alignment horizontal="center"/>
    </xf>
    <xf numFmtId="171" fontId="22" fillId="0" borderId="6" xfId="0" applyNumberFormat="1" applyFont="1" applyBorder="1" applyAlignment="1">
      <alignment horizontal="right" vertical="center"/>
    </xf>
    <xf numFmtId="171" fontId="22" fillId="0" borderId="6" xfId="0" applyNumberFormat="1" applyFont="1" applyBorder="1" applyAlignment="1">
      <alignment horizontal="center"/>
    </xf>
    <xf numFmtId="0" fontId="22" fillId="0" borderId="6" xfId="0" applyFont="1" applyBorder="1" applyAlignment="1">
      <alignment horizontal="justify" vertical="center"/>
    </xf>
    <xf numFmtId="170" fontId="23" fillId="6" borderId="6" xfId="0" applyNumberFormat="1" applyFont="1" applyFill="1" applyBorder="1" applyAlignment="1">
      <alignment vertical="center"/>
    </xf>
    <xf numFmtId="1" fontId="4" fillId="0" borderId="50" xfId="0" applyNumberFormat="1" applyFont="1" applyBorder="1" applyAlignment="1">
      <alignment horizontal="justify"/>
    </xf>
    <xf numFmtId="0" fontId="4" fillId="0" borderId="50" xfId="0" applyFont="1" applyBorder="1" applyAlignment="1">
      <alignment horizontal="justify"/>
    </xf>
    <xf numFmtId="0" fontId="4" fillId="0" borderId="50" xfId="0" applyFont="1" applyBorder="1"/>
    <xf numFmtId="0" fontId="28" fillId="15" borderId="9" xfId="0" applyFont="1" applyFill="1" applyBorder="1" applyAlignment="1">
      <alignment horizontal="justify" vertical="center"/>
    </xf>
    <xf numFmtId="0" fontId="28" fillId="15" borderId="50" xfId="0" applyFont="1" applyFill="1" applyBorder="1" applyAlignment="1">
      <alignment horizontal="center" vertical="center"/>
    </xf>
    <xf numFmtId="0" fontId="28" fillId="15" borderId="9" xfId="0" applyFont="1" applyFill="1" applyBorder="1" applyAlignment="1">
      <alignment horizontal="center" vertical="center"/>
    </xf>
    <xf numFmtId="0" fontId="33" fillId="0" borderId="51" xfId="0" applyFont="1" applyBorder="1" applyAlignment="1">
      <alignment horizontal="center" vertical="center" wrapText="1"/>
    </xf>
    <xf numFmtId="43" fontId="4" fillId="13" borderId="15" xfId="8" applyNumberFormat="1" applyFont="1" applyFill="1" applyBorder="1" applyAlignment="1">
      <alignment horizontal="right" vertical="center"/>
    </xf>
    <xf numFmtId="43" fontId="4" fillId="14" borderId="9" xfId="8" applyNumberFormat="1" applyFont="1" applyFill="1" applyBorder="1" applyAlignment="1">
      <alignment horizontal="right" vertical="center"/>
    </xf>
    <xf numFmtId="43" fontId="4" fillId="17" borderId="11" xfId="8" applyNumberFormat="1" applyFont="1" applyFill="1" applyBorder="1" applyAlignment="1">
      <alignment horizontal="right" vertical="center"/>
    </xf>
    <xf numFmtId="43" fontId="6" fillId="6" borderId="32" xfId="5" applyFont="1" applyFill="1" applyBorder="1" applyAlignment="1">
      <alignment horizontal="right" vertical="center"/>
    </xf>
    <xf numFmtId="43" fontId="4" fillId="6" borderId="0" xfId="5" applyFont="1" applyFill="1" applyAlignment="1">
      <alignment horizontal="right" vertical="center"/>
    </xf>
    <xf numFmtId="43" fontId="4" fillId="6" borderId="0" xfId="8" applyNumberFormat="1" applyFont="1" applyFill="1" applyAlignment="1">
      <alignment horizontal="right" vertical="center"/>
    </xf>
    <xf numFmtId="0" fontId="4" fillId="0" borderId="22" xfId="0" applyFont="1" applyBorder="1" applyAlignment="1">
      <alignment horizontal="justify" vertical="center"/>
    </xf>
    <xf numFmtId="43" fontId="6" fillId="15" borderId="22" xfId="1" applyFont="1" applyFill="1" applyBorder="1" applyAlignment="1">
      <alignment horizontal="center" vertical="center"/>
    </xf>
    <xf numFmtId="1" fontId="4" fillId="6" borderId="50" xfId="0" applyNumberFormat="1" applyFont="1" applyFill="1" applyBorder="1" applyAlignment="1">
      <alignment horizontal="center" vertical="center"/>
    </xf>
    <xf numFmtId="173" fontId="6" fillId="14" borderId="0" xfId="0" applyNumberFormat="1" applyFont="1" applyFill="1" applyAlignment="1">
      <alignment horizontal="center" vertical="center"/>
    </xf>
    <xf numFmtId="0" fontId="6" fillId="15" borderId="50" xfId="0" applyFont="1" applyFill="1" applyBorder="1" applyAlignment="1">
      <alignment horizontal="justify" vertical="center"/>
    </xf>
    <xf numFmtId="0" fontId="6" fillId="15" borderId="50" xfId="0" applyFont="1" applyFill="1" applyBorder="1" applyAlignment="1">
      <alignment horizontal="left" vertical="center"/>
    </xf>
    <xf numFmtId="43" fontId="6" fillId="15" borderId="50" xfId="5" applyFont="1" applyFill="1" applyBorder="1" applyAlignment="1">
      <alignment horizontal="justify" vertical="center"/>
    </xf>
    <xf numFmtId="173" fontId="4" fillId="0" borderId="50" xfId="5" applyNumberFormat="1" applyFont="1" applyBorder="1" applyAlignment="1">
      <alignment horizontal="center" vertical="center"/>
    </xf>
    <xf numFmtId="43" fontId="6" fillId="15" borderId="11" xfId="5" applyFont="1" applyFill="1" applyBorder="1" applyAlignment="1">
      <alignment horizontal="justify" vertical="center"/>
    </xf>
    <xf numFmtId="43" fontId="6" fillId="14" borderId="9" xfId="5" applyFont="1" applyFill="1" applyBorder="1" applyAlignment="1">
      <alignment horizontal="justify" vertical="center"/>
    </xf>
    <xf numFmtId="0" fontId="14" fillId="0" borderId="50" xfId="0" applyFont="1" applyBorder="1" applyAlignment="1">
      <alignment horizontal="center" vertical="center"/>
    </xf>
    <xf numFmtId="43" fontId="4" fillId="16" borderId="0" xfId="8" applyNumberFormat="1" applyFont="1" applyFill="1" applyAlignment="1">
      <alignment horizontal="right" vertical="center"/>
    </xf>
    <xf numFmtId="1" fontId="4" fillId="16" borderId="0" xfId="0" applyNumberFormat="1" applyFont="1" applyFill="1" applyAlignment="1">
      <alignment horizontal="center" vertical="center"/>
    </xf>
    <xf numFmtId="0" fontId="4" fillId="16" borderId="0" xfId="0" applyFont="1" applyFill="1" applyAlignment="1">
      <alignment horizontal="center" vertical="center"/>
    </xf>
    <xf numFmtId="0" fontId="4" fillId="0" borderId="58" xfId="0" applyFont="1" applyBorder="1" applyAlignment="1">
      <alignment horizontal="justify" vertical="center" wrapText="1"/>
    </xf>
    <xf numFmtId="173" fontId="6" fillId="15" borderId="20" xfId="0" applyNumberFormat="1" applyFont="1" applyFill="1" applyBorder="1" applyAlignment="1">
      <alignment horizontal="center" vertical="center"/>
    </xf>
    <xf numFmtId="0" fontId="6" fillId="15" borderId="20" xfId="0" applyFont="1" applyFill="1" applyBorder="1" applyAlignment="1">
      <alignment vertical="center"/>
    </xf>
    <xf numFmtId="1" fontId="4" fillId="6" borderId="58" xfId="0" applyNumberFormat="1" applyFont="1" applyFill="1" applyBorder="1" applyAlignment="1">
      <alignment horizontal="center" vertical="center" wrapText="1"/>
    </xf>
    <xf numFmtId="0" fontId="4" fillId="6" borderId="51" xfId="0" applyFont="1" applyFill="1" applyBorder="1" applyAlignment="1">
      <alignment vertical="center" wrapText="1"/>
    </xf>
    <xf numFmtId="1" fontId="4" fillId="6" borderId="59" xfId="0" applyNumberFormat="1" applyFont="1" applyFill="1" applyBorder="1" applyAlignment="1">
      <alignment horizontal="center" vertical="center" wrapText="1"/>
    </xf>
    <xf numFmtId="1" fontId="22" fillId="6" borderId="50" xfId="0" applyNumberFormat="1" applyFont="1" applyFill="1" applyBorder="1" applyAlignment="1">
      <alignment horizontal="center" vertical="center" wrapText="1"/>
    </xf>
    <xf numFmtId="0" fontId="22" fillId="6" borderId="50" xfId="0" applyFont="1" applyFill="1" applyBorder="1" applyAlignment="1">
      <alignment vertical="center" wrapText="1"/>
    </xf>
    <xf numFmtId="0" fontId="22" fillId="6" borderId="50" xfId="0" applyFont="1" applyFill="1" applyBorder="1" applyAlignment="1">
      <alignment horizontal="center" vertical="center"/>
    </xf>
    <xf numFmtId="43" fontId="4" fillId="6" borderId="14" xfId="1" applyFont="1" applyFill="1" applyBorder="1" applyAlignment="1">
      <alignment horizontal="right" vertical="center" wrapText="1"/>
    </xf>
    <xf numFmtId="0" fontId="22" fillId="0" borderId="50" xfId="0" applyFont="1" applyBorder="1" applyAlignment="1">
      <alignment horizontal="center" vertical="center"/>
    </xf>
    <xf numFmtId="1" fontId="22" fillId="6" borderId="12" xfId="0" applyNumberFormat="1" applyFont="1" applyFill="1" applyBorder="1" applyAlignment="1">
      <alignment horizontal="center" vertical="center" wrapText="1"/>
    </xf>
    <xf numFmtId="0" fontId="22" fillId="6" borderId="51" xfId="0" applyFont="1" applyFill="1" applyBorder="1" applyAlignment="1">
      <alignment horizontal="center" vertical="center"/>
    </xf>
    <xf numFmtId="1" fontId="22" fillId="15" borderId="9" xfId="0" applyNumberFormat="1" applyFont="1" applyFill="1" applyBorder="1" applyAlignment="1">
      <alignment horizontal="center" vertical="center" wrapText="1"/>
    </xf>
    <xf numFmtId="0" fontId="22" fillId="15" borderId="9" xfId="0" applyFont="1" applyFill="1" applyBorder="1" applyAlignment="1">
      <alignment vertical="center" wrapText="1"/>
    </xf>
    <xf numFmtId="0" fontId="6" fillId="15" borderId="0" xfId="0" applyFont="1" applyFill="1" applyAlignment="1">
      <alignment horizontal="justify" vertical="center"/>
    </xf>
    <xf numFmtId="43" fontId="6" fillId="15" borderId="20" xfId="1" applyFont="1" applyFill="1" applyBorder="1" applyAlignment="1">
      <alignment horizontal="center" vertical="center"/>
    </xf>
    <xf numFmtId="0" fontId="24" fillId="0" borderId="21" xfId="0" applyFont="1" applyBorder="1" applyAlignment="1">
      <alignment vertical="center" wrapText="1"/>
    </xf>
    <xf numFmtId="0" fontId="22" fillId="0" borderId="50" xfId="0" applyFont="1" applyBorder="1" applyAlignment="1">
      <alignment horizontal="left" vertical="center" wrapText="1"/>
    </xf>
    <xf numFmtId="0" fontId="4" fillId="0" borderId="50" xfId="0" applyFont="1" applyBorder="1" applyAlignment="1">
      <alignment wrapText="1"/>
    </xf>
    <xf numFmtId="0" fontId="27" fillId="6" borderId="27" xfId="0" applyFont="1" applyFill="1" applyBorder="1" applyAlignment="1">
      <alignment horizontal="justify" vertical="center" wrapText="1"/>
    </xf>
    <xf numFmtId="4" fontId="4" fillId="0" borderId="50" xfId="5" applyNumberFormat="1" applyFont="1" applyBorder="1" applyAlignment="1">
      <alignment horizontal="right" vertical="center" wrapText="1"/>
    </xf>
    <xf numFmtId="1" fontId="22" fillId="6" borderId="13" xfId="0" applyNumberFormat="1" applyFont="1" applyFill="1" applyBorder="1" applyAlignment="1">
      <alignment horizontal="center" vertical="center" wrapText="1"/>
    </xf>
    <xf numFmtId="0" fontId="8" fillId="6" borderId="21" xfId="2" applyNumberFormat="1" applyFont="1" applyFill="1" applyBorder="1" applyAlignment="1">
      <alignment horizontal="center" vertical="center" wrapText="1"/>
    </xf>
    <xf numFmtId="0" fontId="24" fillId="0" borderId="54" xfId="0" applyFont="1" applyBorder="1" applyAlignment="1">
      <alignment horizontal="center" vertical="center" wrapText="1"/>
    </xf>
    <xf numFmtId="0" fontId="24" fillId="0" borderId="54" xfId="0" applyFont="1" applyBorder="1" applyAlignment="1">
      <alignment horizontal="justify" vertical="center" wrapText="1"/>
    </xf>
    <xf numFmtId="0" fontId="33" fillId="6" borderId="50" xfId="0" applyFont="1" applyFill="1" applyBorder="1" applyAlignment="1">
      <alignment vertical="center" wrapText="1"/>
    </xf>
    <xf numFmtId="0" fontId="7" fillId="6" borderId="50" xfId="0" applyFont="1" applyFill="1" applyBorder="1" applyAlignment="1">
      <alignment horizontal="center" vertical="center"/>
    </xf>
    <xf numFmtId="0" fontId="8" fillId="0" borderId="12" xfId="0" applyFont="1" applyBorder="1" applyAlignment="1">
      <alignment horizontal="justify" vertical="center" wrapText="1"/>
    </xf>
    <xf numFmtId="184" fontId="24" fillId="0" borderId="50" xfId="0" applyNumberFormat="1" applyFont="1" applyBorder="1" applyAlignment="1">
      <alignment vertical="center" wrapText="1"/>
    </xf>
    <xf numFmtId="192" fontId="24" fillId="0" borderId="50" xfId="0" applyNumberFormat="1" applyFont="1" applyBorder="1" applyAlignment="1">
      <alignment vertical="center" wrapText="1"/>
    </xf>
    <xf numFmtId="0" fontId="28" fillId="15" borderId="27" xfId="0" applyFont="1" applyFill="1" applyBorder="1" applyAlignment="1">
      <alignment horizontal="justify" vertical="center" wrapText="1"/>
    </xf>
    <xf numFmtId="189" fontId="28" fillId="15" borderId="27" xfId="0" applyNumberFormat="1" applyFont="1" applyFill="1" applyBorder="1" applyAlignment="1">
      <alignment horizontal="left" vertical="center" wrapText="1"/>
    </xf>
    <xf numFmtId="0" fontId="28" fillId="15" borderId="27" xfId="0" applyFont="1" applyFill="1" applyBorder="1" applyAlignment="1">
      <alignment horizontal="left" vertical="center" wrapText="1"/>
    </xf>
    <xf numFmtId="49" fontId="24" fillId="6" borderId="50" xfId="0" applyNumberFormat="1" applyFont="1" applyFill="1" applyBorder="1" applyAlignment="1">
      <alignment vertical="center" wrapText="1"/>
    </xf>
    <xf numFmtId="184" fontId="24" fillId="6" borderId="50" xfId="0" applyNumberFormat="1" applyFont="1" applyFill="1" applyBorder="1" applyAlignment="1">
      <alignment vertical="center" wrapText="1"/>
    </xf>
    <xf numFmtId="0" fontId="22" fillId="6" borderId="6" xfId="0" applyFont="1" applyFill="1" applyBorder="1" applyAlignment="1">
      <alignment horizontal="left" vertical="center" wrapText="1"/>
    </xf>
    <xf numFmtId="0" fontId="23" fillId="7" borderId="11" xfId="0" applyFont="1" applyFill="1" applyBorder="1" applyAlignment="1">
      <alignment vertical="center"/>
    </xf>
    <xf numFmtId="0" fontId="23" fillId="7" borderId="11" xfId="0" applyFont="1" applyFill="1" applyBorder="1" applyAlignment="1">
      <alignment horizontal="justify" vertical="center" wrapText="1"/>
    </xf>
    <xf numFmtId="0" fontId="23" fillId="7" borderId="11" xfId="0" applyFont="1" applyFill="1" applyBorder="1" applyAlignment="1">
      <alignment horizontal="center" vertical="center"/>
    </xf>
    <xf numFmtId="0" fontId="23" fillId="7" borderId="11" xfId="0" applyFont="1" applyFill="1" applyBorder="1" applyAlignment="1">
      <alignment horizontal="justify" vertical="center"/>
    </xf>
    <xf numFmtId="1" fontId="23" fillId="7" borderId="11" xfId="0" applyNumberFormat="1" applyFont="1" applyFill="1" applyBorder="1" applyAlignment="1">
      <alignment horizontal="justify" vertical="center" wrapText="1"/>
    </xf>
    <xf numFmtId="0" fontId="22" fillId="6" borderId="16" xfId="0" applyFont="1" applyFill="1" applyBorder="1" applyAlignment="1">
      <alignment horizontal="justify" vertical="center" wrapText="1"/>
    </xf>
    <xf numFmtId="1" fontId="23" fillId="7" borderId="19" xfId="0" applyNumberFormat="1" applyFont="1" applyFill="1" applyBorder="1" applyAlignment="1">
      <alignment horizontal="left" vertical="center" wrapText="1" indent="1"/>
    </xf>
    <xf numFmtId="169" fontId="23" fillId="7" borderId="11" xfId="0" applyNumberFormat="1" applyFont="1" applyFill="1" applyBorder="1" applyAlignment="1">
      <alignment horizontal="center" vertical="center"/>
    </xf>
    <xf numFmtId="43" fontId="10" fillId="0" borderId="0" xfId="0" applyNumberFormat="1" applyFont="1"/>
    <xf numFmtId="43" fontId="8" fillId="0" borderId="0" xfId="1" applyNumberFormat="1" applyFont="1" applyFill="1" applyBorder="1" applyAlignment="1">
      <alignment horizontal="right" vertical="center" wrapText="1"/>
    </xf>
    <xf numFmtId="0" fontId="13" fillId="0" borderId="0" xfId="0" applyFont="1" applyAlignment="1">
      <alignment horizontal="justify" vertical="center" wrapText="1"/>
    </xf>
    <xf numFmtId="0" fontId="10" fillId="0" borderId="0" xfId="0" applyFont="1" applyAlignment="1">
      <alignment horizontal="justify" vertical="center" wrapText="1"/>
    </xf>
    <xf numFmtId="0" fontId="4" fillId="0" borderId="51" xfId="0" applyFont="1" applyBorder="1" applyAlignment="1">
      <alignment horizontal="center" vertical="center"/>
    </xf>
    <xf numFmtId="173" fontId="4" fillId="0" borderId="20" xfId="5" applyNumberFormat="1" applyFont="1" applyBorder="1" applyAlignment="1">
      <alignment horizontal="center" vertical="center" wrapText="1"/>
    </xf>
    <xf numFmtId="0" fontId="14" fillId="0" borderId="0" xfId="0" applyFont="1" applyFill="1"/>
    <xf numFmtId="1" fontId="11" fillId="2" borderId="0" xfId="0" applyNumberFormat="1" applyFont="1" applyFill="1" applyBorder="1" applyAlignment="1">
      <alignment vertical="center" wrapText="1"/>
    </xf>
    <xf numFmtId="0" fontId="11" fillId="2" borderId="0" xfId="0" applyFont="1" applyFill="1" applyBorder="1" applyAlignment="1">
      <alignment vertical="center" wrapText="1"/>
    </xf>
    <xf numFmtId="0" fontId="10" fillId="2" borderId="0" xfId="0" applyFont="1" applyFill="1" applyBorder="1" applyAlignment="1">
      <alignment vertical="center" wrapText="1"/>
    </xf>
    <xf numFmtId="0" fontId="10" fillId="2" borderId="64" xfId="0" applyFont="1" applyFill="1" applyBorder="1" applyAlignment="1">
      <alignment vertical="center" wrapText="1"/>
    </xf>
    <xf numFmtId="1" fontId="10" fillId="0" borderId="50" xfId="0" applyNumberFormat="1" applyFont="1" applyBorder="1" applyAlignment="1">
      <alignment horizontal="center" vertical="center" wrapText="1"/>
    </xf>
    <xf numFmtId="43" fontId="8" fillId="0" borderId="19" xfId="7" applyFont="1" applyBorder="1" applyAlignment="1">
      <alignment horizontal="center" vertical="center" wrapText="1"/>
    </xf>
    <xf numFmtId="0" fontId="10" fillId="2" borderId="49" xfId="0" applyFont="1" applyFill="1" applyBorder="1" applyAlignment="1">
      <alignment horizontal="justify"/>
    </xf>
    <xf numFmtId="0" fontId="10" fillId="2" borderId="49" xfId="0" applyFont="1" applyFill="1" applyBorder="1" applyAlignment="1">
      <alignment horizontal="justify" vertical="center" wrapText="1"/>
    </xf>
    <xf numFmtId="0" fontId="10" fillId="2" borderId="49" xfId="0" applyFont="1" applyFill="1" applyBorder="1" applyAlignment="1">
      <alignment horizontal="justify" vertical="center"/>
    </xf>
    <xf numFmtId="1" fontId="10" fillId="2" borderId="49" xfId="0" applyNumberFormat="1" applyFont="1" applyFill="1" applyBorder="1" applyAlignment="1">
      <alignment horizontal="justify" vertical="center"/>
    </xf>
    <xf numFmtId="10" fontId="8" fillId="2" borderId="69" xfId="6" applyNumberFormat="1" applyFont="1" applyFill="1" applyBorder="1" applyAlignment="1">
      <alignment horizontal="center" vertical="center"/>
    </xf>
    <xf numFmtId="43" fontId="11" fillId="2" borderId="42" xfId="7" applyFont="1" applyFill="1" applyBorder="1" applyAlignment="1">
      <alignment horizontal="justify" vertical="center"/>
    </xf>
    <xf numFmtId="0" fontId="10" fillId="2" borderId="47" xfId="0" applyFont="1" applyFill="1" applyBorder="1" applyAlignment="1">
      <alignment horizontal="justify" vertical="center" wrapText="1"/>
    </xf>
    <xf numFmtId="0" fontId="10" fillId="2" borderId="69" xfId="0" applyFont="1" applyFill="1" applyBorder="1" applyAlignment="1">
      <alignment horizontal="justify" vertical="center" wrapText="1"/>
    </xf>
    <xf numFmtId="43" fontId="11" fillId="0" borderId="42" xfId="7" applyFont="1" applyBorder="1" applyAlignment="1">
      <alignment horizontal="center" vertical="center"/>
    </xf>
    <xf numFmtId="1" fontId="10" fillId="2" borderId="47" xfId="0" applyNumberFormat="1" applyFont="1" applyFill="1" applyBorder="1" applyAlignment="1">
      <alignment horizontal="center" vertical="center"/>
    </xf>
    <xf numFmtId="1" fontId="10" fillId="2" borderId="49" xfId="0" applyNumberFormat="1" applyFont="1" applyFill="1" applyBorder="1" applyAlignment="1">
      <alignment horizontal="center" vertical="center"/>
    </xf>
    <xf numFmtId="1" fontId="10" fillId="2" borderId="49" xfId="0" applyNumberFormat="1" applyFont="1" applyFill="1" applyBorder="1" applyAlignment="1">
      <alignment horizontal="center" vertical="center" textRotation="180" wrapText="1"/>
    </xf>
    <xf numFmtId="171" fontId="10" fillId="2" borderId="49" xfId="0" applyNumberFormat="1" applyFont="1" applyFill="1" applyBorder="1" applyAlignment="1">
      <alignment horizontal="center" vertical="center"/>
    </xf>
    <xf numFmtId="0" fontId="10" fillId="2" borderId="69" xfId="0" applyFont="1" applyFill="1" applyBorder="1" applyAlignment="1">
      <alignment horizontal="justify" vertical="center"/>
    </xf>
    <xf numFmtId="1" fontId="4" fillId="0" borderId="50" xfId="0" applyNumberFormat="1" applyFont="1" applyBorder="1" applyAlignment="1">
      <alignment horizontal="justify" vertical="center" wrapText="1"/>
    </xf>
    <xf numFmtId="0" fontId="1" fillId="6" borderId="55" xfId="0" applyFont="1" applyFill="1" applyBorder="1" applyAlignment="1">
      <alignment vertical="center" wrapText="1"/>
    </xf>
    <xf numFmtId="1" fontId="4" fillId="6" borderId="54" xfId="0" applyNumberFormat="1" applyFont="1" applyFill="1" applyBorder="1" applyAlignment="1">
      <alignment horizontal="center" vertical="center" wrapText="1"/>
    </xf>
    <xf numFmtId="0" fontId="22" fillId="0" borderId="22" xfId="0" applyFont="1" applyBorder="1" applyAlignment="1">
      <alignment vertical="center" wrapText="1"/>
    </xf>
    <xf numFmtId="0" fontId="22" fillId="0" borderId="27" xfId="0" applyFont="1" applyBorder="1" applyAlignment="1">
      <alignment vertical="center" wrapText="1"/>
    </xf>
    <xf numFmtId="0" fontId="22" fillId="6" borderId="20" xfId="0" applyFont="1" applyFill="1" applyBorder="1" applyAlignment="1">
      <alignment vertical="center"/>
    </xf>
    <xf numFmtId="0" fontId="22" fillId="6" borderId="22" xfId="0" applyFont="1" applyFill="1" applyBorder="1" applyAlignment="1">
      <alignment vertical="center"/>
    </xf>
    <xf numFmtId="0" fontId="22" fillId="6" borderId="27" xfId="0" applyFont="1" applyFill="1" applyBorder="1" applyAlignment="1">
      <alignment vertical="center"/>
    </xf>
    <xf numFmtId="0" fontId="1" fillId="6" borderId="53" xfId="0" applyFont="1" applyFill="1" applyBorder="1" applyAlignment="1">
      <alignment vertical="center" wrapText="1"/>
    </xf>
    <xf numFmtId="43" fontId="10" fillId="0" borderId="6" xfId="7" applyFont="1" applyFill="1" applyBorder="1" applyAlignment="1">
      <alignment horizontal="center" vertical="center" wrapText="1"/>
    </xf>
    <xf numFmtId="43" fontId="8" fillId="0" borderId="6" xfId="7" applyFont="1" applyFill="1" applyBorder="1" applyAlignment="1">
      <alignment horizontal="right" vertical="center"/>
    </xf>
    <xf numFmtId="0" fontId="4" fillId="0" borderId="64" xfId="0" applyFont="1" applyBorder="1"/>
    <xf numFmtId="0" fontId="24" fillId="6" borderId="16" xfId="0" applyFont="1" applyFill="1" applyBorder="1" applyAlignment="1" applyProtection="1">
      <alignment horizontal="justify" vertical="center" wrapText="1"/>
      <protection locked="0"/>
    </xf>
    <xf numFmtId="0" fontId="14" fillId="0" borderId="50" xfId="0" applyFont="1" applyBorder="1" applyAlignment="1">
      <alignment horizontal="left" vertical="center"/>
    </xf>
    <xf numFmtId="0" fontId="4" fillId="6" borderId="6" xfId="0" applyFont="1" applyFill="1" applyBorder="1" applyAlignment="1">
      <alignment horizontal="left" vertical="center"/>
    </xf>
    <xf numFmtId="0" fontId="6" fillId="15" borderId="11" xfId="0" applyFont="1" applyFill="1" applyBorder="1" applyAlignment="1">
      <alignment horizontal="left" vertical="center"/>
    </xf>
    <xf numFmtId="0" fontId="6" fillId="14" borderId="9" xfId="0" applyFont="1" applyFill="1" applyBorder="1" applyAlignment="1">
      <alignment horizontal="left" vertical="center"/>
    </xf>
    <xf numFmtId="0" fontId="6" fillId="15" borderId="50" xfId="0" applyFont="1" applyFill="1" applyBorder="1" applyAlignment="1">
      <alignment horizontal="center" vertical="center"/>
    </xf>
    <xf numFmtId="43" fontId="16" fillId="0" borderId="6" xfId="5" applyFont="1" applyFill="1" applyBorder="1" applyAlignment="1">
      <alignment horizontal="center" vertical="center"/>
    </xf>
    <xf numFmtId="41" fontId="14" fillId="0" borderId="50" xfId="0" applyNumberFormat="1" applyFont="1" applyFill="1" applyBorder="1" applyAlignment="1">
      <alignment horizontal="right" vertical="center"/>
    </xf>
    <xf numFmtId="0" fontId="8" fillId="0" borderId="20" xfId="2" applyNumberFormat="1" applyFont="1" applyBorder="1" applyAlignment="1">
      <alignment horizontal="center" vertical="center" wrapText="1"/>
    </xf>
    <xf numFmtId="0" fontId="8" fillId="0" borderId="27" xfId="2" applyNumberFormat="1" applyFont="1" applyBorder="1" applyAlignment="1">
      <alignment horizontal="center" vertical="center" wrapText="1"/>
    </xf>
    <xf numFmtId="188" fontId="24" fillId="6" borderId="6" xfId="0" applyNumberFormat="1" applyFont="1" applyFill="1" applyBorder="1" applyAlignment="1">
      <alignment horizontal="center" vertical="center" wrapText="1"/>
    </xf>
    <xf numFmtId="176" fontId="24" fillId="6" borderId="27" xfId="0" applyNumberFormat="1" applyFont="1" applyFill="1" applyBorder="1" applyAlignment="1">
      <alignment horizontal="center" vertical="center" wrapText="1"/>
    </xf>
    <xf numFmtId="0" fontId="33" fillId="0" borderId="6" xfId="0" applyFont="1" applyBorder="1" applyAlignment="1">
      <alignment horizontal="center" vertical="center" wrapText="1"/>
    </xf>
    <xf numFmtId="0" fontId="22" fillId="0" borderId="50" xfId="0" applyFont="1" applyFill="1" applyBorder="1" applyAlignment="1">
      <alignment horizontal="center" vertical="center"/>
    </xf>
    <xf numFmtId="0" fontId="33" fillId="0" borderId="12" xfId="0" applyFont="1" applyBorder="1" applyAlignment="1">
      <alignment vertical="center" wrapText="1"/>
    </xf>
    <xf numFmtId="0" fontId="27" fillId="6" borderId="27" xfId="0" applyFont="1" applyFill="1" applyBorder="1" applyAlignment="1">
      <alignment horizontal="center" vertical="center" wrapText="1"/>
    </xf>
    <xf numFmtId="0" fontId="4" fillId="0" borderId="19" xfId="0" applyFont="1" applyBorder="1" applyAlignment="1">
      <alignment horizontal="justify" vertical="center" wrapText="1"/>
    </xf>
    <xf numFmtId="1" fontId="22" fillId="0" borderId="6" xfId="0" applyNumberFormat="1" applyFont="1" applyFill="1" applyBorder="1" applyAlignment="1">
      <alignment horizontal="center" vertical="center"/>
    </xf>
    <xf numFmtId="0" fontId="22" fillId="0" borderId="6" xfId="0" applyFont="1" applyFill="1" applyBorder="1" applyAlignment="1">
      <alignment horizontal="center" vertical="center"/>
    </xf>
    <xf numFmtId="0" fontId="22" fillId="0" borderId="6" xfId="0" applyFont="1" applyFill="1" applyBorder="1" applyAlignment="1">
      <alignment horizontal="center" vertical="center" wrapText="1"/>
    </xf>
    <xf numFmtId="0" fontId="30" fillId="0" borderId="6" xfId="0" applyFont="1" applyBorder="1" applyAlignment="1">
      <alignment horizontal="left" vertical="center" wrapText="1" readingOrder="2"/>
    </xf>
    <xf numFmtId="4" fontId="8" fillId="0" borderId="50" xfId="1" applyNumberFormat="1" applyFont="1" applyFill="1" applyBorder="1" applyAlignment="1">
      <alignment horizontal="right" vertical="center"/>
    </xf>
    <xf numFmtId="4" fontId="14" fillId="0" borderId="50" xfId="0" applyNumberFormat="1" applyFont="1" applyFill="1" applyBorder="1" applyAlignment="1">
      <alignment horizontal="right" vertical="center"/>
    </xf>
    <xf numFmtId="4" fontId="4" fillId="0" borderId="50" xfId="5" applyNumberFormat="1" applyFont="1" applyFill="1" applyBorder="1" applyAlignment="1">
      <alignment horizontal="right" vertical="center" wrapText="1"/>
    </xf>
    <xf numFmtId="43" fontId="4" fillId="0" borderId="20" xfId="5" applyFont="1" applyFill="1" applyBorder="1" applyAlignment="1">
      <alignment horizontal="center" vertical="center"/>
    </xf>
    <xf numFmtId="1" fontId="4" fillId="0" borderId="20" xfId="0" applyNumberFormat="1" applyFont="1" applyFill="1" applyBorder="1" applyAlignment="1">
      <alignment horizontal="center" vertical="center"/>
    </xf>
    <xf numFmtId="0" fontId="4" fillId="0" borderId="20" xfId="0" applyFont="1" applyFill="1" applyBorder="1" applyAlignment="1">
      <alignment horizontal="left" vertical="center"/>
    </xf>
    <xf numFmtId="0" fontId="14" fillId="0" borderId="50" xfId="0" applyFont="1" applyBorder="1" applyAlignment="1">
      <alignment vertical="center" wrapText="1"/>
    </xf>
    <xf numFmtId="1" fontId="4" fillId="0" borderId="6"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12" xfId="0" applyFont="1" applyFill="1" applyBorder="1" applyAlignment="1">
      <alignment horizontal="justify" vertical="center" wrapText="1"/>
    </xf>
    <xf numFmtId="43" fontId="4" fillId="0" borderId="20" xfId="5" applyFont="1" applyFill="1" applyBorder="1" applyAlignment="1">
      <alignment horizontal="justify" vertical="center"/>
    </xf>
    <xf numFmtId="43" fontId="8" fillId="0" borderId="51" xfId="5" applyFont="1" applyBorder="1" applyAlignment="1">
      <alignment vertical="center" wrapText="1"/>
    </xf>
    <xf numFmtId="1" fontId="4" fillId="0" borderId="50" xfId="0" applyNumberFormat="1" applyFont="1" applyFill="1" applyBorder="1" applyAlignment="1">
      <alignment horizontal="center" vertical="center" wrapText="1"/>
    </xf>
    <xf numFmtId="0" fontId="4" fillId="0" borderId="50" xfId="0" applyFont="1" applyFill="1" applyBorder="1" applyAlignment="1">
      <alignment vertical="center" wrapText="1"/>
    </xf>
    <xf numFmtId="1" fontId="10" fillId="0" borderId="14"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 fontId="10" fillId="0" borderId="19"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3" fontId="10" fillId="0" borderId="34" xfId="0" applyNumberFormat="1" applyFont="1" applyBorder="1" applyAlignment="1">
      <alignment horizontal="center" vertical="center" wrapText="1"/>
    </xf>
    <xf numFmtId="0" fontId="10" fillId="0" borderId="50" xfId="0" applyFont="1" applyBorder="1" applyAlignment="1">
      <alignment horizontal="justify" vertical="center" wrapText="1"/>
    </xf>
    <xf numFmtId="43" fontId="8" fillId="0" borderId="16" xfId="7" applyFont="1" applyFill="1" applyBorder="1" applyAlignment="1">
      <alignment horizontal="right" vertical="center"/>
    </xf>
    <xf numFmtId="0" fontId="24" fillId="0" borderId="16" xfId="0" applyFont="1" applyBorder="1" applyAlignment="1">
      <alignment horizontal="justify" vertical="center" wrapText="1"/>
    </xf>
    <xf numFmtId="0" fontId="24" fillId="6" borderId="16" xfId="0" applyFont="1" applyFill="1" applyBorder="1" applyAlignment="1">
      <alignment horizontal="justify" vertical="center" wrapText="1"/>
    </xf>
    <xf numFmtId="0" fontId="24" fillId="6" borderId="12" xfId="0" applyFont="1" applyFill="1" applyBorder="1" applyAlignment="1">
      <alignment horizontal="justify" vertical="center" wrapText="1"/>
    </xf>
    <xf numFmtId="0" fontId="22" fillId="0" borderId="51" xfId="0" applyFont="1" applyBorder="1" applyAlignment="1">
      <alignment horizontal="center" vertical="center" wrapText="1"/>
    </xf>
    <xf numFmtId="0" fontId="22" fillId="15" borderId="11" xfId="0" applyFont="1" applyFill="1" applyBorder="1" applyAlignment="1">
      <alignment horizontal="justify" vertical="center"/>
    </xf>
    <xf numFmtId="43" fontId="4" fillId="0" borderId="6" xfId="5" applyFont="1" applyFill="1" applyBorder="1" applyAlignment="1">
      <alignment horizontal="right" vertical="center"/>
    </xf>
    <xf numFmtId="173" fontId="4" fillId="0" borderId="50" xfId="5" applyNumberFormat="1" applyFont="1" applyFill="1" applyBorder="1" applyAlignment="1">
      <alignment horizontal="center" vertical="center"/>
    </xf>
    <xf numFmtId="0" fontId="24" fillId="0" borderId="6" xfId="13" applyFont="1" applyFill="1" applyBorder="1" applyAlignment="1">
      <alignment horizontal="justify" vertical="center" wrapText="1"/>
    </xf>
    <xf numFmtId="43" fontId="10" fillId="0" borderId="14" xfId="7" applyFont="1" applyFill="1" applyBorder="1" applyAlignment="1">
      <alignment horizontal="center" vertical="center" wrapText="1"/>
    </xf>
    <xf numFmtId="43" fontId="4" fillId="0" borderId="6" xfId="5" applyFont="1" applyFill="1" applyBorder="1" applyAlignment="1">
      <alignment horizontal="center" vertical="center"/>
    </xf>
    <xf numFmtId="173" fontId="4" fillId="0" borderId="6" xfId="5" applyNumberFormat="1" applyFont="1" applyFill="1" applyBorder="1" applyAlignment="1">
      <alignment vertical="center"/>
    </xf>
    <xf numFmtId="173" fontId="4" fillId="0" borderId="20" xfId="5" applyNumberFormat="1" applyFont="1" applyFill="1" applyBorder="1" applyAlignment="1">
      <alignment horizontal="center" vertical="center"/>
    </xf>
    <xf numFmtId="43" fontId="4" fillId="0" borderId="6" xfId="5" applyFont="1" applyFill="1" applyBorder="1" applyAlignment="1">
      <alignment horizontal="justify" vertical="center"/>
    </xf>
    <xf numFmtId="0" fontId="11" fillId="0" borderId="9" xfId="0"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justify" vertical="center" wrapText="1"/>
    </xf>
    <xf numFmtId="43" fontId="10" fillId="0" borderId="6" xfId="7" applyFont="1" applyBorder="1" applyAlignment="1">
      <alignment horizontal="center" vertical="center" wrapText="1"/>
    </xf>
    <xf numFmtId="3" fontId="10" fillId="0" borderId="6" xfId="0" applyNumberFormat="1" applyFont="1" applyBorder="1" applyAlignment="1">
      <alignment horizontal="center" vertical="center"/>
    </xf>
    <xf numFmtId="168" fontId="10" fillId="0" borderId="6"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20" xfId="0" applyNumberFormat="1" applyFont="1" applyBorder="1" applyAlignment="1">
      <alignment horizontal="center" vertical="center"/>
    </xf>
    <xf numFmtId="0" fontId="10" fillId="2" borderId="20"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4" xfId="0" applyFont="1" applyBorder="1" applyAlignment="1">
      <alignment horizontal="center" vertical="center" wrapText="1"/>
    </xf>
    <xf numFmtId="10" fontId="8" fillId="2" borderId="20" xfId="6" applyNumberFormat="1"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6" fillId="15" borderId="15" xfId="0" applyFont="1" applyFill="1" applyBorder="1" applyAlignment="1">
      <alignment horizontal="left" vertical="center"/>
    </xf>
    <xf numFmtId="0" fontId="4" fillId="0" borderId="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0" xfId="0" applyFont="1" applyAlignment="1">
      <alignment horizontal="justify" vertical="center" wrapText="1"/>
    </xf>
    <xf numFmtId="0" fontId="4" fillId="0" borderId="23" xfId="0" applyFont="1" applyBorder="1" applyAlignment="1">
      <alignment horizontal="justify" vertical="center" wrapText="1"/>
    </xf>
    <xf numFmtId="1" fontId="4" fillId="0" borderId="6" xfId="0" applyNumberFormat="1" applyFont="1" applyBorder="1" applyAlignment="1">
      <alignment horizontal="center" vertical="center" wrapText="1"/>
    </xf>
    <xf numFmtId="0" fontId="6" fillId="0" borderId="6" xfId="0" applyFont="1" applyBorder="1" applyAlignment="1">
      <alignment horizontal="center" vertical="center"/>
    </xf>
    <xf numFmtId="1" fontId="6" fillId="12" borderId="20" xfId="0" applyNumberFormat="1" applyFont="1" applyFill="1" applyBorder="1" applyAlignment="1">
      <alignment horizontal="center" vertical="center" wrapText="1"/>
    </xf>
    <xf numFmtId="1" fontId="6" fillId="12" borderId="22" xfId="0" applyNumberFormat="1" applyFont="1" applyFill="1" applyBorder="1" applyAlignment="1">
      <alignment horizontal="center" vertical="center" wrapText="1"/>
    </xf>
    <xf numFmtId="169" fontId="6" fillId="12" borderId="20" xfId="0" applyNumberFormat="1" applyFont="1" applyFill="1" applyBorder="1" applyAlignment="1">
      <alignment horizontal="center" vertical="center" wrapText="1"/>
    </xf>
    <xf numFmtId="0" fontId="22" fillId="0" borderId="6" xfId="0" applyFont="1" applyBorder="1" applyAlignment="1">
      <alignment horizontal="justify" vertical="center" wrapText="1"/>
    </xf>
    <xf numFmtId="0" fontId="6" fillId="13" borderId="15" xfId="0" applyFont="1" applyFill="1" applyBorder="1" applyAlignment="1">
      <alignment horizontal="left" vertical="center"/>
    </xf>
    <xf numFmtId="0" fontId="6" fillId="14" borderId="15" xfId="0" applyFont="1" applyFill="1" applyBorder="1" applyAlignment="1">
      <alignment horizontal="left" vertical="center"/>
    </xf>
    <xf numFmtId="0" fontId="4" fillId="0" borderId="6" xfId="0" applyFont="1" applyBorder="1" applyAlignment="1">
      <alignment horizontal="center" vertical="center"/>
    </xf>
    <xf numFmtId="9" fontId="4" fillId="0" borderId="6" xfId="4" applyFont="1" applyBorder="1" applyAlignment="1">
      <alignment horizontal="center" vertical="center"/>
    </xf>
    <xf numFmtId="43" fontId="4" fillId="0" borderId="6" xfId="5" applyFont="1" applyBorder="1" applyAlignment="1">
      <alignment horizontal="center" vertical="center"/>
    </xf>
    <xf numFmtId="1" fontId="4" fillId="0" borderId="6" xfId="0" applyNumberFormat="1" applyFont="1" applyBorder="1" applyAlignment="1">
      <alignment horizontal="center" vertical="center"/>
    </xf>
    <xf numFmtId="1" fontId="4" fillId="0" borderId="6" xfId="0" applyNumberFormat="1" applyFont="1" applyBorder="1" applyAlignment="1">
      <alignment vertical="center" wrapText="1"/>
    </xf>
    <xf numFmtId="1" fontId="4" fillId="0" borderId="20" xfId="0" applyNumberFormat="1" applyFont="1" applyBorder="1" applyAlignment="1">
      <alignment horizontal="center" vertical="center"/>
    </xf>
    <xf numFmtId="0" fontId="4" fillId="0" borderId="25" xfId="0" applyFont="1" applyBorder="1" applyAlignment="1">
      <alignment horizontal="justify" vertical="center" wrapText="1"/>
    </xf>
    <xf numFmtId="43" fontId="4" fillId="0" borderId="20" xfId="5" applyFont="1" applyBorder="1" applyAlignment="1">
      <alignment horizontal="center" vertical="center" wrapText="1"/>
    </xf>
    <xf numFmtId="0" fontId="4" fillId="0" borderId="14" xfId="0" applyFont="1" applyBorder="1" applyAlignment="1">
      <alignment horizontal="justify" vertical="center" wrapText="1"/>
    </xf>
    <xf numFmtId="9" fontId="4" fillId="0" borderId="20" xfId="4" applyFont="1" applyBorder="1" applyAlignment="1">
      <alignment horizontal="center"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1" fontId="4" fillId="0" borderId="20"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1" fontId="4" fillId="0" borderId="27" xfId="0" applyNumberFormat="1" applyFont="1" applyBorder="1" applyAlignment="1">
      <alignment horizontal="center" vertical="center"/>
    </xf>
    <xf numFmtId="1" fontId="4" fillId="0" borderId="50" xfId="0" applyNumberFormat="1" applyFont="1" applyBorder="1" applyAlignment="1">
      <alignment horizontal="center" vertical="center"/>
    </xf>
    <xf numFmtId="0" fontId="4" fillId="0" borderId="16" xfId="0" applyFont="1" applyBorder="1" applyAlignment="1">
      <alignment horizontal="justify" vertical="center" wrapText="1"/>
    </xf>
    <xf numFmtId="1" fontId="4" fillId="0" borderId="50" xfId="0" applyNumberFormat="1" applyFont="1" applyBorder="1" applyAlignment="1">
      <alignment horizontal="center" vertical="center" wrapText="1"/>
    </xf>
    <xf numFmtId="1" fontId="4" fillId="0" borderId="23" xfId="0" applyNumberFormat="1" applyFont="1" applyBorder="1" applyAlignment="1">
      <alignment horizontal="justify"/>
    </xf>
    <xf numFmtId="0" fontId="4" fillId="0" borderId="23" xfId="0" applyFont="1" applyBorder="1" applyAlignment="1">
      <alignment horizontal="justify"/>
    </xf>
    <xf numFmtId="0" fontId="4" fillId="0" borderId="0" xfId="0" applyFont="1" applyAlignment="1">
      <alignment horizontal="justify"/>
    </xf>
    <xf numFmtId="0" fontId="4" fillId="0" borderId="27" xfId="0" applyFont="1" applyBorder="1" applyAlignment="1">
      <alignment horizontal="justify" vertical="center"/>
    </xf>
    <xf numFmtId="0" fontId="4" fillId="0" borderId="6" xfId="0" applyFont="1" applyBorder="1" applyAlignment="1">
      <alignment horizontal="justify" vertical="center"/>
    </xf>
    <xf numFmtId="0" fontId="4" fillId="0" borderId="27" xfId="0" applyFont="1" applyBorder="1" applyAlignment="1">
      <alignment horizontal="center" vertical="center" wrapText="1"/>
    </xf>
    <xf numFmtId="173" fontId="4" fillId="0" borderId="22" xfId="5"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20" xfId="0" applyNumberFormat="1" applyFont="1" applyBorder="1" applyAlignment="1">
      <alignment horizontal="center" vertical="center"/>
    </xf>
    <xf numFmtId="0" fontId="4" fillId="0" borderId="20" xfId="0" applyFont="1" applyBorder="1" applyAlignment="1">
      <alignment horizontal="justify" vertical="center"/>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3" fontId="4" fillId="0" borderId="22" xfId="0" applyNumberFormat="1" applyFont="1" applyBorder="1" applyAlignment="1">
      <alignment horizontal="center" vertical="center"/>
    </xf>
    <xf numFmtId="3" fontId="4" fillId="0" borderId="27" xfId="0" applyNumberFormat="1" applyFont="1" applyBorder="1" applyAlignment="1">
      <alignment horizontal="center" vertical="center"/>
    </xf>
    <xf numFmtId="0" fontId="6" fillId="0" borderId="0" xfId="0" applyFont="1" applyAlignment="1">
      <alignment horizontal="center" vertical="center"/>
    </xf>
    <xf numFmtId="170" fontId="6" fillId="0" borderId="0" xfId="0" applyNumberFormat="1" applyFont="1" applyAlignment="1">
      <alignment horizontal="justify" vertical="center"/>
    </xf>
    <xf numFmtId="0" fontId="6" fillId="0" borderId="0" xfId="0" applyFont="1" applyAlignment="1">
      <alignment horizontal="justify"/>
    </xf>
    <xf numFmtId="0" fontId="4" fillId="6" borderId="0" xfId="0" applyFont="1" applyFill="1" applyAlignment="1">
      <alignment horizontal="center" vertical="center" wrapText="1"/>
    </xf>
    <xf numFmtId="0" fontId="4" fillId="0" borderId="14" xfId="0" applyFont="1" applyBorder="1" applyAlignment="1">
      <alignment horizontal="center" vertical="center" wrapText="1"/>
    </xf>
    <xf numFmtId="9" fontId="4" fillId="0" borderId="6" xfId="3" applyFont="1" applyBorder="1" applyAlignment="1">
      <alignment horizontal="center" vertical="center" wrapText="1"/>
    </xf>
    <xf numFmtId="0" fontId="6" fillId="0" borderId="9" xfId="0" applyFont="1" applyBorder="1" applyAlignment="1">
      <alignment horizontal="center" vertical="center"/>
    </xf>
    <xf numFmtId="1" fontId="7" fillId="6" borderId="22" xfId="0" applyNumberFormat="1" applyFont="1" applyFill="1" applyBorder="1" applyAlignment="1">
      <alignment horizontal="center" vertical="center" wrapText="1"/>
    </xf>
    <xf numFmtId="0" fontId="8" fillId="0" borderId="20"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27" xfId="0" applyFont="1" applyBorder="1" applyAlignment="1">
      <alignment horizontal="justify" vertical="center" wrapText="1"/>
    </xf>
    <xf numFmtId="0" fontId="8" fillId="6" borderId="20" xfId="0" applyFont="1" applyFill="1" applyBorder="1" applyAlignment="1">
      <alignment horizontal="justify" vertical="center" wrapText="1"/>
    </xf>
    <xf numFmtId="0" fontId="8" fillId="6" borderId="20" xfId="0" applyFont="1" applyFill="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27" xfId="0" applyNumberFormat="1" applyFont="1" applyBorder="1" applyAlignment="1">
      <alignment horizontal="center" vertical="center" wrapText="1"/>
    </xf>
    <xf numFmtId="10" fontId="8" fillId="6" borderId="20" xfId="3" applyNumberFormat="1" applyFont="1" applyFill="1" applyBorder="1" applyAlignment="1">
      <alignment horizontal="center" vertical="center" wrapText="1"/>
    </xf>
    <xf numFmtId="0" fontId="8" fillId="0" borderId="6" xfId="0" applyFont="1" applyBorder="1" applyAlignment="1">
      <alignment horizontal="justify" vertical="center" wrapText="1"/>
    </xf>
    <xf numFmtId="3" fontId="25" fillId="0" borderId="6" xfId="0" applyNumberFormat="1" applyFont="1" applyBorder="1" applyAlignment="1">
      <alignment horizontal="center" vertical="center"/>
    </xf>
    <xf numFmtId="0" fontId="8" fillId="6" borderId="11" xfId="0" applyFont="1" applyFill="1" applyBorder="1" applyAlignment="1">
      <alignment horizontal="center" vertical="center" wrapText="1"/>
    </xf>
    <xf numFmtId="0" fontId="4" fillId="6" borderId="6" xfId="0" applyFont="1" applyFill="1" applyBorder="1" applyAlignment="1">
      <alignment horizontal="justify" vertical="center" wrapText="1"/>
    </xf>
    <xf numFmtId="0" fontId="4" fillId="6" borderId="6" xfId="0" applyFont="1" applyFill="1" applyBorder="1" applyAlignment="1">
      <alignment horizontal="center" vertical="center" wrapText="1"/>
    </xf>
    <xf numFmtId="0" fontId="23" fillId="0" borderId="11" xfId="0" applyFont="1" applyBorder="1" applyAlignment="1">
      <alignment horizontal="center" vertical="center"/>
    </xf>
    <xf numFmtId="0" fontId="23" fillId="0" borderId="9" xfId="0" applyFont="1" applyBorder="1" applyAlignment="1">
      <alignment horizontal="center" vertical="center"/>
    </xf>
    <xf numFmtId="0" fontId="23" fillId="0" borderId="6" xfId="0" applyFont="1" applyBorder="1" applyAlignment="1">
      <alignment horizontal="center" vertical="center"/>
    </xf>
    <xf numFmtId="0" fontId="31" fillId="4"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8" fillId="6" borderId="6" xfId="0" applyFont="1" applyFill="1" applyBorder="1" applyAlignment="1">
      <alignment horizontal="justify" vertical="center" wrapText="1"/>
    </xf>
    <xf numFmtId="1" fontId="4" fillId="6" borderId="6" xfId="0" applyNumberFormat="1" applyFont="1" applyFill="1" applyBorder="1" applyAlignment="1">
      <alignment horizontal="center" vertical="center" wrapText="1"/>
    </xf>
    <xf numFmtId="9" fontId="4" fillId="6" borderId="6" xfId="3"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0" fillId="0" borderId="6" xfId="0" applyBorder="1" applyAlignment="1">
      <alignment vertical="center" wrapText="1"/>
    </xf>
    <xf numFmtId="0" fontId="6" fillId="12" borderId="6" xfId="0" applyFont="1" applyFill="1" applyBorder="1" applyAlignment="1">
      <alignment horizontal="center" vertical="center" wrapText="1"/>
    </xf>
    <xf numFmtId="1" fontId="6" fillId="12" borderId="6" xfId="0" applyNumberFormat="1" applyFont="1" applyFill="1" applyBorder="1" applyAlignment="1">
      <alignment horizontal="center" vertical="center" wrapText="1"/>
    </xf>
    <xf numFmtId="170" fontId="6" fillId="12" borderId="6" xfId="0" applyNumberFormat="1" applyFont="1" applyFill="1" applyBorder="1" applyAlignment="1">
      <alignment horizontal="center" vertical="center" wrapText="1"/>
    </xf>
    <xf numFmtId="3" fontId="22" fillId="6" borderId="20" xfId="0" applyNumberFormat="1" applyFont="1" applyFill="1" applyBorder="1" applyAlignment="1">
      <alignment horizontal="center" vertical="center" wrapText="1"/>
    </xf>
    <xf numFmtId="3" fontId="22" fillId="6" borderId="22" xfId="0" applyNumberFormat="1" applyFont="1" applyFill="1" applyBorder="1" applyAlignment="1">
      <alignment horizontal="center" vertical="center" wrapText="1"/>
    </xf>
    <xf numFmtId="3" fontId="22" fillId="6" borderId="27" xfId="0" applyNumberFormat="1" applyFont="1" applyFill="1" applyBorder="1" applyAlignment="1">
      <alignment horizontal="center" vertical="center" wrapText="1"/>
    </xf>
    <xf numFmtId="0" fontId="22" fillId="6" borderId="20" xfId="0" applyFont="1" applyFill="1" applyBorder="1" applyAlignment="1">
      <alignment horizontal="justify" vertical="center" wrapText="1"/>
    </xf>
    <xf numFmtId="0" fontId="22" fillId="6" borderId="22" xfId="0" applyFont="1" applyFill="1" applyBorder="1" applyAlignment="1">
      <alignment horizontal="justify" vertical="center" wrapText="1"/>
    </xf>
    <xf numFmtId="0" fontId="22" fillId="6" borderId="27" xfId="0" applyFont="1" applyFill="1" applyBorder="1" applyAlignment="1">
      <alignment horizontal="justify" vertical="center" wrapText="1"/>
    </xf>
    <xf numFmtId="0" fontId="22" fillId="6" borderId="20"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0" borderId="20" xfId="0" applyFont="1" applyBorder="1" applyAlignment="1">
      <alignment horizontal="justify" vertical="center" wrapText="1"/>
    </xf>
    <xf numFmtId="0" fontId="22" fillId="0" borderId="22" xfId="0" applyFont="1" applyBorder="1" applyAlignment="1">
      <alignment horizontal="justify" vertical="center" wrapText="1"/>
    </xf>
    <xf numFmtId="0" fontId="22" fillId="0" borderId="27" xfId="0" applyFont="1" applyBorder="1" applyAlignment="1">
      <alignment horizontal="justify" vertical="center" wrapText="1"/>
    </xf>
    <xf numFmtId="1" fontId="22" fillId="6" borderId="6" xfId="0" applyNumberFormat="1" applyFont="1" applyFill="1" applyBorder="1" applyAlignment="1">
      <alignment horizontal="center" vertical="center" wrapText="1"/>
    </xf>
    <xf numFmtId="0" fontId="22" fillId="6" borderId="6" xfId="0" applyFont="1" applyFill="1" applyBorder="1" applyAlignment="1">
      <alignment horizontal="justify"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13" borderId="15"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22" fillId="6" borderId="21" xfId="0" applyFont="1" applyFill="1" applyBorder="1" applyAlignment="1">
      <alignment horizontal="justify" vertical="center" wrapText="1"/>
    </xf>
    <xf numFmtId="0" fontId="22" fillId="6" borderId="0" xfId="0" applyFont="1" applyFill="1" applyAlignment="1">
      <alignment horizontal="center" vertical="center"/>
    </xf>
    <xf numFmtId="0" fontId="4" fillId="6" borderId="50" xfId="0" applyFont="1" applyFill="1" applyBorder="1" applyAlignment="1">
      <alignment horizontal="center" vertical="center" wrapText="1"/>
    </xf>
    <xf numFmtId="1" fontId="4" fillId="6" borderId="20" xfId="0" applyNumberFormat="1" applyFont="1" applyFill="1" applyBorder="1" applyAlignment="1">
      <alignment horizontal="center" vertical="center" wrapText="1"/>
    </xf>
    <xf numFmtId="1" fontId="4" fillId="6" borderId="22" xfId="0" applyNumberFormat="1" applyFont="1" applyFill="1" applyBorder="1" applyAlignment="1">
      <alignment horizontal="center" vertical="center" wrapText="1"/>
    </xf>
    <xf numFmtId="1" fontId="4" fillId="6" borderId="27" xfId="0" applyNumberFormat="1" applyFont="1" applyFill="1" applyBorder="1" applyAlignment="1">
      <alignment horizontal="center" vertical="center" wrapText="1"/>
    </xf>
    <xf numFmtId="0" fontId="4" fillId="6" borderId="20" xfId="0" applyFont="1" applyFill="1" applyBorder="1" applyAlignment="1">
      <alignment horizontal="justify" vertical="center" wrapText="1"/>
    </xf>
    <xf numFmtId="0" fontId="4" fillId="6" borderId="22" xfId="0" applyFont="1" applyFill="1" applyBorder="1" applyAlignment="1">
      <alignment horizontal="justify" vertical="center" wrapText="1"/>
    </xf>
    <xf numFmtId="0" fontId="4" fillId="6" borderId="23" xfId="0" applyFont="1" applyFill="1" applyBorder="1" applyAlignment="1">
      <alignment horizontal="center" vertical="center" wrapText="1"/>
    </xf>
    <xf numFmtId="1" fontId="6" fillId="6" borderId="11" xfId="0" applyNumberFormat="1" applyFont="1" applyFill="1" applyBorder="1" applyAlignment="1">
      <alignment horizontal="center" vertical="center" wrapText="1"/>
    </xf>
    <xf numFmtId="1" fontId="6" fillId="6" borderId="12" xfId="0" applyNumberFormat="1" applyFont="1" applyFill="1" applyBorder="1" applyAlignment="1">
      <alignment horizontal="center" vertical="center" wrapText="1"/>
    </xf>
    <xf numFmtId="1" fontId="6" fillId="6" borderId="5" xfId="0" applyNumberFormat="1" applyFont="1" applyFill="1" applyBorder="1" applyAlignment="1">
      <alignment horizontal="center" vertical="center" wrapText="1"/>
    </xf>
    <xf numFmtId="1" fontId="6" fillId="6" borderId="0" xfId="0" applyNumberFormat="1" applyFont="1" applyFill="1" applyAlignment="1">
      <alignment horizontal="center" vertical="center" wrapText="1"/>
    </xf>
    <xf numFmtId="0" fontId="6" fillId="6" borderId="11" xfId="0" applyFont="1" applyFill="1" applyBorder="1" applyAlignment="1">
      <alignment horizontal="center" vertical="center" wrapText="1"/>
    </xf>
    <xf numFmtId="0" fontId="6" fillId="6" borderId="0" xfId="0" applyFont="1" applyFill="1" applyAlignment="1">
      <alignment horizontal="center" vertical="center" wrapText="1"/>
    </xf>
    <xf numFmtId="0" fontId="4" fillId="6" borderId="25"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4" fillId="6" borderId="20" xfId="0" applyFont="1" applyFill="1" applyBorder="1" applyAlignment="1">
      <alignment horizontal="left" vertical="center" wrapText="1"/>
    </xf>
    <xf numFmtId="1" fontId="4" fillId="6" borderId="50" xfId="0" applyNumberFormat="1" applyFont="1" applyFill="1" applyBorder="1" applyAlignment="1">
      <alignment horizontal="center" vertical="center" wrapText="1"/>
    </xf>
    <xf numFmtId="0" fontId="4" fillId="6" borderId="27" xfId="0" applyFont="1" applyFill="1" applyBorder="1" applyAlignment="1">
      <alignment horizontal="justify" vertical="center" wrapText="1"/>
    </xf>
    <xf numFmtId="3" fontId="4" fillId="6" borderId="6" xfId="0" applyNumberFormat="1" applyFont="1" applyFill="1" applyBorder="1" applyAlignment="1">
      <alignment horizontal="justify" vertical="center" wrapText="1"/>
    </xf>
    <xf numFmtId="0" fontId="4" fillId="6" borderId="11" xfId="0" applyFont="1" applyFill="1" applyBorder="1" applyAlignment="1">
      <alignment horizontal="center"/>
    </xf>
    <xf numFmtId="0" fontId="4" fillId="6" borderId="0" xfId="0" applyFont="1" applyFill="1" applyAlignment="1">
      <alignment horizontal="center"/>
    </xf>
    <xf numFmtId="0" fontId="4" fillId="6" borderId="25" xfId="0" applyFont="1" applyFill="1" applyBorder="1" applyAlignment="1">
      <alignment horizontal="center"/>
    </xf>
    <xf numFmtId="0" fontId="4" fillId="6" borderId="19" xfId="0" applyFont="1" applyFill="1" applyBorder="1" applyAlignment="1">
      <alignment horizontal="center" vertical="center" wrapText="1"/>
    </xf>
    <xf numFmtId="0" fontId="4" fillId="0" borderId="0" xfId="0" applyFont="1" applyAlignment="1">
      <alignment horizontal="center"/>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22" fillId="0" borderId="27" xfId="0" applyFont="1" applyBorder="1" applyAlignment="1">
      <alignment horizontal="center" vertical="center" wrapText="1"/>
    </xf>
    <xf numFmtId="1" fontId="22" fillId="0" borderId="6" xfId="0" applyNumberFormat="1" applyFont="1" applyBorder="1" applyAlignment="1">
      <alignment horizontal="center" vertical="center"/>
    </xf>
    <xf numFmtId="0" fontId="22" fillId="0" borderId="6" xfId="0" applyFont="1" applyBorder="1" applyAlignment="1">
      <alignment horizontal="center" vertical="center"/>
    </xf>
    <xf numFmtId="10" fontId="22" fillId="6" borderId="20" xfId="0" applyNumberFormat="1" applyFont="1" applyFill="1" applyBorder="1" applyAlignment="1">
      <alignment horizontal="center" vertical="center"/>
    </xf>
    <xf numFmtId="1" fontId="22" fillId="6" borderId="20" xfId="0" applyNumberFormat="1" applyFont="1" applyFill="1" applyBorder="1" applyAlignment="1">
      <alignment horizontal="center" vertical="center"/>
    </xf>
    <xf numFmtId="0" fontId="22" fillId="0" borderId="22" xfId="0" applyFont="1" applyBorder="1" applyAlignment="1">
      <alignment horizontal="center" vertical="center" textRotation="3"/>
    </xf>
    <xf numFmtId="3" fontId="24" fillId="0" borderId="27" xfId="0" applyNumberFormat="1" applyFont="1" applyBorder="1" applyAlignment="1">
      <alignment horizontal="center" vertical="center" wrapText="1"/>
    </xf>
    <xf numFmtId="1" fontId="22" fillId="6" borderId="20" xfId="0" applyNumberFormat="1" applyFont="1" applyFill="1" applyBorder="1" applyAlignment="1">
      <alignment horizontal="center" vertical="center" wrapText="1"/>
    </xf>
    <xf numFmtId="1" fontId="22" fillId="6" borderId="27" xfId="0" applyNumberFormat="1"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0" xfId="0" applyFont="1" applyFill="1" applyAlignment="1">
      <alignment horizontal="center" vertical="center" wrapText="1"/>
    </xf>
    <xf numFmtId="0" fontId="22" fillId="6" borderId="19"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1" xfId="0" applyFont="1" applyFill="1" applyBorder="1" applyAlignment="1">
      <alignment horizontal="center" vertical="center" wrapText="1"/>
    </xf>
    <xf numFmtId="10" fontId="22" fillId="6" borderId="20" xfId="0" applyNumberFormat="1" applyFont="1" applyFill="1" applyBorder="1" applyAlignment="1">
      <alignment horizontal="center" vertical="center" wrapText="1"/>
    </xf>
    <xf numFmtId="0" fontId="22" fillId="6" borderId="23" xfId="0" applyFont="1" applyFill="1" applyBorder="1" applyAlignment="1">
      <alignment horizontal="justify" vertical="center" wrapText="1"/>
    </xf>
    <xf numFmtId="0" fontId="23" fillId="12" borderId="6" xfId="0" applyFont="1" applyFill="1" applyBorder="1" applyAlignment="1">
      <alignment horizontal="center" vertical="center" wrapText="1"/>
    </xf>
    <xf numFmtId="10" fontId="22" fillId="6" borderId="6" xfId="0" applyNumberFormat="1" applyFont="1" applyFill="1" applyBorder="1" applyAlignment="1">
      <alignment horizontal="center" vertical="center"/>
    </xf>
    <xf numFmtId="0" fontId="24" fillId="6" borderId="27" xfId="0" applyFont="1" applyFill="1" applyBorder="1" applyAlignment="1">
      <alignment horizontal="justify" vertical="center" wrapText="1"/>
    </xf>
    <xf numFmtId="3" fontId="4" fillId="6" borderId="6" xfId="0" applyNumberFormat="1" applyFont="1" applyFill="1" applyBorder="1" applyAlignment="1">
      <alignment horizontal="center" vertical="center" wrapText="1"/>
    </xf>
    <xf numFmtId="0" fontId="6" fillId="6" borderId="6" xfId="0" applyFont="1" applyFill="1" applyBorder="1" applyAlignment="1">
      <alignment horizontal="center" vertical="center"/>
    </xf>
    <xf numFmtId="14" fontId="4" fillId="6" borderId="6" xfId="0" applyNumberFormat="1" applyFont="1" applyFill="1" applyBorder="1" applyAlignment="1">
      <alignment horizontal="center" vertical="center"/>
    </xf>
    <xf numFmtId="0" fontId="4" fillId="6" borderId="6" xfId="0" applyFont="1" applyFill="1" applyBorder="1" applyAlignment="1">
      <alignment horizontal="center" vertical="center"/>
    </xf>
    <xf numFmtId="0" fontId="4" fillId="6" borderId="20" xfId="0" applyFont="1" applyFill="1" applyBorder="1" applyAlignment="1">
      <alignment horizontal="center" vertical="center"/>
    </xf>
    <xf numFmtId="173" fontId="8" fillId="0" borderId="6" xfId="0" applyNumberFormat="1" applyFont="1" applyBorder="1" applyAlignment="1">
      <alignment horizontal="center" vertical="center"/>
    </xf>
    <xf numFmtId="9" fontId="4" fillId="6" borderId="6" xfId="19" applyFont="1" applyFill="1" applyBorder="1" applyAlignment="1">
      <alignment horizontal="center" vertical="center" wrapText="1"/>
    </xf>
    <xf numFmtId="1" fontId="14" fillId="0" borderId="22" xfId="0" applyNumberFormat="1" applyFont="1" applyBorder="1" applyAlignment="1">
      <alignment horizontal="center" vertical="center"/>
    </xf>
    <xf numFmtId="1" fontId="14" fillId="0" borderId="27"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27" xfId="0" applyFont="1" applyBorder="1" applyAlignment="1">
      <alignment horizontal="center" vertical="center"/>
    </xf>
    <xf numFmtId="14" fontId="14" fillId="0" borderId="22"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1" fontId="4" fillId="6" borderId="20" xfId="0" applyNumberFormat="1" applyFont="1" applyFill="1" applyBorder="1" applyAlignment="1">
      <alignment horizontal="center" vertical="center"/>
    </xf>
    <xf numFmtId="1" fontId="4" fillId="6" borderId="22" xfId="0" applyNumberFormat="1" applyFont="1" applyFill="1" applyBorder="1" applyAlignment="1">
      <alignment horizontal="center" vertical="center"/>
    </xf>
    <xf numFmtId="0" fontId="4" fillId="6" borderId="22" xfId="0" applyFont="1" applyFill="1" applyBorder="1" applyAlignment="1">
      <alignment horizontal="center" vertical="center"/>
    </xf>
    <xf numFmtId="0" fontId="4" fillId="0" borderId="21" xfId="0" applyFont="1" applyBorder="1" applyAlignment="1">
      <alignment horizontal="justify" vertical="center" wrapText="1"/>
    </xf>
    <xf numFmtId="0" fontId="4" fillId="6" borderId="25" xfId="0" applyFont="1" applyFill="1" applyBorder="1" applyAlignment="1">
      <alignment horizontal="center" vertical="center"/>
    </xf>
    <xf numFmtId="0" fontId="4" fillId="6" borderId="0" xfId="0" applyFont="1" applyFill="1" applyAlignment="1">
      <alignment horizontal="center" vertical="center"/>
    </xf>
    <xf numFmtId="0" fontId="4" fillId="0" borderId="50" xfId="0" applyFont="1" applyBorder="1" applyAlignment="1">
      <alignment horizontal="center" vertical="center"/>
    </xf>
    <xf numFmtId="0" fontId="4" fillId="6" borderId="50" xfId="0" applyFont="1" applyFill="1" applyBorder="1" applyAlignment="1">
      <alignment vertical="center" wrapText="1"/>
    </xf>
    <xf numFmtId="0" fontId="4" fillId="6" borderId="12" xfId="0" applyFont="1" applyFill="1" applyBorder="1" applyAlignment="1">
      <alignment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6" borderId="27" xfId="0" applyFont="1" applyFill="1" applyBorder="1" applyAlignment="1">
      <alignment horizontal="center" vertical="center"/>
    </xf>
    <xf numFmtId="9" fontId="4" fillId="6" borderId="20" xfId="4" applyFont="1" applyFill="1" applyBorder="1" applyAlignment="1">
      <alignment horizontal="center" vertical="center"/>
    </xf>
    <xf numFmtId="9" fontId="4" fillId="6" borderId="27" xfId="4" applyFont="1" applyFill="1" applyBorder="1" applyAlignment="1">
      <alignment horizontal="center" vertical="center"/>
    </xf>
    <xf numFmtId="0" fontId="4" fillId="6" borderId="6" xfId="0" applyFont="1" applyFill="1" applyBorder="1" applyAlignment="1">
      <alignment horizontal="left" vertical="center" wrapText="1"/>
    </xf>
    <xf numFmtId="0" fontId="4" fillId="0" borderId="22" xfId="0" applyFont="1" applyBorder="1" applyAlignment="1">
      <alignment horizontal="center" vertical="center"/>
    </xf>
    <xf numFmtId="9" fontId="4" fillId="6" borderId="22" xfId="4" applyFont="1" applyFill="1" applyBorder="1" applyAlignment="1">
      <alignment horizontal="center" vertical="center"/>
    </xf>
    <xf numFmtId="43" fontId="4" fillId="6" borderId="22" xfId="5" applyFont="1" applyFill="1" applyBorder="1" applyAlignment="1">
      <alignment horizontal="center" vertical="center"/>
    </xf>
    <xf numFmtId="14" fontId="14" fillId="0" borderId="20" xfId="0" applyNumberFormat="1" applyFont="1" applyBorder="1" applyAlignment="1">
      <alignment vertical="center" wrapText="1"/>
    </xf>
    <xf numFmtId="1" fontId="4" fillId="6" borderId="6" xfId="0" applyNumberFormat="1" applyFont="1" applyFill="1" applyBorder="1" applyAlignment="1">
      <alignment horizontal="center" vertical="center"/>
    </xf>
    <xf numFmtId="0" fontId="4" fillId="0" borderId="6" xfId="0" applyFont="1" applyBorder="1" applyAlignment="1">
      <alignment horizontal="left" vertical="center" wrapText="1"/>
    </xf>
    <xf numFmtId="0" fontId="4" fillId="6" borderId="22" xfId="0" applyFont="1" applyFill="1" applyBorder="1" applyAlignment="1">
      <alignment horizontal="left" vertical="center" wrapText="1"/>
    </xf>
    <xf numFmtId="0" fontId="4" fillId="0" borderId="19" xfId="0" applyFont="1" applyBorder="1" applyAlignment="1">
      <alignment horizontal="center" vertical="center" wrapText="1"/>
    </xf>
    <xf numFmtId="0" fontId="4" fillId="6" borderId="50" xfId="0" applyFont="1" applyFill="1" applyBorder="1" applyAlignment="1">
      <alignment horizontal="center" vertical="center"/>
    </xf>
    <xf numFmtId="43" fontId="4" fillId="0" borderId="22" xfId="5" applyFont="1" applyBorder="1" applyAlignment="1">
      <alignment horizontal="center" vertical="center"/>
    </xf>
    <xf numFmtId="0" fontId="4" fillId="0" borderId="50" xfId="0" applyFont="1" applyBorder="1" applyAlignment="1">
      <alignment horizontal="left" vertical="center" wrapText="1"/>
    </xf>
    <xf numFmtId="14" fontId="4" fillId="0" borderId="27" xfId="0" applyNumberFormat="1" applyFont="1" applyBorder="1" applyAlignment="1">
      <alignment horizontal="center" vertical="center"/>
    </xf>
    <xf numFmtId="4" fontId="4" fillId="0" borderId="50" xfId="5" applyNumberFormat="1" applyFont="1" applyBorder="1" applyAlignment="1">
      <alignment horizontal="right" vertical="center"/>
    </xf>
    <xf numFmtId="43" fontId="4" fillId="0" borderId="20" xfId="5" applyFont="1" applyBorder="1" applyAlignment="1">
      <alignment horizontal="center" vertical="center"/>
    </xf>
    <xf numFmtId="0" fontId="4" fillId="6" borderId="6" xfId="0" applyFont="1" applyFill="1" applyBorder="1" applyAlignment="1">
      <alignment vertical="center" wrapText="1"/>
    </xf>
    <xf numFmtId="0" fontId="4" fillId="6" borderId="50" xfId="0" applyFont="1" applyFill="1" applyBorder="1" applyAlignment="1">
      <alignment horizontal="left" vertical="center"/>
    </xf>
    <xf numFmtId="0" fontId="4" fillId="6" borderId="50" xfId="0" applyFont="1" applyFill="1" applyBorder="1" applyAlignment="1">
      <alignment horizontal="left" vertical="center" wrapText="1"/>
    </xf>
    <xf numFmtId="14" fontId="22" fillId="0" borderId="6" xfId="0" applyNumberFormat="1" applyFont="1" applyBorder="1" applyAlignment="1">
      <alignment horizontal="center" vertical="center"/>
    </xf>
    <xf numFmtId="0" fontId="33" fillId="0" borderId="20"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21" xfId="0" applyFont="1" applyBorder="1" applyAlignment="1">
      <alignment horizontal="center" vertical="center" wrapText="1"/>
    </xf>
    <xf numFmtId="0" fontId="33" fillId="0" borderId="50" xfId="0" applyFont="1" applyBorder="1" applyAlignment="1">
      <alignment horizontal="center" vertical="center" wrapText="1"/>
    </xf>
    <xf numFmtId="0" fontId="22" fillId="0" borderId="13" xfId="0" applyFont="1" applyBorder="1" applyAlignment="1">
      <alignment horizontal="center" vertical="center" wrapText="1"/>
    </xf>
    <xf numFmtId="1" fontId="33" fillId="0" borderId="19" xfId="0" applyNumberFormat="1" applyFont="1" applyBorder="1" applyAlignment="1">
      <alignment horizontal="center" vertical="center" wrapText="1"/>
    </xf>
    <xf numFmtId="0" fontId="24" fillId="0" borderId="20" xfId="9" applyFont="1" applyBorder="1" applyAlignment="1">
      <alignment horizontal="justify" vertical="center" wrapText="1"/>
    </xf>
    <xf numFmtId="0" fontId="24" fillId="6" borderId="20" xfId="0" applyFont="1" applyFill="1" applyBorder="1" applyAlignment="1">
      <alignment horizontal="justify" vertical="center" wrapText="1"/>
    </xf>
    <xf numFmtId="0" fontId="24" fillId="0" borderId="6" xfId="9" applyFont="1" applyBorder="1" applyAlignment="1">
      <alignment horizontal="justify" vertical="center" wrapText="1"/>
    </xf>
    <xf numFmtId="1" fontId="24" fillId="6" borderId="6" xfId="0" applyNumberFormat="1" applyFont="1" applyFill="1" applyBorder="1" applyAlignment="1">
      <alignment horizontal="center" vertical="center" wrapText="1"/>
    </xf>
    <xf numFmtId="0" fontId="22" fillId="6" borderId="6" xfId="0" applyFont="1" applyFill="1" applyBorder="1" applyAlignment="1">
      <alignment horizontal="center" vertical="center"/>
    </xf>
    <xf numFmtId="1" fontId="22" fillId="6" borderId="6" xfId="0" applyNumberFormat="1" applyFont="1" applyFill="1" applyBorder="1" applyAlignment="1">
      <alignment horizontal="center" vertical="center"/>
    </xf>
    <xf numFmtId="0" fontId="33" fillId="0" borderId="6" xfId="0" applyFont="1" applyBorder="1" applyAlignment="1">
      <alignment horizontal="justify" vertical="center" wrapText="1"/>
    </xf>
    <xf numFmtId="0" fontId="35" fillId="4" borderId="6" xfId="0" applyFont="1" applyFill="1" applyBorder="1" applyAlignment="1">
      <alignment horizontal="center" vertical="center" wrapText="1"/>
    </xf>
    <xf numFmtId="0" fontId="22" fillId="0" borderId="0" xfId="0" applyFont="1" applyAlignment="1">
      <alignment horizontal="center" wrapText="1"/>
    </xf>
    <xf numFmtId="0" fontId="10" fillId="0" borderId="50" xfId="0" applyFont="1" applyBorder="1" applyAlignment="1">
      <alignment horizontal="center" vertical="center" wrapText="1"/>
    </xf>
    <xf numFmtId="168" fontId="10" fillId="0" borderId="20" xfId="0" applyNumberFormat="1" applyFont="1" applyBorder="1" applyAlignment="1">
      <alignment horizontal="center" vertical="center" wrapText="1"/>
    </xf>
    <xf numFmtId="3" fontId="10" fillId="0" borderId="20" xfId="0" applyNumberFormat="1" applyFont="1" applyBorder="1" applyAlignment="1">
      <alignment horizontal="justify" vertical="center" wrapText="1"/>
    </xf>
    <xf numFmtId="0" fontId="10" fillId="0" borderId="20" xfId="0" applyFont="1" applyBorder="1" applyAlignment="1">
      <alignment horizontal="justify" vertical="center" wrapText="1"/>
    </xf>
    <xf numFmtId="0" fontId="10" fillId="0" borderId="20" xfId="0" applyFont="1" applyBorder="1" applyAlignment="1">
      <alignment horizontal="center" vertical="center" wrapText="1"/>
    </xf>
    <xf numFmtId="9" fontId="8" fillId="0" borderId="20" xfId="6" applyFont="1" applyBorder="1" applyAlignment="1">
      <alignment horizontal="center" vertical="center" wrapText="1"/>
    </xf>
    <xf numFmtId="43" fontId="10" fillId="0" borderId="20" xfId="7" applyFont="1" applyBorder="1" applyAlignment="1">
      <alignment horizontal="center" vertical="center" wrapText="1"/>
    </xf>
    <xf numFmtId="0" fontId="10" fillId="0" borderId="27" xfId="0" applyFont="1" applyBorder="1" applyAlignment="1">
      <alignment horizontal="center" vertical="center" wrapText="1"/>
    </xf>
    <xf numFmtId="0" fontId="10" fillId="0" borderId="27" xfId="0" applyFont="1" applyBorder="1" applyAlignment="1">
      <alignment horizontal="justify" vertical="center" wrapText="1"/>
    </xf>
    <xf numFmtId="0" fontId="10" fillId="6" borderId="20" xfId="0" applyFont="1" applyFill="1" applyBorder="1" applyAlignment="1">
      <alignment horizontal="center" vertical="center" wrapText="1"/>
    </xf>
    <xf numFmtId="10" fontId="8" fillId="0" borderId="6" xfId="6" applyNumberFormat="1" applyFont="1" applyBorder="1" applyAlignment="1">
      <alignment horizontal="center" vertical="center" wrapText="1"/>
    </xf>
    <xf numFmtId="3" fontId="25" fillId="0" borderId="20" xfId="0" applyNumberFormat="1" applyFont="1" applyBorder="1" applyAlignment="1">
      <alignment horizontal="center" vertical="center" wrapText="1"/>
    </xf>
    <xf numFmtId="0" fontId="22" fillId="6" borderId="0" xfId="0" applyFont="1" applyFill="1" applyBorder="1" applyAlignment="1">
      <alignment horizontal="center" vertical="center" wrapText="1"/>
    </xf>
    <xf numFmtId="0" fontId="22" fillId="6" borderId="50" xfId="0" applyFont="1" applyFill="1" applyBorder="1" applyAlignment="1">
      <alignment horizontal="justify" vertical="center" wrapText="1"/>
    </xf>
    <xf numFmtId="0" fontId="22" fillId="6" borderId="0" xfId="0" applyFont="1" applyFill="1" applyAlignment="1">
      <alignment horizontal="center" vertical="center" wrapText="1"/>
    </xf>
    <xf numFmtId="1" fontId="23" fillId="12" borderId="20" xfId="0" applyNumberFormat="1" applyFont="1" applyFill="1" applyBorder="1" applyAlignment="1">
      <alignment horizontal="center" vertical="center" wrapText="1"/>
    </xf>
    <xf numFmtId="1" fontId="22" fillId="6" borderId="27" xfId="0" applyNumberFormat="1" applyFont="1" applyFill="1" applyBorder="1" applyAlignment="1">
      <alignment horizontal="center" vertical="center"/>
    </xf>
    <xf numFmtId="1" fontId="22" fillId="6" borderId="27" xfId="0" applyNumberFormat="1" applyFont="1" applyFill="1" applyBorder="1" applyAlignment="1">
      <alignment horizontal="justify" vertical="center" wrapText="1"/>
    </xf>
    <xf numFmtId="0" fontId="24" fillId="6" borderId="20" xfId="0" applyFont="1" applyFill="1" applyBorder="1" applyAlignment="1">
      <alignment horizontal="center" vertical="center" wrapText="1"/>
    </xf>
    <xf numFmtId="0" fontId="22" fillId="6" borderId="20" xfId="0" applyFont="1" applyFill="1" applyBorder="1" applyAlignment="1">
      <alignment vertical="center" wrapText="1"/>
    </xf>
    <xf numFmtId="0" fontId="22" fillId="6" borderId="27" xfId="0" applyFont="1" applyFill="1" applyBorder="1" applyAlignment="1">
      <alignment vertical="center" wrapText="1"/>
    </xf>
    <xf numFmtId="49" fontId="24" fillId="6" borderId="20" xfId="0" applyNumberFormat="1" applyFont="1" applyFill="1" applyBorder="1" applyAlignment="1">
      <alignment horizontal="center" vertical="center" wrapText="1"/>
    </xf>
    <xf numFmtId="49" fontId="24" fillId="6" borderId="27" xfId="0" applyNumberFormat="1" applyFont="1" applyFill="1" applyBorder="1" applyAlignment="1">
      <alignment horizontal="center" vertical="center" wrapText="1"/>
    </xf>
    <xf numFmtId="185" fontId="24" fillId="0" borderId="20" xfId="0" applyNumberFormat="1" applyFont="1" applyBorder="1" applyAlignment="1">
      <alignment horizontal="center" vertical="center" wrapText="1"/>
    </xf>
    <xf numFmtId="0" fontId="7" fillId="0" borderId="6" xfId="0" applyFont="1" applyBorder="1" applyAlignment="1">
      <alignment horizontal="center" vertical="center"/>
    </xf>
    <xf numFmtId="184" fontId="24" fillId="0" borderId="20" xfId="0" applyNumberFormat="1" applyFont="1" applyBorder="1" applyAlignment="1">
      <alignment horizontal="center" vertical="center" wrapText="1"/>
    </xf>
    <xf numFmtId="184" fontId="24" fillId="6" borderId="20" xfId="0" applyNumberFormat="1" applyFont="1" applyFill="1" applyBorder="1" applyAlignment="1">
      <alignment horizontal="center" vertical="center" wrapText="1"/>
    </xf>
    <xf numFmtId="184" fontId="24" fillId="6" borderId="27" xfId="0" applyNumberFormat="1" applyFont="1" applyFill="1" applyBorder="1" applyAlignment="1">
      <alignment horizontal="center" vertical="center" wrapText="1"/>
    </xf>
    <xf numFmtId="0" fontId="28" fillId="15" borderId="6" xfId="0" applyFont="1" applyFill="1" applyBorder="1" applyAlignment="1">
      <alignment horizontal="left" vertical="center" wrapText="1"/>
    </xf>
    <xf numFmtId="9" fontId="24" fillId="6" borderId="20" xfId="3" applyFont="1" applyFill="1" applyBorder="1" applyAlignment="1">
      <alignment horizontal="center" vertical="center" wrapText="1"/>
    </xf>
    <xf numFmtId="1" fontId="22" fillId="6" borderId="22" xfId="0" applyNumberFormat="1" applyFont="1" applyFill="1" applyBorder="1" applyAlignment="1">
      <alignment horizontal="center" vertical="center" wrapText="1"/>
    </xf>
    <xf numFmtId="190" fontId="4" fillId="6" borderId="6" xfId="2" applyNumberFormat="1" applyFont="1" applyFill="1" applyBorder="1" applyAlignment="1">
      <alignment horizontal="center" vertical="center"/>
    </xf>
    <xf numFmtId="43" fontId="4" fillId="0" borderId="27" xfId="5" applyFont="1" applyFill="1" applyBorder="1" applyAlignment="1">
      <alignment horizontal="center" vertical="center" wrapText="1"/>
    </xf>
    <xf numFmtId="43" fontId="8" fillId="0" borderId="6" xfId="5" applyFont="1" applyFill="1" applyBorder="1" applyAlignment="1">
      <alignment horizontal="right" vertical="center"/>
    </xf>
    <xf numFmtId="43" fontId="8" fillId="0" borderId="20" xfId="5" applyFont="1" applyFill="1" applyBorder="1" applyAlignment="1">
      <alignment horizontal="right" vertical="center"/>
    </xf>
    <xf numFmtId="1" fontId="4" fillId="0" borderId="20" xfId="0" applyNumberFormat="1" applyFont="1" applyFill="1" applyBorder="1" applyAlignment="1">
      <alignment horizontal="center" vertical="center" wrapText="1"/>
    </xf>
    <xf numFmtId="1" fontId="4" fillId="0" borderId="20" xfId="0" applyNumberFormat="1" applyFont="1" applyFill="1" applyBorder="1" applyAlignment="1">
      <alignment vertical="center" wrapText="1"/>
    </xf>
    <xf numFmtId="43" fontId="4" fillId="0" borderId="20" xfId="5" applyFont="1" applyFill="1" applyBorder="1" applyAlignment="1">
      <alignment horizontal="right" vertical="center"/>
    </xf>
    <xf numFmtId="43" fontId="4" fillId="0" borderId="12" xfId="5" applyFont="1" applyFill="1" applyBorder="1" applyAlignment="1">
      <alignment horizontal="right" vertical="center"/>
    </xf>
    <xf numFmtId="43" fontId="4" fillId="0" borderId="51" xfId="5" applyFont="1" applyFill="1" applyBorder="1" applyAlignment="1">
      <alignment horizontal="right" vertical="center"/>
    </xf>
    <xf numFmtId="1" fontId="4" fillId="0" borderId="50" xfId="0" applyNumberFormat="1" applyFont="1" applyFill="1" applyBorder="1" applyAlignment="1">
      <alignment vertical="center" wrapText="1"/>
    </xf>
    <xf numFmtId="41" fontId="4" fillId="0" borderId="54" xfId="0" applyNumberFormat="1" applyFont="1" applyFill="1" applyBorder="1"/>
    <xf numFmtId="1" fontId="4" fillId="0" borderId="54" xfId="0" applyNumberFormat="1" applyFont="1" applyFill="1" applyBorder="1" applyAlignment="1">
      <alignment horizontal="center" vertical="center" wrapText="1"/>
    </xf>
    <xf numFmtId="1" fontId="4" fillId="0" borderId="54" xfId="0" applyNumberFormat="1" applyFont="1" applyFill="1" applyBorder="1" applyAlignment="1">
      <alignment vertical="center" wrapText="1"/>
    </xf>
    <xf numFmtId="43" fontId="4" fillId="0" borderId="50" xfId="5" applyFont="1" applyFill="1" applyBorder="1" applyAlignment="1">
      <alignment horizontal="right" vertical="center"/>
    </xf>
    <xf numFmtId="41" fontId="4" fillId="0" borderId="50" xfId="0" applyNumberFormat="1" applyFont="1" applyFill="1" applyBorder="1"/>
    <xf numFmtId="43" fontId="4" fillId="0" borderId="27" xfId="5" applyFont="1" applyFill="1" applyBorder="1" applyAlignment="1">
      <alignment horizontal="right" vertical="center"/>
    </xf>
    <xf numFmtId="1" fontId="4" fillId="0" borderId="22" xfId="0" applyNumberFormat="1" applyFont="1" applyFill="1" applyBorder="1" applyAlignment="1">
      <alignment horizontal="center" vertical="center" wrapText="1"/>
    </xf>
    <xf numFmtId="1" fontId="4" fillId="0" borderId="22" xfId="0" applyNumberFormat="1" applyFont="1" applyFill="1" applyBorder="1" applyAlignment="1">
      <alignment vertical="center" wrapText="1"/>
    </xf>
    <xf numFmtId="43" fontId="4" fillId="0" borderId="14" xfId="5" applyFont="1" applyFill="1" applyBorder="1" applyAlignment="1">
      <alignment horizontal="right" vertical="center"/>
    </xf>
    <xf numFmtId="43" fontId="4" fillId="0" borderId="19" xfId="5" applyFont="1" applyFill="1" applyBorder="1" applyAlignment="1">
      <alignment horizontal="right" vertical="center"/>
    </xf>
    <xf numFmtId="43" fontId="4" fillId="0" borderId="21" xfId="5" applyFont="1" applyFill="1" applyBorder="1" applyAlignment="1">
      <alignment horizontal="right" vertical="center"/>
    </xf>
    <xf numFmtId="1" fontId="4" fillId="0" borderId="27" xfId="0" applyNumberFormat="1" applyFont="1" applyFill="1" applyBorder="1" applyAlignment="1">
      <alignment vertical="center" wrapText="1"/>
    </xf>
    <xf numFmtId="1" fontId="4" fillId="0" borderId="6" xfId="0" applyNumberFormat="1" applyFont="1" applyFill="1" applyBorder="1" applyAlignment="1">
      <alignment vertical="center" wrapText="1"/>
    </xf>
    <xf numFmtId="1" fontId="4" fillId="0" borderId="0" xfId="0" applyNumberFormat="1" applyFont="1" applyFill="1" applyBorder="1" applyAlignment="1">
      <alignment vertical="center" wrapText="1"/>
    </xf>
    <xf numFmtId="191" fontId="4" fillId="0" borderId="57" xfId="0" applyNumberFormat="1" applyFont="1" applyFill="1" applyBorder="1" applyAlignment="1">
      <alignment horizontal="right" vertical="center"/>
    </xf>
    <xf numFmtId="0" fontId="4" fillId="0" borderId="54" xfId="0" applyFont="1" applyFill="1" applyBorder="1" applyAlignment="1">
      <alignment horizontal="center" vertical="center"/>
    </xf>
    <xf numFmtId="41" fontId="4" fillId="0" borderId="50" xfId="5" applyNumberFormat="1" applyFont="1" applyFill="1" applyBorder="1" applyAlignment="1">
      <alignment horizontal="right" vertical="center"/>
    </xf>
    <xf numFmtId="41" fontId="4" fillId="0" borderId="51" xfId="0" applyNumberFormat="1" applyFont="1" applyFill="1" applyBorder="1" applyAlignment="1">
      <alignment horizontal="center" vertical="center" wrapText="1"/>
    </xf>
    <xf numFmtId="41" fontId="4" fillId="0" borderId="50" xfId="0" applyNumberFormat="1" applyFont="1" applyFill="1" applyBorder="1" applyAlignment="1">
      <alignment horizontal="center" vertical="center" wrapText="1"/>
    </xf>
    <xf numFmtId="41" fontId="4" fillId="0" borderId="54" xfId="0" applyNumberFormat="1" applyFont="1" applyFill="1" applyBorder="1" applyAlignment="1">
      <alignment vertical="center"/>
    </xf>
    <xf numFmtId="41" fontId="4" fillId="0" borderId="50" xfId="0" applyNumberFormat="1" applyFont="1" applyFill="1" applyBorder="1" applyAlignment="1">
      <alignment vertical="center"/>
    </xf>
    <xf numFmtId="43" fontId="4" fillId="0" borderId="53" xfId="5" applyFont="1" applyFill="1" applyBorder="1" applyAlignment="1">
      <alignment horizontal="right" vertical="center"/>
    </xf>
    <xf numFmtId="1" fontId="4" fillId="0" borderId="53" xfId="0" applyNumberFormat="1" applyFont="1" applyFill="1" applyBorder="1" applyAlignment="1">
      <alignment horizontal="center" vertical="center" wrapText="1"/>
    </xf>
    <xf numFmtId="1" fontId="4" fillId="0" borderId="53" xfId="0" applyNumberFormat="1" applyFont="1" applyFill="1" applyBorder="1" applyAlignment="1">
      <alignment vertical="center" wrapText="1"/>
    </xf>
    <xf numFmtId="43" fontId="4" fillId="0" borderId="50" xfId="5" applyFont="1" applyFill="1" applyBorder="1" applyAlignment="1">
      <alignment vertical="center"/>
    </xf>
    <xf numFmtId="4" fontId="4" fillId="0" borderId="27" xfId="5" applyNumberFormat="1" applyFont="1" applyFill="1" applyBorder="1" applyAlignment="1">
      <alignment horizontal="right" vertical="center"/>
    </xf>
    <xf numFmtId="4" fontId="4" fillId="0" borderId="6" xfId="5" applyNumberFormat="1" applyFont="1" applyFill="1" applyBorder="1" applyAlignment="1">
      <alignment horizontal="right" vertical="center"/>
    </xf>
    <xf numFmtId="4" fontId="4" fillId="0" borderId="20" xfId="5" applyNumberFormat="1" applyFont="1" applyFill="1" applyBorder="1" applyAlignment="1">
      <alignment horizontal="right" vertical="center"/>
    </xf>
    <xf numFmtId="43" fontId="4" fillId="0" borderId="23" xfId="5" applyFont="1" applyFill="1" applyBorder="1" applyAlignment="1">
      <alignment horizontal="right" vertical="center"/>
    </xf>
    <xf numFmtId="1" fontId="4" fillId="0" borderId="27"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43" fontId="6" fillId="0" borderId="32" xfId="5" applyFont="1" applyFill="1" applyBorder="1" applyAlignment="1">
      <alignment horizontal="right" vertical="center"/>
    </xf>
    <xf numFmtId="1" fontId="4" fillId="0" borderId="30" xfId="0" applyNumberFormat="1" applyFont="1" applyFill="1" applyBorder="1" applyAlignment="1">
      <alignment horizontal="center" vertical="center"/>
    </xf>
    <xf numFmtId="0" fontId="4" fillId="0" borderId="31" xfId="0" applyFont="1" applyFill="1" applyBorder="1" applyAlignment="1">
      <alignment horizontal="center" vertical="center"/>
    </xf>
    <xf numFmtId="43" fontId="4" fillId="0" borderId="14" xfId="1" applyFont="1" applyFill="1" applyBorder="1" applyAlignment="1">
      <alignment horizontal="right" vertical="center" wrapText="1"/>
    </xf>
    <xf numFmtId="43" fontId="8" fillId="0" borderId="14" xfId="1" applyFont="1" applyFill="1" applyBorder="1" applyAlignment="1">
      <alignment vertical="center" wrapText="1"/>
    </xf>
    <xf numFmtId="43" fontId="4" fillId="0" borderId="14" xfId="1" applyFont="1" applyFill="1" applyBorder="1" applyAlignment="1">
      <alignment vertical="center" wrapText="1"/>
    </xf>
    <xf numFmtId="43" fontId="4" fillId="0" borderId="50" xfId="1" applyFont="1" applyFill="1" applyBorder="1" applyAlignment="1">
      <alignment vertical="center" wrapText="1"/>
    </xf>
    <xf numFmtId="0" fontId="4" fillId="0" borderId="0" xfId="0" applyFont="1" applyFill="1"/>
    <xf numFmtId="1" fontId="8" fillId="0" borderId="50" xfId="0" applyNumberFormat="1" applyFont="1" applyFill="1" applyBorder="1" applyAlignment="1">
      <alignment horizontal="center" vertical="center" wrapText="1"/>
    </xf>
    <xf numFmtId="0" fontId="4" fillId="0" borderId="50" xfId="0" applyFont="1" applyFill="1" applyBorder="1" applyAlignment="1">
      <alignment horizontal="center" vertical="center"/>
    </xf>
    <xf numFmtId="170" fontId="4" fillId="0" borderId="0" xfId="0" applyNumberFormat="1" applyFont="1" applyFill="1" applyAlignment="1">
      <alignment horizontal="center" vertical="center"/>
    </xf>
    <xf numFmtId="1" fontId="22" fillId="0" borderId="20" xfId="0" applyNumberFormat="1" applyFont="1" applyFill="1" applyBorder="1" applyAlignment="1">
      <alignment horizontal="center" vertical="center"/>
    </xf>
    <xf numFmtId="0" fontId="22" fillId="0" borderId="20" xfId="0" applyFont="1" applyFill="1" applyBorder="1" applyAlignment="1">
      <alignment horizontal="center" vertical="center" wrapText="1"/>
    </xf>
    <xf numFmtId="173" fontId="4" fillId="0" borderId="50" xfId="0" applyNumberFormat="1" applyFont="1" applyFill="1" applyBorder="1" applyAlignment="1">
      <alignment vertical="center" wrapText="1"/>
    </xf>
    <xf numFmtId="173" fontId="4" fillId="0" borderId="54" xfId="0" applyNumberFormat="1" applyFont="1" applyFill="1" applyBorder="1" applyAlignment="1">
      <alignment vertical="center" wrapText="1"/>
    </xf>
    <xf numFmtId="173" fontId="4" fillId="0" borderId="58" xfId="0" applyNumberFormat="1" applyFont="1" applyFill="1" applyBorder="1" applyAlignment="1">
      <alignment vertical="center" wrapText="1"/>
    </xf>
    <xf numFmtId="173" fontId="4" fillId="0" borderId="27" xfId="0" applyNumberFormat="1" applyFont="1" applyFill="1" applyBorder="1" applyAlignment="1">
      <alignment horizontal="right" vertical="center" wrapText="1"/>
    </xf>
    <xf numFmtId="173" fontId="8" fillId="0" borderId="14" xfId="5" applyNumberFormat="1" applyFont="1" applyFill="1" applyBorder="1" applyAlignment="1">
      <alignment horizontal="center" vertical="center"/>
    </xf>
    <xf numFmtId="173" fontId="8" fillId="0" borderId="19" xfId="5" applyNumberFormat="1" applyFont="1" applyFill="1" applyBorder="1" applyAlignment="1">
      <alignment horizontal="center" vertical="center"/>
    </xf>
    <xf numFmtId="173" fontId="8" fillId="0" borderId="58" xfId="5" applyNumberFormat="1" applyFont="1" applyFill="1" applyBorder="1" applyAlignment="1">
      <alignment horizontal="center" vertical="center"/>
    </xf>
    <xf numFmtId="166" fontId="4" fillId="0" borderId="58" xfId="0" applyNumberFormat="1" applyFont="1" applyFill="1" applyBorder="1" applyAlignment="1">
      <alignment vertical="center"/>
    </xf>
    <xf numFmtId="173" fontId="8" fillId="0" borderId="66" xfId="5" applyNumberFormat="1" applyFont="1" applyFill="1" applyBorder="1" applyAlignment="1">
      <alignment horizontal="center" vertical="center"/>
    </xf>
    <xf numFmtId="41" fontId="4" fillId="0" borderId="50" xfId="0" applyNumberFormat="1" applyFont="1" applyFill="1" applyBorder="1" applyAlignment="1">
      <alignment horizontal="left" vertical="center" wrapText="1"/>
    </xf>
    <xf numFmtId="1" fontId="14" fillId="0" borderId="50" xfId="0" applyNumberFormat="1" applyFont="1" applyFill="1" applyBorder="1" applyAlignment="1">
      <alignment horizontal="center" vertical="center" wrapText="1"/>
    </xf>
    <xf numFmtId="41" fontId="14" fillId="0" borderId="50" xfId="0" applyNumberFormat="1" applyFont="1" applyFill="1" applyBorder="1" applyAlignment="1">
      <alignment horizontal="left" vertical="center"/>
    </xf>
    <xf numFmtId="4" fontId="4" fillId="0" borderId="50" xfId="5" applyNumberFormat="1" applyFont="1" applyFill="1" applyBorder="1" applyAlignment="1">
      <alignment vertical="center"/>
    </xf>
    <xf numFmtId="0" fontId="4" fillId="0" borderId="50" xfId="0" applyFont="1" applyFill="1" applyBorder="1" applyAlignment="1">
      <alignment horizontal="left" vertical="center" wrapText="1"/>
    </xf>
    <xf numFmtId="4" fontId="45" fillId="0" borderId="50" xfId="5" applyNumberFormat="1" applyFont="1" applyFill="1" applyBorder="1" applyAlignment="1">
      <alignment horizontal="right" vertical="center"/>
    </xf>
    <xf numFmtId="4" fontId="4" fillId="0" borderId="50" xfId="5" applyNumberFormat="1" applyFont="1" applyFill="1" applyBorder="1" applyAlignment="1">
      <alignment horizontal="right" vertical="center"/>
    </xf>
    <xf numFmtId="1" fontId="45" fillId="0" borderId="50" xfId="0" applyNumberFormat="1" applyFont="1" applyFill="1" applyBorder="1" applyAlignment="1">
      <alignment horizontal="center" vertical="center" wrapText="1"/>
    </xf>
    <xf numFmtId="0" fontId="45" fillId="0" borderId="50" xfId="0" applyFont="1" applyFill="1" applyBorder="1" applyAlignment="1">
      <alignment horizontal="left" vertical="center" wrapText="1"/>
    </xf>
    <xf numFmtId="0" fontId="4" fillId="0" borderId="50" xfId="0" applyFont="1" applyFill="1" applyBorder="1" applyAlignment="1">
      <alignment horizontal="left" vertical="center"/>
    </xf>
    <xf numFmtId="0" fontId="14" fillId="0" borderId="50" xfId="0" applyFont="1" applyFill="1" applyBorder="1" applyAlignment="1">
      <alignment horizontal="center" vertical="center"/>
    </xf>
    <xf numFmtId="0" fontId="14" fillId="0" borderId="50" xfId="0" applyFont="1" applyFill="1" applyBorder="1" applyAlignment="1">
      <alignment horizontal="left" vertical="center"/>
    </xf>
    <xf numFmtId="43" fontId="4" fillId="0" borderId="53" xfId="5" applyFont="1" applyFill="1" applyBorder="1" applyAlignment="1">
      <alignment horizontal="center" vertical="center"/>
    </xf>
    <xf numFmtId="1" fontId="4" fillId="0" borderId="53" xfId="0" applyNumberFormat="1" applyFont="1" applyFill="1" applyBorder="1" applyAlignment="1">
      <alignment horizontal="center" vertical="center"/>
    </xf>
    <xf numFmtId="0" fontId="4" fillId="0" borderId="53" xfId="0" applyFont="1" applyFill="1" applyBorder="1" applyAlignment="1">
      <alignment horizontal="left" vertical="center"/>
    </xf>
    <xf numFmtId="43" fontId="4" fillId="0" borderId="50" xfId="5" applyFont="1" applyFill="1" applyBorder="1" applyAlignment="1">
      <alignment horizontal="center" vertical="center"/>
    </xf>
    <xf numFmtId="1" fontId="4" fillId="0" borderId="50" xfId="0" applyNumberFormat="1" applyFont="1" applyFill="1" applyBorder="1" applyAlignment="1">
      <alignment horizontal="center" vertical="center"/>
    </xf>
    <xf numFmtId="43" fontId="4" fillId="0" borderId="27" xfId="5" applyFont="1" applyFill="1" applyBorder="1" applyAlignment="1">
      <alignment horizontal="center" vertical="center"/>
    </xf>
    <xf numFmtId="1" fontId="4" fillId="0" borderId="27" xfId="0" applyNumberFormat="1" applyFont="1" applyFill="1" applyBorder="1" applyAlignment="1">
      <alignment horizontal="center" vertical="center"/>
    </xf>
    <xf numFmtId="0" fontId="4" fillId="0" borderId="27" xfId="0" applyFont="1" applyFill="1" applyBorder="1" applyAlignment="1">
      <alignment horizontal="left" vertical="center"/>
    </xf>
    <xf numFmtId="0" fontId="4" fillId="0" borderId="6" xfId="0" applyFont="1" applyFill="1" applyBorder="1" applyAlignment="1">
      <alignment horizontal="left" vertical="center"/>
    </xf>
    <xf numFmtId="0" fontId="14" fillId="0" borderId="6" xfId="0" applyFont="1" applyFill="1" applyBorder="1" applyAlignment="1">
      <alignment horizontal="left"/>
    </xf>
    <xf numFmtId="173" fontId="4" fillId="0" borderId="20" xfId="5" applyNumberFormat="1" applyFont="1" applyFill="1" applyBorder="1" applyAlignment="1">
      <alignment horizontal="center" vertical="center" wrapText="1"/>
    </xf>
    <xf numFmtId="173" fontId="4" fillId="0" borderId="12" xfId="5" applyNumberFormat="1" applyFont="1" applyFill="1" applyBorder="1" applyAlignment="1">
      <alignment horizontal="center" vertical="center" wrapText="1"/>
    </xf>
    <xf numFmtId="43" fontId="4" fillId="0" borderId="22" xfId="5" applyFont="1" applyFill="1" applyBorder="1" applyAlignment="1">
      <alignment horizontal="justify" vertical="center"/>
    </xf>
    <xf numFmtId="0" fontId="14" fillId="0" borderId="20" xfId="0" applyFont="1" applyFill="1" applyBorder="1" applyAlignment="1">
      <alignment horizontal="left"/>
    </xf>
    <xf numFmtId="41" fontId="4" fillId="0" borderId="50" xfId="5" applyNumberFormat="1" applyFont="1" applyFill="1" applyBorder="1" applyAlignment="1">
      <alignment horizontal="right" vertical="center" wrapText="1"/>
    </xf>
    <xf numFmtId="43" fontId="4" fillId="0" borderId="27" xfId="5" applyFont="1" applyFill="1" applyBorder="1" applyAlignment="1">
      <alignment horizontal="justify" vertical="center"/>
    </xf>
    <xf numFmtId="0" fontId="4" fillId="0" borderId="27" xfId="0" applyFont="1" applyFill="1" applyBorder="1" applyAlignment="1">
      <alignment horizontal="left" vertical="center" wrapText="1"/>
    </xf>
    <xf numFmtId="43" fontId="8" fillId="0" borderId="50" xfId="5" applyFont="1" applyFill="1" applyBorder="1" applyAlignment="1">
      <alignment vertical="center" wrapText="1"/>
    </xf>
    <xf numFmtId="0" fontId="4" fillId="0" borderId="2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7" xfId="0" applyFont="1" applyFill="1" applyBorder="1" applyAlignment="1">
      <alignment horizontal="center" vertical="center" wrapText="1"/>
    </xf>
    <xf numFmtId="43" fontId="4" fillId="0" borderId="21" xfId="5" applyFont="1" applyFill="1" applyBorder="1" applyAlignment="1">
      <alignment horizontal="center" vertical="center"/>
    </xf>
    <xf numFmtId="43" fontId="4" fillId="0" borderId="14" xfId="5" applyFont="1" applyFill="1" applyBorder="1" applyAlignment="1">
      <alignment horizontal="center" vertical="center"/>
    </xf>
    <xf numFmtId="173" fontId="4" fillId="0" borderId="0" xfId="5" applyNumberFormat="1" applyFont="1" applyFill="1" applyAlignment="1">
      <alignment horizontal="center" vertical="center"/>
    </xf>
    <xf numFmtId="0" fontId="4" fillId="0" borderId="27" xfId="0" applyFont="1" applyFill="1" applyBorder="1" applyAlignment="1">
      <alignment horizontal="justify" vertical="center"/>
    </xf>
    <xf numFmtId="0" fontId="4" fillId="0" borderId="27" xfId="0" applyFont="1" applyFill="1" applyBorder="1" applyAlignment="1">
      <alignment horizontal="center" vertical="center"/>
    </xf>
    <xf numFmtId="1" fontId="4" fillId="0" borderId="21" xfId="0" applyNumberFormat="1" applyFont="1" applyFill="1" applyBorder="1" applyAlignment="1">
      <alignment horizontal="center" vertical="center"/>
    </xf>
    <xf numFmtId="1" fontId="14" fillId="0" borderId="27" xfId="0" applyNumberFormat="1" applyFont="1" applyFill="1" applyBorder="1" applyAlignment="1">
      <alignment horizontal="center" vertical="center"/>
    </xf>
    <xf numFmtId="0" fontId="6" fillId="0" borderId="6" xfId="0" applyFont="1" applyFill="1" applyBorder="1" applyAlignment="1">
      <alignment horizontal="justify" vertical="center"/>
    </xf>
    <xf numFmtId="43" fontId="6" fillId="0" borderId="6" xfId="5" applyFont="1" applyFill="1" applyBorder="1" applyAlignment="1">
      <alignment horizontal="center" vertical="center"/>
    </xf>
    <xf numFmtId="170" fontId="6" fillId="0" borderId="6" xfId="0" applyNumberFormat="1" applyFont="1" applyFill="1" applyBorder="1" applyAlignment="1">
      <alignment horizontal="center" vertical="center"/>
    </xf>
    <xf numFmtId="170" fontId="6" fillId="0" borderId="6" xfId="0" applyNumberFormat="1" applyFont="1" applyFill="1" applyBorder="1" applyAlignment="1">
      <alignment horizontal="left" vertical="center"/>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4" fillId="0" borderId="0" xfId="0" applyFont="1" applyFill="1" applyAlignment="1">
      <alignment horizontal="left"/>
    </xf>
    <xf numFmtId="3" fontId="4" fillId="0" borderId="0" xfId="0" applyNumberFormat="1" applyFont="1" applyFill="1" applyAlignment="1">
      <alignment horizontal="right" vertical="center"/>
    </xf>
    <xf numFmtId="4" fontId="4" fillId="0" borderId="0" xfId="0" applyNumberFormat="1" applyFont="1" applyFill="1" applyAlignment="1">
      <alignment horizontal="justify" vertical="center"/>
    </xf>
    <xf numFmtId="43" fontId="4" fillId="0" borderId="0" xfId="0" applyNumberFormat="1" applyFont="1" applyFill="1" applyAlignment="1">
      <alignment horizontal="justify" vertical="center"/>
    </xf>
    <xf numFmtId="42" fontId="13" fillId="0" borderId="0" xfId="21" applyFont="1" applyFill="1" applyAlignment="1">
      <alignment horizontal="justify"/>
    </xf>
    <xf numFmtId="0" fontId="13" fillId="0" borderId="0" xfId="0" applyFont="1" applyFill="1"/>
    <xf numFmtId="0" fontId="24" fillId="0" borderId="6" xfId="0" applyFont="1" applyFill="1" applyBorder="1" applyAlignment="1">
      <alignment horizontal="justify" vertical="center" wrapText="1"/>
    </xf>
    <xf numFmtId="0" fontId="33" fillId="0" borderId="58" xfId="0" applyFont="1" applyFill="1" applyBorder="1" applyAlignment="1">
      <alignment horizontal="center" vertical="center" wrapText="1"/>
    </xf>
    <xf numFmtId="0" fontId="33" fillId="0" borderId="50" xfId="0" applyFont="1" applyFill="1" applyBorder="1" applyAlignment="1">
      <alignment vertical="center" wrapText="1"/>
    </xf>
    <xf numFmtId="0" fontId="30" fillId="0" borderId="6" xfId="0" applyFont="1" applyFill="1" applyBorder="1" applyAlignment="1">
      <alignment horizontal="justify" vertical="center" wrapText="1"/>
    </xf>
    <xf numFmtId="0" fontId="22" fillId="0" borderId="6" xfId="0" applyFont="1" applyFill="1" applyBorder="1" applyAlignment="1">
      <alignment horizontal="justify" vertical="center" wrapText="1"/>
    </xf>
    <xf numFmtId="167" fontId="33" fillId="0" borderId="23" xfId="0" applyNumberFormat="1" applyFont="1" applyFill="1" applyBorder="1" applyAlignment="1">
      <alignment horizontal="center" vertical="center" wrapText="1"/>
    </xf>
    <xf numFmtId="0" fontId="33" fillId="0" borderId="50" xfId="0" applyFont="1" applyFill="1" applyBorder="1" applyAlignment="1">
      <alignment horizontal="center" vertical="center" wrapText="1"/>
    </xf>
    <xf numFmtId="0" fontId="33" fillId="0" borderId="51" xfId="0" applyFont="1" applyFill="1" applyBorder="1" applyAlignment="1">
      <alignment vertical="center" wrapText="1"/>
    </xf>
    <xf numFmtId="0" fontId="33" fillId="0" borderId="54" xfId="0" applyFont="1" applyFill="1" applyBorder="1" applyAlignment="1">
      <alignment horizontal="center" vertical="center" wrapText="1"/>
    </xf>
    <xf numFmtId="167" fontId="33" fillId="0" borderId="50" xfId="0" applyNumberFormat="1" applyFont="1" applyFill="1" applyBorder="1" applyAlignment="1">
      <alignment horizontal="center" vertical="center" wrapText="1"/>
    </xf>
    <xf numFmtId="43" fontId="8" fillId="0" borderId="11" xfId="7" applyFont="1" applyFill="1" applyBorder="1" applyAlignment="1">
      <alignment horizontal="center" vertical="center" wrapText="1"/>
    </xf>
    <xf numFmtId="43" fontId="8" fillId="0" borderId="19" xfId="7" applyFont="1" applyFill="1" applyBorder="1" applyAlignment="1">
      <alignment horizontal="center" vertical="center" wrapText="1"/>
    </xf>
    <xf numFmtId="43" fontId="10" fillId="0" borderId="50" xfId="7" applyFont="1" applyFill="1" applyBorder="1" applyAlignment="1">
      <alignment horizontal="center" vertical="center" wrapText="1"/>
    </xf>
    <xf numFmtId="170" fontId="22" fillId="0" borderId="0" xfId="0" applyNumberFormat="1" applyFont="1" applyFill="1" applyAlignment="1">
      <alignment horizontal="justify" vertical="center" wrapText="1"/>
    </xf>
    <xf numFmtId="184" fontId="24" fillId="0" borderId="50" xfId="0" applyNumberFormat="1" applyFont="1" applyFill="1" applyBorder="1" applyAlignment="1">
      <alignment vertical="center" wrapText="1"/>
    </xf>
    <xf numFmtId="0" fontId="22" fillId="6" borderId="6" xfId="0" applyFont="1" applyFill="1" applyBorder="1" applyAlignment="1">
      <alignment horizontal="center" vertical="center" wrapText="1"/>
    </xf>
    <xf numFmtId="1" fontId="22" fillId="6" borderId="6" xfId="0" applyNumberFormat="1" applyFont="1" applyFill="1" applyBorder="1" applyAlignment="1">
      <alignment horizontal="center" vertical="center" wrapText="1"/>
    </xf>
    <xf numFmtId="1" fontId="22" fillId="6" borderId="27" xfId="0" applyNumberFormat="1" applyFont="1" applyFill="1" applyBorder="1" applyAlignment="1">
      <alignment horizontal="center" vertical="center" wrapText="1"/>
    </xf>
    <xf numFmtId="0" fontId="10" fillId="0" borderId="6" xfId="0" applyFont="1" applyBorder="1" applyAlignment="1">
      <alignment horizontal="justify" vertical="center" wrapText="1"/>
    </xf>
    <xf numFmtId="0" fontId="4" fillId="0" borderId="50" xfId="0" applyFont="1" applyBorder="1" applyAlignment="1">
      <alignment horizontal="center" vertical="center" wrapText="1"/>
    </xf>
    <xf numFmtId="0" fontId="4" fillId="0" borderId="54" xfId="0" applyFont="1" applyBorder="1" applyAlignment="1">
      <alignment horizontal="center" vertical="center" wrapText="1"/>
    </xf>
    <xf numFmtId="0" fontId="8" fillId="0" borderId="22" xfId="0" applyFont="1" applyBorder="1" applyAlignment="1">
      <alignment horizontal="justify" vertical="center" wrapText="1"/>
    </xf>
    <xf numFmtId="43" fontId="22" fillId="6" borderId="20" xfId="1" applyFont="1" applyFill="1" applyBorder="1" applyAlignment="1">
      <alignment horizontal="center" vertical="center" wrapText="1"/>
    </xf>
    <xf numFmtId="43" fontId="22" fillId="6" borderId="6" xfId="1" applyFont="1" applyFill="1" applyBorder="1" applyAlignment="1">
      <alignment horizontal="center" vertical="center" wrapText="1"/>
    </xf>
    <xf numFmtId="43" fontId="23" fillId="14" borderId="15" xfId="1" applyFont="1" applyFill="1" applyBorder="1" applyAlignment="1">
      <alignment horizontal="left" vertical="center"/>
    </xf>
    <xf numFmtId="43" fontId="28" fillId="15" borderId="15" xfId="1" applyFont="1" applyFill="1" applyBorder="1" applyAlignment="1">
      <alignment horizontal="left" vertical="center"/>
    </xf>
    <xf numFmtId="43" fontId="22" fillId="0" borderId="9" xfId="1" applyFont="1" applyFill="1" applyBorder="1" applyAlignment="1">
      <alignment horizontal="center" vertical="center" wrapText="1"/>
    </xf>
    <xf numFmtId="43" fontId="22" fillId="6" borderId="9" xfId="1" applyFont="1" applyFill="1" applyBorder="1" applyAlignment="1">
      <alignment horizontal="center" vertical="center" wrapText="1"/>
    </xf>
    <xf numFmtId="43" fontId="22" fillId="6" borderId="21" xfId="1" applyFont="1" applyFill="1" applyBorder="1" applyAlignment="1">
      <alignment horizontal="center" vertical="center" wrapText="1"/>
    </xf>
    <xf numFmtId="43" fontId="22" fillId="6" borderId="19" xfId="1" applyFont="1" applyFill="1" applyBorder="1" applyAlignment="1">
      <alignment horizontal="center" vertical="center" wrapText="1"/>
    </xf>
    <xf numFmtId="43" fontId="22" fillId="6" borderId="14" xfId="1" applyFont="1" applyFill="1" applyBorder="1" applyAlignment="1">
      <alignment horizontal="center" vertical="center" wrapText="1"/>
    </xf>
    <xf numFmtId="43" fontId="22" fillId="0" borderId="21" xfId="1" applyFont="1" applyFill="1" applyBorder="1" applyAlignment="1">
      <alignment horizontal="center" vertical="center" wrapText="1"/>
    </xf>
    <xf numFmtId="43" fontId="22" fillId="0" borderId="14" xfId="1" applyFont="1" applyFill="1" applyBorder="1" applyAlignment="1">
      <alignment horizontal="center" vertical="center" wrapText="1"/>
    </xf>
    <xf numFmtId="43" fontId="28" fillId="15" borderId="6" xfId="1" applyFont="1" applyFill="1" applyBorder="1" applyAlignment="1">
      <alignment horizontal="left" vertical="center"/>
    </xf>
    <xf numFmtId="43" fontId="22" fillId="0" borderId="6" xfId="1" applyFont="1" applyFill="1" applyBorder="1" applyAlignment="1">
      <alignment horizontal="center" vertical="center" wrapText="1"/>
    </xf>
    <xf numFmtId="43" fontId="22" fillId="0" borderId="19" xfId="1" applyFont="1" applyFill="1" applyBorder="1" applyAlignment="1">
      <alignment horizontal="center" vertical="center" wrapText="1"/>
    </xf>
    <xf numFmtId="43" fontId="23" fillId="14" borderId="15" xfId="1" applyFont="1" applyFill="1" applyBorder="1" applyAlignment="1">
      <alignment vertical="center"/>
    </xf>
    <xf numFmtId="43" fontId="22" fillId="6" borderId="14" xfId="1" applyFont="1" applyFill="1" applyBorder="1" applyAlignment="1">
      <alignment vertical="center"/>
    </xf>
    <xf numFmtId="43" fontId="22" fillId="0" borderId="14" xfId="1" applyFont="1" applyFill="1" applyBorder="1" applyAlignment="1">
      <alignment vertical="center"/>
    </xf>
    <xf numFmtId="43" fontId="27" fillId="15" borderId="15" xfId="1" applyFont="1" applyFill="1" applyBorder="1" applyAlignment="1">
      <alignment horizontal="left" vertical="center"/>
    </xf>
    <xf numFmtId="43" fontId="24" fillId="6" borderId="6" xfId="1" applyFont="1" applyFill="1" applyBorder="1" applyAlignment="1">
      <alignment horizontal="center" vertical="center" wrapText="1"/>
    </xf>
    <xf numFmtId="43" fontId="27" fillId="15" borderId="15" xfId="1" applyFont="1" applyFill="1" applyBorder="1" applyAlignment="1">
      <alignment vertical="center"/>
    </xf>
    <xf numFmtId="43" fontId="22" fillId="6" borderId="6" xfId="1" applyFont="1" applyFill="1" applyBorder="1" applyAlignment="1">
      <alignment horizontal="center" vertical="center" wrapText="1" readingOrder="1"/>
    </xf>
    <xf numFmtId="43" fontId="24" fillId="0" borderId="14" xfId="1" applyFont="1" applyFill="1" applyBorder="1" applyAlignment="1">
      <alignment horizontal="center" vertical="center" wrapText="1"/>
    </xf>
    <xf numFmtId="43" fontId="4" fillId="0" borderId="20" xfId="1" applyFont="1" applyFill="1" applyBorder="1" applyAlignment="1">
      <alignment horizontal="right" vertical="center" wrapText="1"/>
    </xf>
    <xf numFmtId="43" fontId="22" fillId="0" borderId="50" xfId="1" applyFont="1" applyFill="1" applyBorder="1" applyAlignment="1">
      <alignment horizontal="right" vertical="center"/>
    </xf>
    <xf numFmtId="43" fontId="4" fillId="0" borderId="27" xfId="1" applyFont="1" applyFill="1" applyBorder="1" applyAlignment="1">
      <alignment horizontal="right" vertical="center" wrapText="1"/>
    </xf>
    <xf numFmtId="43" fontId="23" fillId="0" borderId="6" xfId="1" applyFont="1" applyBorder="1" applyAlignment="1">
      <alignment horizontal="center" vertical="center" wrapText="1"/>
    </xf>
    <xf numFmtId="43" fontId="23" fillId="7" borderId="15" xfId="1" applyFont="1" applyFill="1" applyBorder="1" applyAlignment="1">
      <alignment vertical="center"/>
    </xf>
    <xf numFmtId="43" fontId="23" fillId="17" borderId="9" xfId="1" applyFont="1" applyFill="1" applyBorder="1" applyAlignment="1">
      <alignment vertical="center"/>
    </xf>
    <xf numFmtId="43" fontId="23" fillId="7" borderId="11" xfId="1" applyFont="1" applyFill="1" applyBorder="1" applyAlignment="1">
      <alignment vertical="center"/>
    </xf>
    <xf numFmtId="43" fontId="23" fillId="6" borderId="50" xfId="1" applyFont="1" applyFill="1" applyBorder="1" applyAlignment="1">
      <alignment horizontal="center" vertical="center" wrapText="1"/>
    </xf>
    <xf numFmtId="43" fontId="22" fillId="0" borderId="27" xfId="1" applyFont="1" applyFill="1" applyBorder="1" applyAlignment="1">
      <alignment horizontal="justify" vertical="center" wrapText="1"/>
    </xf>
    <xf numFmtId="43" fontId="22" fillId="0" borderId="6" xfId="1" applyFont="1" applyFill="1" applyBorder="1" applyAlignment="1">
      <alignment horizontal="justify" vertical="center" wrapText="1"/>
    </xf>
    <xf numFmtId="43" fontId="23" fillId="7" borderId="15" xfId="1" applyFont="1" applyFill="1" applyBorder="1" applyAlignment="1">
      <alignment horizontal="justify" vertical="center" wrapText="1"/>
    </xf>
    <xf numFmtId="43" fontId="22" fillId="6" borderId="27" xfId="1" applyFont="1" applyFill="1" applyBorder="1" applyAlignment="1">
      <alignment horizontal="justify" vertical="center" wrapText="1"/>
    </xf>
    <xf numFmtId="43" fontId="22" fillId="6" borderId="6" xfId="1" applyFont="1" applyFill="1" applyBorder="1" applyAlignment="1">
      <alignment horizontal="justify" vertical="center" wrapText="1"/>
    </xf>
    <xf numFmtId="43" fontId="23" fillId="17" borderId="9" xfId="1" applyFont="1" applyFill="1" applyBorder="1" applyAlignment="1">
      <alignment horizontal="justify" vertical="center" wrapText="1"/>
    </xf>
    <xf numFmtId="43" fontId="23" fillId="7" borderId="11" xfId="1" applyFont="1" applyFill="1" applyBorder="1" applyAlignment="1">
      <alignment horizontal="justify" vertical="center" wrapText="1"/>
    </xf>
    <xf numFmtId="43" fontId="22" fillId="0" borderId="50" xfId="1" applyFont="1" applyFill="1" applyBorder="1" applyAlignment="1">
      <alignment vertical="center" wrapText="1"/>
    </xf>
    <xf numFmtId="43" fontId="22" fillId="0" borderId="50" xfId="1" applyFont="1" applyFill="1" applyBorder="1" applyAlignment="1">
      <alignment horizontal="right" vertical="center" wrapText="1"/>
    </xf>
    <xf numFmtId="43" fontId="23" fillId="0" borderId="27" xfId="1" applyFont="1" applyFill="1" applyBorder="1" applyAlignment="1">
      <alignment horizontal="center" vertical="center" wrapText="1"/>
    </xf>
    <xf numFmtId="1" fontId="23" fillId="7" borderId="15" xfId="0" applyNumberFormat="1" applyFont="1" applyFill="1" applyBorder="1" applyAlignment="1">
      <alignment horizontal="center" vertical="center" wrapText="1"/>
    </xf>
    <xf numFmtId="1" fontId="23" fillId="17" borderId="9" xfId="0" applyNumberFormat="1" applyFont="1" applyFill="1" applyBorder="1" applyAlignment="1">
      <alignment horizontal="center" vertical="center" wrapText="1"/>
    </xf>
    <xf numFmtId="0" fontId="22" fillId="6" borderId="0" xfId="0" applyFont="1" applyFill="1" applyBorder="1" applyAlignment="1">
      <alignment vertical="center" wrapText="1"/>
    </xf>
    <xf numFmtId="43" fontId="22" fillId="15" borderId="6" xfId="1" applyFont="1" applyFill="1" applyBorder="1" applyAlignment="1">
      <alignment vertical="center" wrapText="1"/>
    </xf>
    <xf numFmtId="43" fontId="22" fillId="15" borderId="15" xfId="1" applyFont="1" applyFill="1" applyBorder="1" applyAlignment="1">
      <alignment vertical="center"/>
    </xf>
    <xf numFmtId="43" fontId="23" fillId="6" borderId="6" xfId="1" applyFont="1" applyFill="1" applyBorder="1" applyAlignment="1">
      <alignment horizontal="center" vertical="center"/>
    </xf>
    <xf numFmtId="43" fontId="22" fillId="6" borderId="6" xfId="1" applyFont="1" applyFill="1" applyBorder="1" applyAlignment="1">
      <alignment horizontal="right" vertical="center"/>
    </xf>
    <xf numFmtId="43" fontId="22" fillId="6" borderId="20" xfId="1" applyFont="1" applyFill="1" applyBorder="1" applyAlignment="1">
      <alignment horizontal="right" vertical="center"/>
    </xf>
    <xf numFmtId="43" fontId="22" fillId="15" borderId="15" xfId="1" applyFont="1" applyFill="1" applyBorder="1" applyAlignment="1">
      <alignment horizontal="center" vertical="center"/>
    </xf>
    <xf numFmtId="43" fontId="22" fillId="0" borderId="6" xfId="1" applyFont="1" applyFill="1" applyBorder="1" applyAlignment="1">
      <alignment vertical="center"/>
    </xf>
    <xf numFmtId="43" fontId="22" fillId="13" borderId="9" xfId="1" applyFont="1" applyFill="1" applyBorder="1" applyAlignment="1">
      <alignment horizontal="center" vertical="center"/>
    </xf>
    <xf numFmtId="43" fontId="22" fillId="22" borderId="15" xfId="1" applyFont="1" applyFill="1" applyBorder="1" applyAlignment="1">
      <alignment horizontal="center" vertical="center"/>
    </xf>
    <xf numFmtId="43" fontId="22" fillId="6" borderId="6" xfId="1" applyFont="1" applyFill="1" applyBorder="1" applyAlignment="1">
      <alignment horizontal="right" vertical="center" wrapText="1"/>
    </xf>
    <xf numFmtId="43" fontId="22" fillId="6" borderId="27" xfId="1" applyFont="1" applyFill="1" applyBorder="1" applyAlignment="1">
      <alignment horizontal="right" vertical="center" wrapText="1"/>
    </xf>
    <xf numFmtId="43" fontId="22" fillId="6" borderId="22" xfId="1" applyFont="1" applyFill="1" applyBorder="1" applyAlignment="1">
      <alignment horizontal="right" vertical="center" wrapText="1"/>
    </xf>
    <xf numFmtId="43" fontId="22" fillId="15" borderId="6" xfId="1" applyFont="1" applyFill="1" applyBorder="1" applyAlignment="1">
      <alignment horizontal="center" vertical="center" wrapText="1"/>
    </xf>
    <xf numFmtId="43" fontId="22" fillId="15" borderId="0" xfId="1" applyFont="1" applyFill="1" applyAlignment="1">
      <alignment horizontal="center" vertical="center"/>
    </xf>
    <xf numFmtId="43" fontId="22" fillId="0" borderId="6" xfId="1" applyFont="1" applyFill="1" applyBorder="1" applyAlignment="1">
      <alignment horizontal="right" vertical="center"/>
    </xf>
    <xf numFmtId="43" fontId="22" fillId="0" borderId="20" xfId="1" applyFont="1" applyFill="1" applyBorder="1" applyAlignment="1">
      <alignment vertical="center"/>
    </xf>
    <xf numFmtId="43" fontId="22" fillId="13" borderId="11" xfId="1" applyFont="1" applyFill="1" applyBorder="1" applyAlignment="1">
      <alignment horizontal="center" vertical="center"/>
    </xf>
    <xf numFmtId="43" fontId="22" fillId="14" borderId="15" xfId="1" applyFont="1" applyFill="1" applyBorder="1" applyAlignment="1">
      <alignment horizontal="center" vertical="center"/>
    </xf>
    <xf numFmtId="43" fontId="22" fillId="0" borderId="6" xfId="1" applyFont="1" applyBorder="1" applyAlignment="1">
      <alignment horizontal="right" vertical="center"/>
    </xf>
    <xf numFmtId="43" fontId="22" fillId="0" borderId="50" xfId="1" applyFont="1" applyBorder="1" applyAlignment="1">
      <alignment vertical="center" wrapText="1"/>
    </xf>
    <xf numFmtId="43" fontId="22" fillId="6" borderId="27" xfId="1" applyFont="1" applyFill="1" applyBorder="1" applyAlignment="1">
      <alignment horizontal="right" vertical="center"/>
    </xf>
    <xf numFmtId="43" fontId="22" fillId="0" borderId="16" xfId="1" applyFont="1" applyFill="1" applyBorder="1" applyAlignment="1">
      <alignment horizontal="right" vertical="center"/>
    </xf>
    <xf numFmtId="43" fontId="22" fillId="0" borderId="0" xfId="1" applyFont="1" applyFill="1" applyAlignment="1">
      <alignment horizontal="right" vertical="center"/>
    </xf>
    <xf numFmtId="43" fontId="22" fillId="0" borderId="20" xfId="1" applyFont="1" applyFill="1" applyBorder="1" applyAlignment="1">
      <alignment horizontal="right" vertical="center"/>
    </xf>
    <xf numFmtId="184" fontId="24" fillId="0" borderId="27"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43" fontId="22" fillId="6" borderId="6" xfId="1" applyFont="1" applyFill="1" applyBorder="1" applyAlignment="1">
      <alignment vertical="center" wrapText="1"/>
    </xf>
    <xf numFmtId="43" fontId="22" fillId="6" borderId="16" xfId="1" applyFont="1" applyFill="1" applyBorder="1" applyAlignment="1">
      <alignment vertical="center" wrapText="1"/>
    </xf>
    <xf numFmtId="43" fontId="22" fillId="0" borderId="13" xfId="1" applyFont="1" applyFill="1" applyBorder="1" applyAlignment="1">
      <alignment horizontal="right" vertical="center" wrapText="1"/>
    </xf>
    <xf numFmtId="43" fontId="22" fillId="0" borderId="21" xfId="1" applyFont="1" applyFill="1" applyBorder="1" applyAlignment="1">
      <alignment horizontal="right" vertical="center" wrapText="1"/>
    </xf>
    <xf numFmtId="43" fontId="22" fillId="0" borderId="27" xfId="1" applyFont="1" applyFill="1" applyBorder="1" applyAlignment="1">
      <alignment horizontal="right" vertical="center" wrapText="1"/>
    </xf>
    <xf numFmtId="43" fontId="22" fillId="0" borderId="22" xfId="1" applyFont="1" applyFill="1" applyBorder="1" applyAlignment="1">
      <alignment horizontal="right" vertical="center" wrapText="1"/>
    </xf>
    <xf numFmtId="43" fontId="22" fillId="0" borderId="54" xfId="1" applyFont="1" applyFill="1" applyBorder="1" applyAlignment="1">
      <alignment horizontal="right" vertical="center" wrapText="1"/>
    </xf>
    <xf numFmtId="43" fontId="22" fillId="15" borderId="9" xfId="1" applyFont="1" applyFill="1" applyBorder="1" applyAlignment="1">
      <alignment horizontal="right" vertical="center" wrapText="1"/>
    </xf>
    <xf numFmtId="43" fontId="22" fillId="0" borderId="6" xfId="1" applyFont="1" applyFill="1" applyBorder="1" applyAlignment="1">
      <alignment horizontal="right" vertical="center" wrapText="1"/>
    </xf>
    <xf numFmtId="43" fontId="22" fillId="15" borderId="15" xfId="1" applyFont="1" applyFill="1" applyBorder="1" applyAlignment="1">
      <alignment horizontal="right" vertical="center" wrapText="1"/>
    </xf>
    <xf numFmtId="43" fontId="23" fillId="19" borderId="15" xfId="1" applyFont="1" applyFill="1" applyBorder="1" applyAlignment="1">
      <alignment horizontal="right" vertical="center" wrapText="1"/>
    </xf>
    <xf numFmtId="43" fontId="23" fillId="15" borderId="15" xfId="1" applyFont="1" applyFill="1" applyBorder="1" applyAlignment="1">
      <alignment horizontal="right" vertical="center" wrapText="1"/>
    </xf>
    <xf numFmtId="43" fontId="22" fillId="0" borderId="20" xfId="1" applyFont="1" applyFill="1" applyBorder="1" applyAlignment="1">
      <alignment horizontal="right" vertical="center" wrapText="1"/>
    </xf>
    <xf numFmtId="43" fontId="22" fillId="0" borderId="54" xfId="1" applyFont="1" applyFill="1" applyBorder="1" applyAlignment="1">
      <alignment horizontal="right" vertical="center"/>
    </xf>
    <xf numFmtId="43" fontId="22" fillId="15" borderId="15" xfId="1" applyFont="1" applyFill="1" applyBorder="1" applyAlignment="1">
      <alignment horizontal="justify" vertical="center" wrapText="1"/>
    </xf>
    <xf numFmtId="43" fontId="22" fillId="0" borderId="50" xfId="1" applyFont="1" applyFill="1" applyBorder="1" applyAlignment="1">
      <alignment vertical="center"/>
    </xf>
    <xf numFmtId="43" fontId="23" fillId="0" borderId="27" xfId="1" applyFont="1" applyBorder="1" applyAlignment="1">
      <alignment horizontal="right" vertical="center" wrapText="1"/>
    </xf>
    <xf numFmtId="0" fontId="22" fillId="15" borderId="15" xfId="0" applyFont="1" applyFill="1" applyBorder="1" applyAlignment="1">
      <alignment horizontal="center" vertical="center" wrapText="1"/>
    </xf>
    <xf numFmtId="0" fontId="23" fillId="19" borderId="15" xfId="0" applyFont="1" applyFill="1" applyBorder="1" applyAlignment="1">
      <alignment horizontal="center" vertical="center" wrapText="1"/>
    </xf>
    <xf numFmtId="0" fontId="23" fillId="15" borderId="15" xfId="0" applyFont="1" applyFill="1" applyBorder="1" applyAlignment="1">
      <alignment horizontal="center" vertical="center" wrapText="1"/>
    </xf>
    <xf numFmtId="0" fontId="4" fillId="0" borderId="50" xfId="12" applyNumberFormat="1" applyFont="1" applyBorder="1" applyAlignment="1">
      <alignment horizontal="center" vertical="center" wrapText="1"/>
    </xf>
    <xf numFmtId="43" fontId="6" fillId="0" borderId="30" xfId="1" applyFont="1" applyBorder="1" applyAlignment="1">
      <alignment horizontal="right" vertical="center"/>
    </xf>
    <xf numFmtId="0" fontId="4" fillId="0" borderId="54" xfId="12" applyNumberFormat="1" applyFont="1" applyBorder="1" applyAlignment="1">
      <alignment horizontal="center" vertical="center" wrapText="1"/>
    </xf>
    <xf numFmtId="1" fontId="4" fillId="6" borderId="30"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6" borderId="6" xfId="0" applyFont="1" applyFill="1" applyBorder="1" applyAlignment="1">
      <alignment horizontal="center" vertical="center" wrapText="1"/>
    </xf>
    <xf numFmtId="0" fontId="23" fillId="0" borderId="9" xfId="0" applyFont="1" applyBorder="1" applyAlignment="1">
      <alignment horizontal="center" vertical="center"/>
    </xf>
    <xf numFmtId="0" fontId="8" fillId="0" borderId="6" xfId="0" applyFont="1" applyBorder="1" applyAlignment="1">
      <alignment horizontal="justify" vertical="center" wrapText="1"/>
    </xf>
    <xf numFmtId="0" fontId="8" fillId="0" borderId="27" xfId="0" applyFont="1" applyBorder="1" applyAlignment="1">
      <alignment horizontal="justify" vertical="center" wrapText="1"/>
    </xf>
    <xf numFmtId="43" fontId="4" fillId="6" borderId="6" xfId="1" applyFont="1" applyFill="1" applyBorder="1" applyAlignment="1">
      <alignment horizontal="center" vertical="center" wrapText="1"/>
    </xf>
    <xf numFmtId="0" fontId="22" fillId="0" borderId="6" xfId="0" applyFont="1" applyBorder="1" applyAlignment="1">
      <alignment horizontal="center" vertical="center"/>
    </xf>
    <xf numFmtId="41" fontId="4" fillId="0" borderId="59" xfId="0" applyNumberFormat="1" applyFont="1" applyFill="1" applyBorder="1" applyAlignment="1">
      <alignment vertical="center"/>
    </xf>
    <xf numFmtId="173" fontId="6" fillId="0" borderId="32" xfId="5" applyNumberFormat="1" applyFont="1" applyBorder="1"/>
    <xf numFmtId="1" fontId="4" fillId="6" borderId="55" xfId="0" applyNumberFormat="1" applyFont="1" applyFill="1" applyBorder="1" applyAlignment="1">
      <alignment horizontal="center" vertical="center" wrapText="1"/>
    </xf>
    <xf numFmtId="0" fontId="4" fillId="6" borderId="55" xfId="0" applyFont="1" applyFill="1" applyBorder="1" applyAlignment="1">
      <alignment vertical="center" wrapText="1"/>
    </xf>
    <xf numFmtId="0" fontId="6" fillId="12" borderId="20" xfId="0" applyFont="1" applyFill="1" applyBorder="1" applyAlignment="1">
      <alignment horizontal="center" vertical="center" wrapText="1"/>
    </xf>
    <xf numFmtId="0" fontId="6" fillId="13" borderId="15" xfId="0" applyFont="1" applyFill="1" applyBorder="1" applyAlignment="1">
      <alignment horizontal="left" vertical="center"/>
    </xf>
    <xf numFmtId="0" fontId="4" fillId="6" borderId="20"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0" xfId="0" applyFont="1" applyFill="1" applyBorder="1" applyAlignment="1">
      <alignment horizontal="center" vertical="center" wrapText="1"/>
    </xf>
    <xf numFmtId="1" fontId="4" fillId="6" borderId="20" xfId="0" applyNumberFormat="1" applyFont="1" applyFill="1" applyBorder="1" applyAlignment="1">
      <alignment horizontal="center" vertical="center" wrapText="1"/>
    </xf>
    <xf numFmtId="1" fontId="4" fillId="6" borderId="22" xfId="0" applyNumberFormat="1" applyFont="1" applyFill="1" applyBorder="1" applyAlignment="1">
      <alignment horizontal="center" vertical="center" wrapText="1"/>
    </xf>
    <xf numFmtId="1" fontId="4" fillId="6" borderId="27" xfId="0" applyNumberFormat="1" applyFont="1" applyFill="1" applyBorder="1" applyAlignment="1">
      <alignment horizontal="center" vertical="center" wrapText="1"/>
    </xf>
    <xf numFmtId="1" fontId="6" fillId="6" borderId="20" xfId="0" applyNumberFormat="1" applyFont="1" applyFill="1" applyBorder="1" applyAlignment="1">
      <alignment horizontal="center" vertical="center" wrapText="1"/>
    </xf>
    <xf numFmtId="1" fontId="6" fillId="6" borderId="22" xfId="0" applyNumberFormat="1" applyFont="1" applyFill="1" applyBorder="1" applyAlignment="1">
      <alignment horizontal="center" vertical="center" wrapText="1"/>
    </xf>
    <xf numFmtId="1" fontId="6" fillId="6" borderId="27" xfId="0" applyNumberFormat="1" applyFont="1" applyFill="1" applyBorder="1" applyAlignment="1">
      <alignment horizontal="center" vertical="center" wrapText="1"/>
    </xf>
    <xf numFmtId="1" fontId="4" fillId="0" borderId="51" xfId="0" applyNumberFormat="1" applyFont="1" applyFill="1" applyBorder="1" applyAlignment="1">
      <alignment horizontal="center" vertical="center" wrapText="1"/>
    </xf>
    <xf numFmtId="0" fontId="4" fillId="6" borderId="0" xfId="0" applyFont="1" applyFill="1" applyAlignment="1">
      <alignment horizontal="center"/>
    </xf>
    <xf numFmtId="1" fontId="4" fillId="0" borderId="20" xfId="0" applyNumberFormat="1" applyFont="1" applyFill="1" applyBorder="1" applyAlignment="1">
      <alignment horizontal="center" vertical="center" wrapText="1"/>
    </xf>
    <xf numFmtId="1" fontId="4" fillId="0" borderId="50" xfId="0" applyNumberFormat="1" applyFont="1" applyFill="1" applyBorder="1" applyAlignment="1">
      <alignment horizontal="center" vertical="center" wrapText="1"/>
    </xf>
    <xf numFmtId="0" fontId="4" fillId="0" borderId="0" xfId="0" applyFont="1" applyAlignment="1">
      <alignment horizontal="center"/>
    </xf>
    <xf numFmtId="0" fontId="4" fillId="6" borderId="22" xfId="0" applyFont="1" applyFill="1" applyBorder="1" applyAlignment="1">
      <alignment horizontal="center" vertical="center"/>
    </xf>
    <xf numFmtId="0" fontId="4" fillId="6" borderId="0" xfId="0" applyFont="1" applyFill="1" applyAlignment="1">
      <alignment horizontal="center" vertical="center"/>
    </xf>
    <xf numFmtId="0" fontId="0" fillId="0" borderId="15" xfId="0" applyBorder="1" applyAlignment="1">
      <alignment horizontal="center" vertical="center" wrapText="1"/>
    </xf>
    <xf numFmtId="0" fontId="0" fillId="0" borderId="0" xfId="0" applyAlignment="1">
      <alignment horizontal="center" vertical="center" wrapText="1"/>
    </xf>
    <xf numFmtId="0" fontId="22" fillId="0" borderId="58" xfId="0" applyFont="1" applyBorder="1" applyAlignment="1">
      <alignment horizontal="justify" vertical="center" wrapText="1"/>
    </xf>
    <xf numFmtId="176" fontId="24" fillId="6" borderId="16" xfId="0" applyNumberFormat="1" applyFont="1" applyFill="1" applyBorder="1" applyAlignment="1">
      <alignment horizontal="center" vertical="center" wrapText="1"/>
    </xf>
    <xf numFmtId="176" fontId="24" fillId="6" borderId="12" xfId="0" applyNumberFormat="1" applyFont="1" applyFill="1" applyBorder="1" applyAlignment="1">
      <alignment horizontal="center" vertical="center" wrapText="1"/>
    </xf>
    <xf numFmtId="176" fontId="24" fillId="6" borderId="51" xfId="0" applyNumberFormat="1" applyFont="1" applyFill="1" applyBorder="1" applyAlignment="1">
      <alignment horizontal="center" vertical="center" wrapText="1"/>
    </xf>
    <xf numFmtId="43" fontId="4" fillId="6" borderId="6" xfId="1" applyFont="1" applyFill="1" applyBorder="1" applyAlignment="1">
      <alignment vertical="center" wrapText="1"/>
    </xf>
    <xf numFmtId="43" fontId="4" fillId="0" borderId="6" xfId="1" applyFont="1" applyFill="1" applyBorder="1" applyAlignment="1">
      <alignment vertical="center" wrapText="1"/>
    </xf>
    <xf numFmtId="43" fontId="4" fillId="6" borderId="6" xfId="1" applyFont="1" applyFill="1" applyBorder="1" applyAlignment="1">
      <alignment horizontal="center" vertical="center"/>
    </xf>
    <xf numFmtId="43" fontId="7" fillId="13" borderId="9" xfId="1" applyFont="1" applyFill="1" applyBorder="1" applyAlignment="1">
      <alignment horizontal="center" vertical="center"/>
    </xf>
    <xf numFmtId="43" fontId="7" fillId="14" borderId="9" xfId="1" applyFont="1" applyFill="1" applyBorder="1" applyAlignment="1">
      <alignment horizontal="center" vertical="center"/>
    </xf>
    <xf numFmtId="43" fontId="7" fillId="15" borderId="11" xfId="1" applyFont="1" applyFill="1" applyBorder="1" applyAlignment="1">
      <alignment horizontal="center" vertical="center"/>
    </xf>
    <xf numFmtId="43" fontId="8" fillId="0" borderId="6" xfId="1" applyFont="1" applyFill="1" applyBorder="1" applyAlignment="1">
      <alignment horizontal="center" vertical="center" wrapText="1"/>
    </xf>
    <xf numFmtId="43" fontId="8" fillId="6" borderId="6" xfId="1" applyFont="1" applyFill="1" applyBorder="1" applyAlignment="1">
      <alignment horizontal="center" vertical="center" wrapText="1"/>
    </xf>
    <xf numFmtId="43" fontId="8" fillId="6" borderId="21" xfId="1" applyFont="1" applyFill="1" applyBorder="1" applyAlignment="1">
      <alignment horizontal="center" vertical="center" wrapText="1"/>
    </xf>
    <xf numFmtId="43" fontId="7" fillId="15" borderId="11" xfId="1" applyFont="1" applyFill="1" applyBorder="1" applyAlignment="1">
      <alignment vertical="center"/>
    </xf>
    <xf numFmtId="43" fontId="8" fillId="6" borderId="6" xfId="1" applyFont="1" applyFill="1" applyBorder="1" applyAlignment="1">
      <alignment vertical="center" wrapText="1"/>
    </xf>
    <xf numFmtId="43" fontId="8" fillId="0" borderId="6" xfId="1" applyFont="1" applyBorder="1" applyAlignment="1">
      <alignment vertical="center" wrapText="1"/>
    </xf>
    <xf numFmtId="43" fontId="8" fillId="0" borderId="6" xfId="1" applyFont="1" applyFill="1" applyBorder="1" applyAlignment="1">
      <alignment vertical="center" wrapText="1"/>
    </xf>
    <xf numFmtId="43" fontId="8" fillId="0" borderId="12" xfId="1" applyFont="1" applyFill="1" applyBorder="1" applyAlignment="1">
      <alignment horizontal="center" vertical="center" wrapText="1"/>
    </xf>
    <xf numFmtId="43" fontId="8" fillId="0" borderId="27" xfId="1" applyFont="1" applyFill="1" applyBorder="1" applyAlignment="1">
      <alignment horizontal="center" vertical="center" wrapText="1"/>
    </xf>
    <xf numFmtId="43" fontId="7" fillId="0" borderId="6" xfId="1" applyFont="1" applyFill="1" applyBorder="1" applyAlignment="1">
      <alignment horizontal="center" vertical="center"/>
    </xf>
    <xf numFmtId="43" fontId="7" fillId="13" borderId="15" xfId="1" applyFont="1" applyFill="1" applyBorder="1" applyAlignment="1">
      <alignment horizontal="center" vertical="center"/>
    </xf>
    <xf numFmtId="43" fontId="7" fillId="15" borderId="15" xfId="1" applyFont="1" applyFill="1" applyBorder="1" applyAlignment="1">
      <alignment horizontal="center" vertical="center"/>
    </xf>
    <xf numFmtId="43" fontId="7" fillId="15" borderId="15" xfId="1" applyFont="1" applyFill="1" applyBorder="1" applyAlignment="1">
      <alignment vertical="center"/>
    </xf>
    <xf numFmtId="43" fontId="7" fillId="0" borderId="27" xfId="1" applyFont="1" applyBorder="1" applyAlignment="1">
      <alignment horizontal="center" vertical="center"/>
    </xf>
    <xf numFmtId="10" fontId="8" fillId="6" borderId="6" xfId="3" applyNumberFormat="1" applyFont="1" applyFill="1" applyBorder="1" applyAlignment="1">
      <alignment horizontal="center" vertical="center" wrapText="1"/>
    </xf>
    <xf numFmtId="43" fontId="4" fillId="0" borderId="6" xfId="1" applyFont="1" applyBorder="1" applyAlignment="1">
      <alignment vertical="center"/>
    </xf>
    <xf numFmtId="43" fontId="4" fillId="0" borderId="50" xfId="1" applyFont="1" applyFill="1" applyBorder="1" applyAlignment="1">
      <alignment horizontal="center" vertical="center"/>
    </xf>
    <xf numFmtId="0" fontId="4" fillId="0" borderId="20"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6" xfId="0" applyFont="1" applyBorder="1" applyAlignment="1">
      <alignment horizontal="justify" vertical="center"/>
    </xf>
    <xf numFmtId="0" fontId="4" fillId="0" borderId="58" xfId="0" applyFont="1" applyFill="1" applyBorder="1" applyAlignment="1">
      <alignment horizontal="justify" vertical="center" wrapText="1"/>
    </xf>
    <xf numFmtId="43" fontId="8" fillId="0" borderId="50" xfId="1" applyFont="1" applyFill="1" applyBorder="1" applyAlignment="1">
      <alignment vertical="center" wrapText="1"/>
    </xf>
    <xf numFmtId="43" fontId="6" fillId="0" borderId="42" xfId="1" applyFont="1" applyBorder="1" applyAlignment="1">
      <alignment horizontal="center" vertical="center"/>
    </xf>
    <xf numFmtId="1" fontId="4" fillId="6" borderId="47" xfId="0" applyNumberFormat="1" applyFont="1" applyFill="1" applyBorder="1" applyAlignment="1">
      <alignment horizontal="center" vertical="center"/>
    </xf>
    <xf numFmtId="0" fontId="4" fillId="6" borderId="49" xfId="0" applyFont="1" applyFill="1" applyBorder="1" applyAlignment="1">
      <alignment horizontal="center" vertical="center"/>
    </xf>
    <xf numFmtId="0" fontId="21" fillId="0" borderId="0" xfId="0" applyFont="1" applyAlignment="1">
      <alignment horizontal="justify" vertical="top" wrapText="1"/>
    </xf>
    <xf numFmtId="0" fontId="4" fillId="0" borderId="0" xfId="0" applyFont="1" applyBorder="1"/>
    <xf numFmtId="0" fontId="4" fillId="6" borderId="0" xfId="0" applyFont="1" applyFill="1" applyBorder="1" applyAlignment="1">
      <alignment horizontal="justify" vertical="center"/>
    </xf>
    <xf numFmtId="0" fontId="4" fillId="6" borderId="0" xfId="0" applyFont="1" applyFill="1" applyBorder="1" applyAlignment="1">
      <alignment horizontal="justify"/>
    </xf>
    <xf numFmtId="43" fontId="14" fillId="0" borderId="58" xfId="1" applyFont="1" applyFill="1" applyBorder="1" applyAlignment="1">
      <alignment vertical="center"/>
    </xf>
    <xf numFmtId="0" fontId="4" fillId="0" borderId="0" xfId="0" applyFont="1" applyAlignment="1">
      <alignment horizontal="justify"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22" fillId="6" borderId="6" xfId="0" applyFont="1" applyFill="1" applyBorder="1" applyAlignment="1">
      <alignment horizontal="justify" vertical="center" wrapText="1"/>
    </xf>
    <xf numFmtId="0" fontId="4" fillId="6" borderId="0" xfId="0" applyFont="1" applyFill="1" applyAlignment="1">
      <alignment horizontal="center"/>
    </xf>
    <xf numFmtId="0" fontId="22" fillId="0" borderId="6" xfId="0" applyFont="1" applyBorder="1" applyAlignment="1">
      <alignment horizontal="center" vertical="center"/>
    </xf>
    <xf numFmtId="0" fontId="4" fillId="6" borderId="0" xfId="0" applyFont="1" applyFill="1" applyAlignment="1">
      <alignment horizontal="center" vertical="center"/>
    </xf>
    <xf numFmtId="0" fontId="22" fillId="0" borderId="50" xfId="0" applyFont="1" applyBorder="1" applyAlignment="1">
      <alignment horizontal="center" vertical="center" wrapText="1"/>
    </xf>
    <xf numFmtId="0" fontId="19" fillId="0" borderId="3" xfId="0" applyFont="1" applyBorder="1" applyAlignment="1">
      <alignment vertical="center"/>
    </xf>
    <xf numFmtId="0" fontId="19" fillId="0" borderId="4" xfId="0" applyFont="1" applyBorder="1" applyAlignment="1">
      <alignment horizontal="justify" vertical="center" wrapText="1"/>
    </xf>
    <xf numFmtId="0" fontId="19" fillId="0" borderId="6" xfId="0" applyFont="1" applyBorder="1" applyAlignment="1">
      <alignment horizontal="left" vertical="center"/>
    </xf>
    <xf numFmtId="0" fontId="19" fillId="0" borderId="7" xfId="0" applyFont="1" applyBorder="1" applyAlignment="1">
      <alignment horizontal="justify" vertical="center" wrapText="1"/>
    </xf>
    <xf numFmtId="0" fontId="19" fillId="0" borderId="6" xfId="0" applyFont="1" applyBorder="1" applyAlignment="1">
      <alignment vertical="center"/>
    </xf>
    <xf numFmtId="3" fontId="19" fillId="0" borderId="7" xfId="0" applyNumberFormat="1" applyFont="1" applyBorder="1" applyAlignment="1">
      <alignment horizontal="justify" vertical="center" wrapText="1"/>
    </xf>
    <xf numFmtId="0" fontId="4" fillId="0" borderId="21" xfId="0" applyFont="1" applyBorder="1" applyAlignment="1">
      <alignment horizontal="center" vertical="center"/>
    </xf>
    <xf numFmtId="0" fontId="6" fillId="0" borderId="9" xfId="0" applyFont="1" applyBorder="1" applyAlignment="1">
      <alignment horizontal="justify" vertical="center" wrapText="1"/>
    </xf>
    <xf numFmtId="41" fontId="7" fillId="0" borderId="9" xfId="0" applyNumberFormat="1" applyFont="1" applyBorder="1" applyAlignment="1">
      <alignment vertical="center"/>
    </xf>
    <xf numFmtId="0" fontId="6" fillId="0" borderId="24" xfId="0" applyFont="1" applyBorder="1" applyAlignment="1">
      <alignment horizontal="justify" vertical="center" wrapText="1"/>
    </xf>
    <xf numFmtId="0" fontId="6" fillId="6" borderId="0" xfId="0" applyFont="1" applyFill="1"/>
    <xf numFmtId="1" fontId="23" fillId="13" borderId="14" xfId="0" applyNumberFormat="1" applyFont="1" applyFill="1" applyBorder="1" applyAlignment="1">
      <alignment horizontal="left" vertical="center" wrapText="1"/>
    </xf>
    <xf numFmtId="0" fontId="23" fillId="13" borderId="11" xfId="0" applyFont="1" applyFill="1" applyBorder="1" applyAlignment="1">
      <alignment horizontal="justify" vertical="center" wrapText="1"/>
    </xf>
    <xf numFmtId="0" fontId="23" fillId="13" borderId="11" xfId="0" applyFont="1" applyFill="1" applyBorder="1" applyAlignment="1">
      <alignment horizontal="justify" vertical="center"/>
    </xf>
    <xf numFmtId="169" fontId="22" fillId="13" borderId="11" xfId="0" applyNumberFormat="1" applyFont="1" applyFill="1" applyBorder="1" applyAlignment="1">
      <alignment horizontal="center" vertical="center"/>
    </xf>
    <xf numFmtId="170" fontId="23" fillId="13" borderId="11" xfId="0" applyNumberFormat="1" applyFont="1" applyFill="1" applyBorder="1" applyAlignment="1">
      <alignment vertical="center"/>
    </xf>
    <xf numFmtId="170" fontId="28" fillId="13" borderId="11" xfId="0" applyNumberFormat="1" applyFont="1" applyFill="1" applyBorder="1" applyAlignment="1">
      <alignment horizontal="center" vertical="center"/>
    </xf>
    <xf numFmtId="170" fontId="23" fillId="13" borderId="11" xfId="0" applyNumberFormat="1" applyFont="1" applyFill="1" applyBorder="1" applyAlignment="1">
      <alignment horizontal="center" vertical="center"/>
    </xf>
    <xf numFmtId="0" fontId="23" fillId="13" borderId="11" xfId="0" applyFont="1" applyFill="1" applyBorder="1" applyAlignment="1">
      <alignment horizontal="center" vertical="center"/>
    </xf>
    <xf numFmtId="171" fontId="23" fillId="13" borderId="11" xfId="0" applyNumberFormat="1" applyFont="1" applyFill="1" applyBorder="1" applyAlignment="1">
      <alignment vertical="center"/>
    </xf>
    <xf numFmtId="0" fontId="23" fillId="13" borderId="12" xfId="0" applyFont="1" applyFill="1" applyBorder="1" applyAlignment="1">
      <alignment horizontal="justify" vertical="center"/>
    </xf>
    <xf numFmtId="0" fontId="23" fillId="14" borderId="11" xfId="0" applyFont="1" applyFill="1" applyBorder="1" applyAlignment="1">
      <alignment vertical="center"/>
    </xf>
    <xf numFmtId="0" fontId="22" fillId="14" borderId="11" xfId="0" applyFont="1" applyFill="1" applyBorder="1" applyAlignment="1">
      <alignment vertical="center"/>
    </xf>
    <xf numFmtId="0" fontId="23" fillId="14" borderId="11" xfId="0" applyFont="1" applyFill="1" applyBorder="1" applyAlignment="1">
      <alignment horizontal="justify" vertical="center" wrapText="1"/>
    </xf>
    <xf numFmtId="0" fontId="23" fillId="14" borderId="11" xfId="0" applyFont="1" applyFill="1" applyBorder="1" applyAlignment="1">
      <alignment horizontal="justify" vertical="center"/>
    </xf>
    <xf numFmtId="0" fontId="22" fillId="14" borderId="11" xfId="0" applyFont="1" applyFill="1" applyBorder="1" applyAlignment="1">
      <alignment horizontal="center" vertical="center"/>
    </xf>
    <xf numFmtId="169" fontId="22" fillId="14" borderId="11" xfId="0" applyNumberFormat="1" applyFont="1" applyFill="1" applyBorder="1" applyAlignment="1">
      <alignment horizontal="center" vertical="center"/>
    </xf>
    <xf numFmtId="170" fontId="23" fillId="14" borderId="11" xfId="0" applyNumberFormat="1" applyFont="1" applyFill="1" applyBorder="1" applyAlignment="1">
      <alignment vertical="center"/>
    </xf>
    <xf numFmtId="170" fontId="28" fillId="14" borderId="11" xfId="0" applyNumberFormat="1" applyFont="1" applyFill="1" applyBorder="1" applyAlignment="1">
      <alignment horizontal="center" vertical="center"/>
    </xf>
    <xf numFmtId="170" fontId="23" fillId="14" borderId="11" xfId="0" applyNumberFormat="1" applyFont="1" applyFill="1" applyBorder="1" applyAlignment="1">
      <alignment horizontal="center" vertical="center"/>
    </xf>
    <xf numFmtId="0" fontId="23" fillId="14" borderId="11" xfId="0" applyFont="1" applyFill="1" applyBorder="1" applyAlignment="1">
      <alignment horizontal="center" vertical="center"/>
    </xf>
    <xf numFmtId="171" fontId="23" fillId="14" borderId="11" xfId="0" applyNumberFormat="1" applyFont="1" applyFill="1" applyBorder="1" applyAlignment="1">
      <alignment vertical="center"/>
    </xf>
    <xf numFmtId="0" fontId="23" fillId="14" borderId="12" xfId="0" applyFont="1" applyFill="1" applyBorder="1" applyAlignment="1">
      <alignment horizontal="justify" vertical="center"/>
    </xf>
    <xf numFmtId="1" fontId="23" fillId="15" borderId="15" xfId="0" applyNumberFormat="1" applyFont="1" applyFill="1" applyBorder="1" applyAlignment="1">
      <alignment horizontal="left" vertical="center" wrapText="1" indent="1"/>
    </xf>
    <xf numFmtId="0" fontId="22" fillId="15" borderId="11" xfId="0" applyFont="1" applyFill="1" applyBorder="1" applyAlignment="1">
      <alignment vertical="center"/>
    </xf>
    <xf numFmtId="0" fontId="23" fillId="15" borderId="11" xfId="0" applyFont="1" applyFill="1" applyBorder="1" applyAlignment="1">
      <alignment horizontal="justify" vertical="center" wrapText="1"/>
    </xf>
    <xf numFmtId="0" fontId="23" fillId="15" borderId="11" xfId="0" applyFont="1" applyFill="1" applyBorder="1" applyAlignment="1">
      <alignment horizontal="justify" vertical="center"/>
    </xf>
    <xf numFmtId="169" fontId="22" fillId="15" borderId="11" xfId="0" applyNumberFormat="1" applyFont="1" applyFill="1" applyBorder="1" applyAlignment="1">
      <alignment horizontal="center" vertical="center"/>
    </xf>
    <xf numFmtId="170" fontId="23" fillId="15" borderId="11" xfId="0" applyNumberFormat="1" applyFont="1" applyFill="1" applyBorder="1" applyAlignment="1">
      <alignment vertical="center"/>
    </xf>
    <xf numFmtId="170" fontId="28" fillId="15" borderId="11" xfId="0" applyNumberFormat="1" applyFont="1" applyFill="1" applyBorder="1" applyAlignment="1">
      <alignment horizontal="center" vertical="center"/>
    </xf>
    <xf numFmtId="170" fontId="23" fillId="15" borderId="11" xfId="0" applyNumberFormat="1" applyFont="1" applyFill="1" applyBorder="1" applyAlignment="1">
      <alignment horizontal="center" vertical="center"/>
    </xf>
    <xf numFmtId="0" fontId="23" fillId="15" borderId="11" xfId="0" applyFont="1" applyFill="1" applyBorder="1" applyAlignment="1">
      <alignment horizontal="center" vertical="center"/>
    </xf>
    <xf numFmtId="171" fontId="23" fillId="15" borderId="11" xfId="0" applyNumberFormat="1" applyFont="1" applyFill="1" applyBorder="1" applyAlignment="1">
      <alignment vertical="center"/>
    </xf>
    <xf numFmtId="0" fontId="23" fillId="15" borderId="12" xfId="0" applyFont="1" applyFill="1" applyBorder="1" applyAlignment="1">
      <alignment horizontal="justify" vertical="center"/>
    </xf>
    <xf numFmtId="0" fontId="22" fillId="6" borderId="19" xfId="0" applyFont="1" applyFill="1" applyBorder="1"/>
    <xf numFmtId="0" fontId="22" fillId="6" borderId="12" xfId="0" applyFont="1" applyFill="1" applyBorder="1"/>
    <xf numFmtId="43" fontId="24" fillId="0" borderId="20" xfId="1" applyFont="1" applyFill="1" applyBorder="1" applyAlignment="1">
      <alignment horizontal="center" vertical="center" wrapText="1"/>
    </xf>
    <xf numFmtId="3" fontId="22" fillId="0" borderId="6" xfId="14" applyNumberFormat="1" applyFont="1" applyBorder="1" applyAlignment="1">
      <alignment horizontal="center" vertical="center" wrapText="1"/>
    </xf>
    <xf numFmtId="3" fontId="22" fillId="6" borderId="6" xfId="14" applyNumberFormat="1" applyFont="1" applyFill="1" applyBorder="1" applyAlignment="1">
      <alignment horizontal="center" vertical="center" wrapText="1"/>
    </xf>
    <xf numFmtId="0" fontId="22" fillId="6" borderId="23" xfId="0" applyFont="1" applyFill="1" applyBorder="1"/>
    <xf numFmtId="0" fontId="22" fillId="6" borderId="25" xfId="0" applyFont="1" applyFill="1" applyBorder="1"/>
    <xf numFmtId="177" fontId="22" fillId="6" borderId="6" xfId="14" applyFont="1" applyFill="1" applyBorder="1" applyAlignment="1">
      <alignment horizontal="justify" vertical="center" wrapText="1"/>
    </xf>
    <xf numFmtId="177" fontId="22" fillId="0" borderId="6" xfId="14" applyFont="1" applyBorder="1" applyAlignment="1">
      <alignment horizontal="justify" vertical="center" wrapText="1"/>
    </xf>
    <xf numFmtId="3" fontId="22" fillId="6" borderId="6" xfId="14" applyNumberFormat="1" applyFont="1" applyFill="1" applyBorder="1" applyAlignment="1">
      <alignment horizontal="center" vertical="center"/>
    </xf>
    <xf numFmtId="10" fontId="24" fillId="6" borderId="50" xfId="14" applyNumberFormat="1" applyFont="1" applyFill="1" applyBorder="1" applyAlignment="1">
      <alignment horizontal="center" vertical="center" wrapText="1"/>
    </xf>
    <xf numFmtId="0" fontId="22" fillId="6" borderId="6" xfId="14" applyNumberFormat="1" applyFont="1" applyFill="1" applyBorder="1" applyAlignment="1">
      <alignment horizontal="justify" vertical="center" wrapText="1"/>
    </xf>
    <xf numFmtId="43" fontId="24" fillId="0" borderId="6" xfId="1" applyFont="1" applyFill="1" applyBorder="1" applyAlignment="1">
      <alignment horizontal="center" vertical="center" wrapText="1"/>
    </xf>
    <xf numFmtId="0" fontId="30" fillId="6" borderId="6" xfId="14" applyNumberFormat="1" applyFont="1" applyFill="1" applyBorder="1" applyAlignment="1">
      <alignment horizontal="justify" vertical="center" wrapText="1"/>
    </xf>
    <xf numFmtId="0" fontId="30" fillId="6" borderId="20" xfId="14" applyNumberFormat="1" applyFont="1" applyFill="1" applyBorder="1" applyAlignment="1">
      <alignment horizontal="justify" vertical="center" wrapText="1"/>
    </xf>
    <xf numFmtId="43" fontId="24" fillId="0" borderId="51" xfId="1" applyFont="1" applyFill="1" applyBorder="1" applyAlignment="1">
      <alignment horizontal="center" vertical="center" wrapText="1"/>
    </xf>
    <xf numFmtId="0" fontId="30" fillId="0" borderId="50" xfId="14" applyNumberFormat="1" applyFont="1" applyFill="1" applyBorder="1" applyAlignment="1">
      <alignment horizontal="justify" vertical="center" wrapText="1"/>
    </xf>
    <xf numFmtId="177" fontId="22" fillId="6" borderId="25" xfId="14" applyFont="1" applyFill="1" applyBorder="1" applyAlignment="1">
      <alignment horizontal="center" vertical="center" wrapText="1"/>
    </xf>
    <xf numFmtId="43" fontId="24" fillId="0" borderId="27" xfId="1" applyFont="1" applyFill="1" applyBorder="1" applyAlignment="1">
      <alignment horizontal="center" vertical="center" wrapText="1"/>
    </xf>
    <xf numFmtId="3" fontId="22" fillId="0" borderId="27" xfId="14" applyNumberFormat="1" applyFont="1" applyBorder="1" applyAlignment="1">
      <alignment horizontal="center" vertical="center" wrapText="1"/>
    </xf>
    <xf numFmtId="3" fontId="22" fillId="6" borderId="27" xfId="14" applyNumberFormat="1" applyFont="1" applyFill="1" applyBorder="1" applyAlignment="1">
      <alignment horizontal="center" vertical="center" wrapText="1"/>
    </xf>
    <xf numFmtId="0" fontId="30" fillId="0" borderId="22" xfId="0" applyFont="1" applyFill="1" applyBorder="1" applyAlignment="1">
      <alignment horizontal="justify" vertical="center" wrapText="1"/>
    </xf>
    <xf numFmtId="3" fontId="22" fillId="0" borderId="20" xfId="14" applyNumberFormat="1" applyFont="1" applyBorder="1" applyAlignment="1">
      <alignment horizontal="center" vertical="center" wrapText="1"/>
    </xf>
    <xf numFmtId="3" fontId="22" fillId="6" borderId="20" xfId="14" applyNumberFormat="1" applyFont="1" applyFill="1" applyBorder="1" applyAlignment="1">
      <alignment horizontal="center" vertical="center" wrapText="1"/>
    </xf>
    <xf numFmtId="43" fontId="24" fillId="0" borderId="6" xfId="1" applyFont="1" applyFill="1" applyBorder="1" applyAlignment="1">
      <alignment horizontal="center" vertical="center"/>
    </xf>
    <xf numFmtId="0" fontId="22" fillId="6" borderId="21" xfId="0" applyFont="1" applyFill="1" applyBorder="1"/>
    <xf numFmtId="0" fontId="22" fillId="6" borderId="13" xfId="0" applyFont="1" applyFill="1" applyBorder="1"/>
    <xf numFmtId="0" fontId="23" fillId="15" borderId="0" xfId="0" applyFont="1" applyFill="1" applyAlignment="1">
      <alignment horizontal="justify" vertical="center" wrapText="1"/>
    </xf>
    <xf numFmtId="0" fontId="23" fillId="15" borderId="0" xfId="0" applyFont="1" applyFill="1" applyAlignment="1">
      <alignment horizontal="justify" vertical="center"/>
    </xf>
    <xf numFmtId="169" fontId="22" fillId="15" borderId="0" xfId="0" applyNumberFormat="1" applyFont="1" applyFill="1" applyAlignment="1">
      <alignment horizontal="center" vertical="center"/>
    </xf>
    <xf numFmtId="43" fontId="23" fillId="15" borderId="0" xfId="1" applyFont="1" applyFill="1" applyAlignment="1">
      <alignment vertical="center"/>
    </xf>
    <xf numFmtId="43" fontId="28" fillId="15" borderId="0" xfId="1" applyFont="1" applyFill="1" applyAlignment="1">
      <alignment horizontal="center" vertical="center"/>
    </xf>
    <xf numFmtId="170" fontId="23" fillId="15" borderId="0" xfId="0" applyNumberFormat="1" applyFont="1" applyFill="1" applyAlignment="1">
      <alignment horizontal="center" vertical="center"/>
    </xf>
    <xf numFmtId="0" fontId="23" fillId="15" borderId="0" xfId="0" applyFont="1" applyFill="1" applyAlignment="1">
      <alignment horizontal="center" vertical="center"/>
    </xf>
    <xf numFmtId="177" fontId="22" fillId="6" borderId="0" xfId="14" applyFont="1" applyFill="1" applyBorder="1" applyAlignment="1">
      <alignment horizontal="center" vertical="center" wrapText="1"/>
    </xf>
    <xf numFmtId="0" fontId="0" fillId="0" borderId="20" xfId="0" applyBorder="1" applyAlignment="1">
      <alignment horizontal="center" vertical="center" wrapText="1"/>
    </xf>
    <xf numFmtId="177" fontId="22" fillId="6" borderId="20" xfId="14" applyFont="1" applyFill="1" applyBorder="1" applyAlignment="1">
      <alignment horizontal="center" vertical="center" wrapText="1"/>
    </xf>
    <xf numFmtId="0" fontId="0" fillId="0" borderId="6" xfId="0" applyBorder="1" applyAlignment="1">
      <alignment horizontal="center" vertical="center" wrapText="1"/>
    </xf>
    <xf numFmtId="177" fontId="22" fillId="6" borderId="6" xfId="14" applyFont="1" applyFill="1" applyBorder="1" applyAlignment="1">
      <alignment horizontal="center" vertical="center" wrapText="1"/>
    </xf>
    <xf numFmtId="0" fontId="30" fillId="0" borderId="27" xfId="14" applyNumberFormat="1" applyFont="1" applyFill="1" applyBorder="1" applyAlignment="1">
      <alignment horizontal="justify" vertical="center" wrapText="1"/>
    </xf>
    <xf numFmtId="43" fontId="24" fillId="0" borderId="20" xfId="1" applyFont="1" applyFill="1" applyBorder="1" applyAlignment="1">
      <alignment horizontal="center" vertical="center"/>
    </xf>
    <xf numFmtId="43" fontId="24" fillId="0" borderId="50" xfId="1" applyFont="1" applyFill="1" applyBorder="1" applyAlignment="1">
      <alignment horizontal="center" vertical="center"/>
    </xf>
    <xf numFmtId="0" fontId="0" fillId="0" borderId="16" xfId="0" applyBorder="1" applyAlignment="1">
      <alignment horizontal="center" vertical="center" wrapText="1"/>
    </xf>
    <xf numFmtId="1" fontId="24" fillId="6" borderId="6" xfId="10" applyNumberFormat="1" applyFont="1" applyFill="1" applyBorder="1" applyAlignment="1">
      <alignment horizontal="center" vertical="center" wrapText="1"/>
    </xf>
    <xf numFmtId="1" fontId="22" fillId="0" borderId="6" xfId="14" applyNumberFormat="1" applyFont="1" applyBorder="1" applyAlignment="1">
      <alignment horizontal="center" vertical="center"/>
    </xf>
    <xf numFmtId="0" fontId="22" fillId="0" borderId="6" xfId="14" applyNumberFormat="1" applyFont="1" applyFill="1" applyBorder="1" applyAlignment="1">
      <alignment horizontal="justify" vertical="center" wrapText="1"/>
    </xf>
    <xf numFmtId="0" fontId="0" fillId="0" borderId="27" xfId="0" applyBorder="1" applyAlignment="1">
      <alignment horizontal="center" vertical="center" wrapText="1"/>
    </xf>
    <xf numFmtId="177" fontId="22" fillId="6" borderId="27" xfId="14" applyFont="1" applyFill="1" applyBorder="1" applyAlignment="1">
      <alignment horizontal="center" vertical="center" wrapText="1"/>
    </xf>
    <xf numFmtId="0" fontId="22" fillId="14" borderId="0" xfId="0" applyFont="1" applyFill="1" applyAlignment="1">
      <alignment vertical="center"/>
    </xf>
    <xf numFmtId="0" fontId="23" fillId="14" borderId="0" xfId="0" applyFont="1" applyFill="1" applyAlignment="1">
      <alignment horizontal="justify" vertical="center" wrapText="1"/>
    </xf>
    <xf numFmtId="169" fontId="22" fillId="14" borderId="0" xfId="0" applyNumberFormat="1" applyFont="1" applyFill="1" applyAlignment="1">
      <alignment horizontal="center" vertical="center"/>
    </xf>
    <xf numFmtId="43" fontId="23" fillId="14" borderId="0" xfId="1" applyFont="1" applyFill="1" applyAlignment="1">
      <alignment vertical="center"/>
    </xf>
    <xf numFmtId="43" fontId="28" fillId="14" borderId="0" xfId="1" applyFont="1" applyFill="1" applyAlignment="1">
      <alignment horizontal="center" vertical="center"/>
    </xf>
    <xf numFmtId="170" fontId="23" fillId="14" borderId="0" xfId="0" applyNumberFormat="1" applyFont="1" applyFill="1" applyAlignment="1">
      <alignment horizontal="center" vertical="center"/>
    </xf>
    <xf numFmtId="10" fontId="22" fillId="15" borderId="50" xfId="0" applyNumberFormat="1" applyFont="1" applyFill="1" applyBorder="1" applyAlignment="1">
      <alignment horizontal="center" vertical="center"/>
    </xf>
    <xf numFmtId="43" fontId="23" fillId="15" borderId="11" xfId="1" applyFont="1" applyFill="1" applyBorder="1" applyAlignment="1">
      <alignment vertical="center"/>
    </xf>
    <xf numFmtId="43" fontId="28" fillId="15" borderId="6" xfId="1" applyFont="1" applyFill="1" applyBorder="1" applyAlignment="1">
      <alignment horizontal="center" vertical="center"/>
    </xf>
    <xf numFmtId="170" fontId="23" fillId="15" borderId="16" xfId="0" applyNumberFormat="1" applyFont="1" applyFill="1" applyBorder="1" applyAlignment="1">
      <alignment horizontal="center" vertical="center"/>
    </xf>
    <xf numFmtId="0" fontId="22" fillId="6" borderId="11" xfId="0" applyFont="1" applyFill="1" applyBorder="1"/>
    <xf numFmtId="0" fontId="0" fillId="6" borderId="19" xfId="0" applyFill="1" applyBorder="1"/>
    <xf numFmtId="0" fontId="0" fillId="6" borderId="12" xfId="0" applyFill="1" applyBorder="1"/>
    <xf numFmtId="177" fontId="22" fillId="6" borderId="20" xfId="14" applyFont="1" applyFill="1" applyBorder="1" applyAlignment="1">
      <alignment horizontal="center" vertical="center"/>
    </xf>
    <xf numFmtId="0" fontId="0" fillId="6" borderId="0" xfId="0" applyFill="1"/>
    <xf numFmtId="0" fontId="0" fillId="6" borderId="23" xfId="0" applyFill="1" applyBorder="1"/>
    <xf numFmtId="0" fontId="0" fillId="6" borderId="25" xfId="0" applyFill="1" applyBorder="1"/>
    <xf numFmtId="177" fontId="22" fillId="6" borderId="6" xfId="14" applyFont="1" applyFill="1" applyBorder="1" applyAlignment="1">
      <alignment horizontal="center" vertical="center"/>
    </xf>
    <xf numFmtId="0" fontId="0" fillId="6" borderId="9" xfId="0" applyFill="1" applyBorder="1"/>
    <xf numFmtId="0" fontId="0" fillId="6" borderId="21" xfId="0" applyFill="1" applyBorder="1"/>
    <xf numFmtId="0" fontId="0" fillId="6" borderId="13" xfId="0" applyFill="1" applyBorder="1"/>
    <xf numFmtId="43" fontId="24" fillId="6" borderId="14" xfId="1" applyFont="1" applyFill="1" applyBorder="1" applyAlignment="1">
      <alignment horizontal="center" vertical="center" wrapText="1"/>
    </xf>
    <xf numFmtId="0" fontId="22" fillId="15" borderId="9" xfId="0" applyFont="1" applyFill="1" applyBorder="1" applyAlignment="1">
      <alignment vertical="center"/>
    </xf>
    <xf numFmtId="10" fontId="22" fillId="15" borderId="54" xfId="0" applyNumberFormat="1" applyFont="1" applyFill="1" applyBorder="1" applyAlignment="1">
      <alignment horizontal="center" vertical="center"/>
    </xf>
    <xf numFmtId="43" fontId="28" fillId="15" borderId="0" xfId="1" applyFont="1" applyFill="1" applyAlignment="1">
      <alignment horizontal="center" vertical="center" wrapText="1"/>
    </xf>
    <xf numFmtId="170" fontId="23" fillId="15" borderId="20" xfId="0" applyNumberFormat="1" applyFont="1" applyFill="1" applyBorder="1" applyAlignment="1">
      <alignment horizontal="center" vertical="center"/>
    </xf>
    <xf numFmtId="43" fontId="24" fillId="0" borderId="14" xfId="1" applyFont="1" applyFill="1" applyBorder="1" applyAlignment="1">
      <alignment horizontal="center" vertical="center"/>
    </xf>
    <xf numFmtId="3" fontId="22" fillId="0" borderId="50" xfId="14" applyNumberFormat="1" applyFont="1" applyBorder="1" applyAlignment="1">
      <alignment horizontal="center" vertical="center" wrapText="1"/>
    </xf>
    <xf numFmtId="177" fontId="22" fillId="6" borderId="50" xfId="14" applyFont="1" applyFill="1" applyBorder="1" applyAlignment="1">
      <alignment horizontal="center" vertical="center" wrapText="1"/>
    </xf>
    <xf numFmtId="3" fontId="22" fillId="0" borderId="50" xfId="14" applyNumberFormat="1" applyFont="1" applyBorder="1" applyAlignment="1">
      <alignment horizontal="center" vertical="center"/>
    </xf>
    <xf numFmtId="0" fontId="30" fillId="0" borderId="20" xfId="0" applyFont="1" applyFill="1" applyBorder="1" applyAlignment="1">
      <alignment horizontal="justify" vertical="center" wrapText="1"/>
    </xf>
    <xf numFmtId="43" fontId="24" fillId="6" borderId="14" xfId="1" applyFont="1" applyFill="1" applyBorder="1" applyAlignment="1">
      <alignment horizontal="center" vertical="center"/>
    </xf>
    <xf numFmtId="170" fontId="23" fillId="15" borderId="9" xfId="0" applyNumberFormat="1" applyFont="1" applyFill="1" applyBorder="1" applyAlignment="1">
      <alignment horizontal="center" vertical="center"/>
    </xf>
    <xf numFmtId="171" fontId="23" fillId="15" borderId="16" xfId="0" applyNumberFormat="1" applyFont="1" applyFill="1" applyBorder="1" applyAlignment="1">
      <alignment vertical="center"/>
    </xf>
    <xf numFmtId="1" fontId="22" fillId="0" borderId="20" xfId="14" applyNumberFormat="1" applyFont="1" applyBorder="1" applyAlignment="1">
      <alignment horizontal="center" vertical="center" wrapText="1"/>
    </xf>
    <xf numFmtId="1" fontId="22" fillId="0" borderId="6" xfId="14" applyNumberFormat="1" applyFont="1" applyFill="1" applyBorder="1" applyAlignment="1">
      <alignment horizontal="center" vertical="center"/>
    </xf>
    <xf numFmtId="3" fontId="22" fillId="0" borderId="6" xfId="14" applyNumberFormat="1" applyFont="1" applyFill="1" applyBorder="1" applyAlignment="1">
      <alignment horizontal="center" vertical="center"/>
    </xf>
    <xf numFmtId="1" fontId="22" fillId="0" borderId="20" xfId="14" applyNumberFormat="1" applyFont="1" applyBorder="1" applyAlignment="1">
      <alignment horizontal="center" vertical="center"/>
    </xf>
    <xf numFmtId="1" fontId="22" fillId="0" borderId="50" xfId="14" applyNumberFormat="1" applyFont="1" applyBorder="1" applyAlignment="1">
      <alignment horizontal="center" vertical="center"/>
    </xf>
    <xf numFmtId="3" fontId="22" fillId="6" borderId="50" xfId="14" applyNumberFormat="1" applyFont="1" applyFill="1" applyBorder="1" applyAlignment="1">
      <alignment horizontal="center" vertical="center"/>
    </xf>
    <xf numFmtId="1" fontId="22" fillId="0" borderId="54" xfId="14" applyNumberFormat="1" applyFont="1" applyFill="1" applyBorder="1" applyAlignment="1">
      <alignment horizontal="center" vertical="center"/>
    </xf>
    <xf numFmtId="3" fontId="22" fillId="0" borderId="50" xfId="14" applyNumberFormat="1" applyFont="1" applyFill="1" applyBorder="1" applyAlignment="1">
      <alignment horizontal="center" vertical="center"/>
    </xf>
    <xf numFmtId="170" fontId="23" fillId="14" borderId="0" xfId="0" applyNumberFormat="1" applyFont="1" applyFill="1" applyBorder="1" applyAlignment="1">
      <alignment horizontal="center" vertical="center"/>
    </xf>
    <xf numFmtId="43" fontId="28" fillId="15" borderId="11" xfId="1" applyFont="1" applyFill="1" applyBorder="1" applyAlignment="1">
      <alignment horizontal="center" vertical="center"/>
    </xf>
    <xf numFmtId="1" fontId="22" fillId="0" borderId="6" xfId="14" applyNumberFormat="1" applyFont="1" applyBorder="1" applyAlignment="1">
      <alignment horizontal="center" vertical="center" wrapText="1"/>
    </xf>
    <xf numFmtId="1" fontId="22" fillId="0" borderId="20" xfId="14" applyNumberFormat="1" applyFont="1" applyFill="1" applyBorder="1" applyAlignment="1">
      <alignment horizontal="center" vertical="center" wrapText="1"/>
    </xf>
    <xf numFmtId="3" fontId="22" fillId="0" borderId="20" xfId="14" applyNumberFormat="1" applyFont="1" applyFill="1" applyBorder="1" applyAlignment="1">
      <alignment horizontal="center" vertical="center"/>
    </xf>
    <xf numFmtId="0" fontId="30" fillId="6" borderId="14" xfId="14" applyNumberFormat="1" applyFont="1" applyFill="1" applyBorder="1" applyAlignment="1">
      <alignment horizontal="justify" vertical="center" wrapText="1"/>
    </xf>
    <xf numFmtId="1" fontId="22" fillId="0" borderId="50" xfId="14" applyNumberFormat="1" applyFont="1" applyFill="1" applyBorder="1" applyAlignment="1">
      <alignment horizontal="center" vertical="center"/>
    </xf>
    <xf numFmtId="0" fontId="30" fillId="6" borderId="19" xfId="14" applyNumberFormat="1" applyFont="1" applyFill="1" applyBorder="1" applyAlignment="1">
      <alignment horizontal="justify" vertical="center" wrapText="1"/>
    </xf>
    <xf numFmtId="43" fontId="24" fillId="0" borderId="13" xfId="1" applyFont="1" applyFill="1" applyBorder="1" applyAlignment="1">
      <alignment horizontal="center" vertical="center"/>
    </xf>
    <xf numFmtId="1" fontId="22" fillId="0" borderId="27" xfId="14" applyNumberFormat="1" applyFont="1" applyFill="1" applyBorder="1" applyAlignment="1">
      <alignment horizontal="center" vertical="center"/>
    </xf>
    <xf numFmtId="3" fontId="22" fillId="0" borderId="27" xfId="14" applyNumberFormat="1" applyFont="1" applyFill="1" applyBorder="1" applyAlignment="1">
      <alignment horizontal="center" vertical="center"/>
    </xf>
    <xf numFmtId="43" fontId="24" fillId="0" borderId="12" xfId="1" applyFont="1" applyFill="1" applyBorder="1" applyAlignment="1">
      <alignment horizontal="center" vertical="center"/>
    </xf>
    <xf numFmtId="1" fontId="22" fillId="0" borderId="20" xfId="14" applyNumberFormat="1" applyFont="1" applyFill="1" applyBorder="1" applyAlignment="1">
      <alignment horizontal="center" vertical="center"/>
    </xf>
    <xf numFmtId="43" fontId="24" fillId="0" borderId="16" xfId="1" applyFont="1" applyFill="1" applyBorder="1" applyAlignment="1">
      <alignment horizontal="center" vertical="center"/>
    </xf>
    <xf numFmtId="43" fontId="24" fillId="0" borderId="60" xfId="1" applyFont="1" applyFill="1" applyBorder="1" applyAlignment="1">
      <alignment horizontal="center" vertical="center"/>
    </xf>
    <xf numFmtId="43" fontId="24" fillId="0" borderId="65" xfId="1" applyFont="1" applyFill="1" applyBorder="1" applyAlignment="1">
      <alignment horizontal="center" vertical="center"/>
    </xf>
    <xf numFmtId="0" fontId="22" fillId="0" borderId="50" xfId="0" applyFont="1" applyFill="1" applyBorder="1" applyAlignment="1">
      <alignment horizontal="justify" vertical="center"/>
    </xf>
    <xf numFmtId="43" fontId="24" fillId="0" borderId="50" xfId="1" applyFont="1" applyBorder="1" applyAlignment="1">
      <alignment horizontal="center" vertical="center" wrapText="1"/>
    </xf>
    <xf numFmtId="43" fontId="24" fillId="0" borderId="0" xfId="1" applyFont="1" applyBorder="1" applyAlignment="1">
      <alignment horizontal="center" vertical="center" wrapText="1"/>
    </xf>
    <xf numFmtId="3" fontId="22" fillId="0" borderId="13" xfId="14" applyNumberFormat="1" applyFont="1" applyFill="1" applyBorder="1" applyAlignment="1">
      <alignment horizontal="center" vertical="center"/>
    </xf>
    <xf numFmtId="0" fontId="30" fillId="0" borderId="6" xfId="14" applyNumberFormat="1" applyFont="1" applyFill="1" applyBorder="1" applyAlignment="1">
      <alignment horizontal="center" vertical="center" wrapText="1"/>
    </xf>
    <xf numFmtId="43" fontId="24" fillId="0" borderId="27" xfId="1" applyFont="1" applyFill="1" applyBorder="1" applyAlignment="1">
      <alignment horizontal="center" vertical="center"/>
    </xf>
    <xf numFmtId="0" fontId="30" fillId="0" borderId="6" xfId="14" applyNumberFormat="1" applyFont="1" applyBorder="1" applyAlignment="1">
      <alignment horizontal="justify" vertical="center" wrapText="1"/>
    </xf>
    <xf numFmtId="43" fontId="24" fillId="6" borderId="6" xfId="1" applyFont="1" applyFill="1" applyBorder="1" applyAlignment="1">
      <alignment horizontal="center" vertical="center"/>
    </xf>
    <xf numFmtId="1" fontId="23" fillId="14" borderId="6" xfId="0" applyNumberFormat="1" applyFont="1" applyFill="1" applyBorder="1" applyAlignment="1">
      <alignment vertical="center"/>
    </xf>
    <xf numFmtId="1" fontId="23" fillId="14" borderId="11" xfId="0" applyNumberFormat="1" applyFont="1" applyFill="1" applyBorder="1" applyAlignment="1">
      <alignment vertical="center"/>
    </xf>
    <xf numFmtId="3" fontId="22" fillId="6" borderId="20" xfId="14" applyNumberFormat="1" applyFont="1" applyFill="1" applyBorder="1" applyAlignment="1">
      <alignment horizontal="center" vertical="center"/>
    </xf>
    <xf numFmtId="1" fontId="22" fillId="0" borderId="27" xfId="14" applyNumberFormat="1" applyFont="1" applyBorder="1" applyAlignment="1">
      <alignment horizontal="center" vertical="center"/>
    </xf>
    <xf numFmtId="3" fontId="22" fillId="6" borderId="27" xfId="14" applyNumberFormat="1" applyFont="1" applyFill="1" applyBorder="1" applyAlignment="1">
      <alignment horizontal="center" vertical="center"/>
    </xf>
    <xf numFmtId="43" fontId="23" fillId="14" borderId="6" xfId="1" applyFont="1" applyFill="1" applyBorder="1" applyAlignment="1">
      <alignment vertical="center"/>
    </xf>
    <xf numFmtId="1" fontId="23" fillId="14" borderId="6" xfId="0" applyNumberFormat="1" applyFont="1" applyFill="1" applyBorder="1" applyAlignment="1">
      <alignment horizontal="justify" vertical="center"/>
    </xf>
    <xf numFmtId="43" fontId="28" fillId="14" borderId="6" xfId="1" applyFont="1" applyFill="1" applyBorder="1" applyAlignment="1">
      <alignment horizontal="center" vertical="center"/>
    </xf>
    <xf numFmtId="0" fontId="22" fillId="6" borderId="6" xfId="0" applyFont="1" applyFill="1" applyBorder="1" applyAlignment="1">
      <alignment horizontal="justify" vertical="center" wrapText="1" readingOrder="2"/>
    </xf>
    <xf numFmtId="49" fontId="22" fillId="0" borderId="20" xfId="14" applyNumberFormat="1" applyFont="1" applyBorder="1" applyAlignment="1">
      <alignment horizontal="center" vertical="center" wrapText="1"/>
    </xf>
    <xf numFmtId="0" fontId="30" fillId="6" borderId="6" xfId="0" applyFont="1" applyFill="1" applyBorder="1" applyAlignment="1">
      <alignment horizontal="justify" vertical="center" wrapText="1" readingOrder="2"/>
    </xf>
    <xf numFmtId="49" fontId="22" fillId="0" borderId="6" xfId="14" applyNumberFormat="1" applyFont="1" applyBorder="1" applyAlignment="1">
      <alignment horizontal="center" vertical="center"/>
    </xf>
    <xf numFmtId="49" fontId="22" fillId="0" borderId="27" xfId="14" applyNumberFormat="1" applyFont="1" applyBorder="1" applyAlignment="1">
      <alignment horizontal="center" vertical="center"/>
    </xf>
    <xf numFmtId="0" fontId="23" fillId="13" borderId="0" xfId="0" applyFont="1" applyFill="1" applyAlignment="1">
      <alignment horizontal="justify" vertical="center" wrapText="1"/>
    </xf>
    <xf numFmtId="0" fontId="23" fillId="13" borderId="0" xfId="0" applyFont="1" applyFill="1" applyAlignment="1">
      <alignment horizontal="justify" vertical="center"/>
    </xf>
    <xf numFmtId="0" fontId="23" fillId="13" borderId="0" xfId="0" applyFont="1" applyFill="1" applyAlignment="1">
      <alignment vertical="center"/>
    </xf>
    <xf numFmtId="169" fontId="22" fillId="13" borderId="0" xfId="0" applyNumberFormat="1" applyFont="1" applyFill="1" applyAlignment="1">
      <alignment horizontal="center" vertical="center"/>
    </xf>
    <xf numFmtId="43" fontId="23" fillId="13" borderId="0" xfId="1" applyFont="1" applyFill="1" applyAlignment="1">
      <alignment vertical="center"/>
    </xf>
    <xf numFmtId="43" fontId="28" fillId="13" borderId="0" xfId="1" applyFont="1" applyFill="1" applyAlignment="1">
      <alignment horizontal="center" vertical="center"/>
    </xf>
    <xf numFmtId="170" fontId="23" fillId="13" borderId="12" xfId="0" applyNumberFormat="1" applyFont="1" applyFill="1" applyBorder="1" applyAlignment="1">
      <alignment horizontal="center" vertical="center"/>
    </xf>
    <xf numFmtId="43" fontId="23" fillId="14" borderId="11" xfId="1" applyFont="1" applyFill="1" applyBorder="1" applyAlignment="1">
      <alignment vertical="center"/>
    </xf>
    <xf numFmtId="43" fontId="28" fillId="14" borderId="11" xfId="1" applyFont="1" applyFill="1" applyBorder="1" applyAlignment="1">
      <alignment horizontal="center" vertical="center"/>
    </xf>
    <xf numFmtId="1" fontId="23" fillId="15" borderId="11" xfId="0" applyNumberFormat="1" applyFont="1" applyFill="1" applyBorder="1" applyAlignment="1">
      <alignment horizontal="left" vertical="center" wrapText="1" indent="1"/>
    </xf>
    <xf numFmtId="169" fontId="22" fillId="15" borderId="15" xfId="0" applyNumberFormat="1" applyFont="1" applyFill="1" applyBorder="1" applyAlignment="1">
      <alignment horizontal="center" vertical="center"/>
    </xf>
    <xf numFmtId="43" fontId="23" fillId="15" borderId="15" xfId="1" applyFont="1" applyFill="1" applyBorder="1" applyAlignment="1">
      <alignment vertical="center"/>
    </xf>
    <xf numFmtId="43" fontId="28" fillId="15" borderId="15" xfId="1" applyFont="1" applyFill="1" applyBorder="1" applyAlignment="1">
      <alignment horizontal="center" vertical="center"/>
    </xf>
    <xf numFmtId="0" fontId="0" fillId="6" borderId="11" xfId="0" applyFill="1" applyBorder="1"/>
    <xf numFmtId="177" fontId="23" fillId="6" borderId="6" xfId="14" applyFont="1" applyFill="1" applyBorder="1" applyAlignment="1">
      <alignment horizontal="justify" vertical="center" wrapText="1"/>
    </xf>
    <xf numFmtId="0" fontId="6" fillId="6" borderId="6" xfId="0" applyFont="1" applyFill="1" applyBorder="1" applyAlignment="1">
      <alignment horizontal="justify" vertical="center" wrapText="1"/>
    </xf>
    <xf numFmtId="43" fontId="28" fillId="6" borderId="6" xfId="1" applyFont="1" applyFill="1" applyBorder="1" applyAlignment="1">
      <alignment horizontal="center" vertical="center"/>
    </xf>
    <xf numFmtId="1" fontId="23" fillId="0" borderId="6" xfId="14" applyNumberFormat="1" applyFont="1" applyBorder="1" applyAlignment="1">
      <alignment horizontal="center" vertical="center"/>
    </xf>
    <xf numFmtId="3" fontId="23" fillId="6" borderId="6" xfId="14" applyNumberFormat="1" applyFont="1" applyFill="1" applyBorder="1" applyAlignment="1">
      <alignment horizontal="center" vertical="center"/>
    </xf>
    <xf numFmtId="0" fontId="39" fillId="0" borderId="6" xfId="0" applyFont="1" applyBorder="1" applyAlignment="1">
      <alignment vertical="center"/>
    </xf>
    <xf numFmtId="14" fontId="23" fillId="0" borderId="6" xfId="0" applyNumberFormat="1" applyFont="1" applyBorder="1" applyAlignment="1">
      <alignment vertical="center"/>
    </xf>
    <xf numFmtId="0" fontId="39" fillId="0" borderId="6" xfId="0" applyFont="1" applyBorder="1" applyAlignment="1">
      <alignment horizontal="left" vertical="center"/>
    </xf>
    <xf numFmtId="0" fontId="4" fillId="6" borderId="0" xfId="0" applyFont="1" applyFill="1" applyAlignment="1">
      <alignment horizontal="justify" vertical="center" wrapText="1"/>
    </xf>
    <xf numFmtId="170" fontId="4" fillId="6" borderId="0" xfId="0" applyNumberFormat="1" applyFont="1" applyFill="1" applyAlignment="1">
      <alignment vertical="center"/>
    </xf>
    <xf numFmtId="41" fontId="8" fillId="6" borderId="0" xfId="0" applyNumberFormat="1" applyFont="1" applyFill="1" applyAlignment="1">
      <alignment horizontal="center" vertical="center"/>
    </xf>
    <xf numFmtId="170" fontId="4" fillId="6" borderId="9" xfId="0" applyNumberFormat="1" applyFont="1" applyFill="1" applyBorder="1" applyAlignment="1">
      <alignment vertical="center"/>
    </xf>
    <xf numFmtId="0" fontId="6" fillId="0" borderId="0" xfId="0" applyFont="1" applyBorder="1"/>
    <xf numFmtId="0" fontId="28" fillId="0" borderId="6" xfId="0" applyFont="1" applyBorder="1"/>
    <xf numFmtId="0" fontId="24" fillId="0" borderId="0" xfId="0" applyFont="1"/>
    <xf numFmtId="167" fontId="28" fillId="0" borderId="6" xfId="0" applyNumberFormat="1" applyFont="1" applyBorder="1" applyAlignment="1">
      <alignment horizontal="left"/>
    </xf>
    <xf numFmtId="17" fontId="28" fillId="0" borderId="6" xfId="0" applyNumberFormat="1" applyFont="1" applyBorder="1" applyAlignment="1">
      <alignment horizontal="left"/>
    </xf>
    <xf numFmtId="3" fontId="28" fillId="2" borderId="6" xfId="0" applyNumberFormat="1" applyFont="1" applyFill="1" applyBorder="1" applyAlignment="1">
      <alignment horizontal="left" vertical="center" wrapText="1"/>
    </xf>
    <xf numFmtId="0" fontId="24" fillId="0" borderId="0" xfId="0" applyFont="1" applyAlignment="1">
      <alignment wrapText="1"/>
    </xf>
    <xf numFmtId="0" fontId="29" fillId="0" borderId="0" xfId="0" applyFont="1"/>
    <xf numFmtId="0" fontId="28" fillId="3" borderId="14" xfId="0" applyFont="1" applyFill="1" applyBorder="1" applyAlignment="1">
      <alignment horizontal="center" vertical="center" textRotation="90" wrapText="1"/>
    </xf>
    <xf numFmtId="0" fontId="28" fillId="3" borderId="21" xfId="0" applyFont="1" applyFill="1" applyBorder="1" applyAlignment="1">
      <alignment horizontal="center" vertical="center" textRotation="90" wrapText="1"/>
    </xf>
    <xf numFmtId="0" fontId="35" fillId="12" borderId="6" xfId="0" applyFont="1" applyFill="1" applyBorder="1" applyAlignment="1">
      <alignment horizontal="center" vertical="center" wrapText="1"/>
    </xf>
    <xf numFmtId="3" fontId="28" fillId="12" borderId="40" xfId="0" applyNumberFormat="1" applyFont="1" applyFill="1" applyBorder="1" applyAlignment="1">
      <alignment horizontal="center" vertical="center" wrapText="1"/>
    </xf>
    <xf numFmtId="0" fontId="28" fillId="13" borderId="38" xfId="26" applyFont="1" applyFill="1" applyBorder="1" applyAlignment="1">
      <alignment horizontal="center" vertical="center" wrapText="1"/>
    </xf>
    <xf numFmtId="0" fontId="28" fillId="13" borderId="15" xfId="26" applyFont="1" applyFill="1" applyBorder="1" applyAlignment="1">
      <alignment vertical="center"/>
    </xf>
    <xf numFmtId="0" fontId="28" fillId="13" borderId="15" xfId="26" applyFont="1" applyFill="1" applyBorder="1" applyAlignment="1">
      <alignment horizontal="justify" vertical="center"/>
    </xf>
    <xf numFmtId="0" fontId="28" fillId="13" borderId="15" xfId="26" applyFont="1" applyFill="1" applyBorder="1" applyAlignment="1">
      <alignment horizontal="center" vertical="center"/>
    </xf>
    <xf numFmtId="0" fontId="24" fillId="13" borderId="15" xfId="26" applyFont="1" applyFill="1" applyBorder="1" applyAlignment="1">
      <alignment vertical="center"/>
    </xf>
    <xf numFmtId="0" fontId="28" fillId="13" borderId="15" xfId="5" applyNumberFormat="1" applyFont="1" applyFill="1" applyBorder="1" applyAlignment="1">
      <alignment vertical="center"/>
    </xf>
    <xf numFmtId="173" fontId="28" fillId="13" borderId="15" xfId="5" applyNumberFormat="1" applyFont="1" applyFill="1" applyBorder="1" applyAlignment="1">
      <alignment vertical="center"/>
    </xf>
    <xf numFmtId="0" fontId="28" fillId="13" borderId="15" xfId="5" applyNumberFormat="1" applyFont="1" applyFill="1" applyBorder="1" applyAlignment="1">
      <alignment horizontal="center" vertical="center"/>
    </xf>
    <xf numFmtId="0" fontId="28" fillId="13" borderId="17" xfId="26" applyFont="1" applyFill="1" applyBorder="1" applyAlignment="1">
      <alignment vertical="center"/>
    </xf>
    <xf numFmtId="0" fontId="24" fillId="0" borderId="0" xfId="26" applyFont="1"/>
    <xf numFmtId="0" fontId="28" fillId="14" borderId="11" xfId="26" applyFont="1" applyFill="1" applyBorder="1" applyAlignment="1">
      <alignment horizontal="center" vertical="center"/>
    </xf>
    <xf numFmtId="0" fontId="28" fillId="14" borderId="11" xfId="26" applyFont="1" applyFill="1" applyBorder="1" applyAlignment="1">
      <alignment vertical="center"/>
    </xf>
    <xf numFmtId="0" fontId="28" fillId="14" borderId="15" xfId="26" applyFont="1" applyFill="1" applyBorder="1" applyAlignment="1">
      <alignment vertical="center"/>
    </xf>
    <xf numFmtId="0" fontId="28" fillId="14" borderId="15" xfId="26" applyFont="1" applyFill="1" applyBorder="1" applyAlignment="1">
      <alignment horizontal="justify" vertical="center"/>
    </xf>
    <xf numFmtId="0" fontId="28" fillId="14" borderId="15" xfId="26" applyFont="1" applyFill="1" applyBorder="1" applyAlignment="1">
      <alignment horizontal="center" vertical="center"/>
    </xf>
    <xf numFmtId="0" fontId="24" fillId="14" borderId="15" xfId="26" applyFont="1" applyFill="1" applyBorder="1" applyAlignment="1">
      <alignment vertical="center"/>
    </xf>
    <xf numFmtId="0" fontId="28" fillId="14" borderId="15" xfId="5" applyNumberFormat="1" applyFont="1" applyFill="1" applyBorder="1" applyAlignment="1">
      <alignment vertical="center"/>
    </xf>
    <xf numFmtId="173" fontId="28" fillId="14" borderId="15" xfId="5" applyNumberFormat="1" applyFont="1" applyFill="1" applyBorder="1" applyAlignment="1">
      <alignment vertical="center"/>
    </xf>
    <xf numFmtId="0" fontId="28" fillId="14" borderId="15" xfId="5" applyNumberFormat="1" applyFont="1" applyFill="1" applyBorder="1" applyAlignment="1">
      <alignment horizontal="center" vertical="center"/>
    </xf>
    <xf numFmtId="0" fontId="28" fillId="14" borderId="17" xfId="26" applyFont="1" applyFill="1" applyBorder="1" applyAlignment="1">
      <alignment vertical="center"/>
    </xf>
    <xf numFmtId="0" fontId="28" fillId="0" borderId="5" xfId="26" applyFont="1" applyBorder="1" applyAlignment="1">
      <alignment vertical="center" wrapText="1"/>
    </xf>
    <xf numFmtId="0" fontId="28" fillId="0" borderId="0" xfId="26" applyFont="1" applyAlignment="1">
      <alignment vertical="center" wrapText="1"/>
    </xf>
    <xf numFmtId="0" fontId="28" fillId="0" borderId="25" xfId="26" applyFont="1" applyBorder="1" applyAlignment="1">
      <alignment vertical="center" wrapText="1"/>
    </xf>
    <xf numFmtId="0" fontId="28" fillId="0" borderId="11" xfId="26" applyFont="1" applyBorder="1" applyAlignment="1">
      <alignment vertical="center" wrapText="1"/>
    </xf>
    <xf numFmtId="0" fontId="28" fillId="0" borderId="12" xfId="26" applyFont="1" applyBorder="1" applyAlignment="1">
      <alignment vertical="center" wrapText="1"/>
    </xf>
    <xf numFmtId="0" fontId="28" fillId="24" borderId="15" xfId="26" applyFont="1" applyFill="1" applyBorder="1" applyAlignment="1">
      <alignment horizontal="center" vertical="center" wrapText="1"/>
    </xf>
    <xf numFmtId="0" fontId="28" fillId="24" borderId="15" xfId="26" applyFont="1" applyFill="1" applyBorder="1" applyAlignment="1">
      <alignment vertical="center"/>
    </xf>
    <xf numFmtId="0" fontId="28" fillId="24" borderId="15" xfId="26" applyFont="1" applyFill="1" applyBorder="1" applyAlignment="1">
      <alignment horizontal="justify" vertical="center"/>
    </xf>
    <xf numFmtId="0" fontId="28" fillId="24" borderId="15" xfId="26" applyFont="1" applyFill="1" applyBorder="1" applyAlignment="1">
      <alignment horizontal="center" vertical="center"/>
    </xf>
    <xf numFmtId="0" fontId="24" fillId="24" borderId="15" xfId="26" applyFont="1" applyFill="1" applyBorder="1" applyAlignment="1">
      <alignment vertical="center"/>
    </xf>
    <xf numFmtId="0" fontId="28" fillId="24" borderId="15" xfId="5" applyNumberFormat="1" applyFont="1" applyFill="1" applyBorder="1" applyAlignment="1">
      <alignment vertical="center"/>
    </xf>
    <xf numFmtId="173" fontId="28" fillId="24" borderId="15" xfId="5" applyNumberFormat="1" applyFont="1" applyFill="1" applyBorder="1" applyAlignment="1">
      <alignment vertical="center"/>
    </xf>
    <xf numFmtId="0" fontId="28" fillId="24" borderId="15" xfId="5" applyNumberFormat="1" applyFont="1" applyFill="1" applyBorder="1" applyAlignment="1">
      <alignment horizontal="center" vertical="center"/>
    </xf>
    <xf numFmtId="0" fontId="28" fillId="24" borderId="17" xfId="26" applyFont="1" applyFill="1" applyBorder="1" applyAlignment="1">
      <alignment vertical="center"/>
    </xf>
    <xf numFmtId="0" fontId="24" fillId="6" borderId="5" xfId="26" applyFont="1" applyFill="1" applyBorder="1" applyAlignment="1">
      <alignment vertical="center" wrapText="1"/>
    </xf>
    <xf numFmtId="0" fontId="24" fillId="6" borderId="0" xfId="26" applyFont="1" applyFill="1" applyAlignment="1">
      <alignment vertical="center" wrapText="1"/>
    </xf>
    <xf numFmtId="0" fontId="24" fillId="6" borderId="25" xfId="26" applyFont="1" applyFill="1" applyBorder="1" applyAlignment="1">
      <alignment vertical="center" wrapText="1"/>
    </xf>
    <xf numFmtId="0" fontId="24" fillId="6" borderId="19" xfId="26" applyFont="1" applyFill="1" applyBorder="1" applyAlignment="1">
      <alignment vertical="center" wrapText="1"/>
    </xf>
    <xf numFmtId="0" fontId="24" fillId="6" borderId="11" xfId="26" applyFont="1" applyFill="1" applyBorder="1" applyAlignment="1">
      <alignment vertical="center" wrapText="1"/>
    </xf>
    <xf numFmtId="0" fontId="24" fillId="6" borderId="12" xfId="26" applyFont="1" applyFill="1" applyBorder="1" applyAlignment="1">
      <alignment vertical="center" wrapText="1"/>
    </xf>
    <xf numFmtId="1" fontId="24" fillId="6" borderId="6" xfId="26" applyNumberFormat="1" applyFont="1" applyFill="1" applyBorder="1" applyAlignment="1">
      <alignment horizontal="center" vertical="center" wrapText="1"/>
    </xf>
    <xf numFmtId="0" fontId="24" fillId="6" borderId="0" xfId="26" applyFont="1" applyFill="1"/>
    <xf numFmtId="0" fontId="24" fillId="6" borderId="23" xfId="26" applyFont="1" applyFill="1" applyBorder="1" applyAlignment="1">
      <alignment vertical="center" wrapText="1"/>
    </xf>
    <xf numFmtId="49" fontId="24" fillId="6" borderId="6" xfId="27" applyNumberFormat="1" applyFont="1" applyFill="1" applyBorder="1" applyAlignment="1">
      <alignment horizontal="justify" vertical="center" wrapText="1"/>
    </xf>
    <xf numFmtId="0" fontId="24" fillId="6" borderId="9" xfId="26" applyFont="1" applyFill="1" applyBorder="1" applyAlignment="1">
      <alignment vertical="center" wrapText="1"/>
    </xf>
    <xf numFmtId="0" fontId="24" fillId="6" borderId="13" xfId="26" applyFont="1" applyFill="1" applyBorder="1" applyAlignment="1">
      <alignment vertical="center" wrapText="1"/>
    </xf>
    <xf numFmtId="0" fontId="24" fillId="6" borderId="21" xfId="26" applyFont="1" applyFill="1" applyBorder="1" applyAlignment="1">
      <alignment vertical="center" wrapText="1"/>
    </xf>
    <xf numFmtId="0" fontId="24" fillId="0" borderId="25" xfId="26" applyFont="1" applyBorder="1"/>
    <xf numFmtId="0" fontId="28" fillId="14" borderId="15" xfId="26" applyFont="1" applyFill="1" applyBorder="1" applyAlignment="1">
      <alignment horizontal="justify" vertical="center" wrapText="1"/>
    </xf>
    <xf numFmtId="0" fontId="28" fillId="14" borderId="16" xfId="26" applyFont="1" applyFill="1" applyBorder="1" applyAlignment="1">
      <alignment vertical="center"/>
    </xf>
    <xf numFmtId="0" fontId="28" fillId="14" borderId="14" xfId="26" applyFont="1" applyFill="1" applyBorder="1" applyAlignment="1">
      <alignment vertical="center"/>
    </xf>
    <xf numFmtId="43" fontId="28" fillId="14" borderId="15" xfId="5" applyFont="1" applyFill="1" applyBorder="1" applyAlignment="1">
      <alignment horizontal="center" vertical="center"/>
    </xf>
    <xf numFmtId="43" fontId="24" fillId="14" borderId="15" xfId="5" applyFont="1" applyFill="1" applyBorder="1" applyAlignment="1">
      <alignment vertical="center"/>
    </xf>
    <xf numFmtId="1" fontId="28" fillId="14" borderId="15" xfId="26" applyNumberFormat="1" applyFont="1" applyFill="1" applyBorder="1" applyAlignment="1">
      <alignment horizontal="center" vertical="center"/>
    </xf>
    <xf numFmtId="0" fontId="28" fillId="24" borderId="15" xfId="26" applyFont="1" applyFill="1" applyBorder="1" applyAlignment="1">
      <alignment horizontal="justify" vertical="center" wrapText="1"/>
    </xf>
    <xf numFmtId="43" fontId="28" fillId="24" borderId="15" xfId="5" applyFont="1" applyFill="1" applyBorder="1" applyAlignment="1">
      <alignment horizontal="center" vertical="center"/>
    </xf>
    <xf numFmtId="43" fontId="24" fillId="24" borderId="15" xfId="5" applyFont="1" applyFill="1" applyBorder="1" applyAlignment="1">
      <alignment vertical="center"/>
    </xf>
    <xf numFmtId="1" fontId="28" fillId="24" borderId="15" xfId="26" applyNumberFormat="1" applyFont="1" applyFill="1" applyBorder="1" applyAlignment="1">
      <alignment horizontal="center" vertical="center"/>
    </xf>
    <xf numFmtId="43" fontId="24" fillId="24" borderId="15" xfId="1" applyFont="1" applyFill="1" applyBorder="1" applyAlignment="1">
      <alignment vertical="center"/>
    </xf>
    <xf numFmtId="0" fontId="28" fillId="6" borderId="5" xfId="26" applyFont="1" applyFill="1" applyBorder="1" applyAlignment="1">
      <alignment vertical="center" wrapText="1"/>
    </xf>
    <xf numFmtId="0" fontId="28" fillId="6" borderId="0" xfId="26" applyFont="1" applyFill="1" applyAlignment="1">
      <alignment vertical="center" wrapText="1"/>
    </xf>
    <xf numFmtId="0" fontId="28" fillId="6" borderId="25" xfId="26" applyFont="1" applyFill="1" applyBorder="1" applyAlignment="1">
      <alignment vertical="center" wrapText="1"/>
    </xf>
    <xf numFmtId="0" fontId="28" fillId="6" borderId="19" xfId="26" applyFont="1" applyFill="1" applyBorder="1" applyAlignment="1">
      <alignment vertical="center" wrapText="1"/>
    </xf>
    <xf numFmtId="0" fontId="28" fillId="6" borderId="11" xfId="26" applyFont="1" applyFill="1" applyBorder="1" applyAlignment="1">
      <alignment vertical="center" wrapText="1"/>
    </xf>
    <xf numFmtId="0" fontId="28" fillId="6" borderId="12" xfId="26" applyFont="1" applyFill="1" applyBorder="1" applyAlignment="1">
      <alignment vertical="center" wrapText="1"/>
    </xf>
    <xf numFmtId="0" fontId="28" fillId="6" borderId="23" xfId="26" applyFont="1" applyFill="1" applyBorder="1" applyAlignment="1">
      <alignment vertical="center" wrapText="1"/>
    </xf>
    <xf numFmtId="0" fontId="28" fillId="6" borderId="21" xfId="26" applyFont="1" applyFill="1" applyBorder="1" applyAlignment="1">
      <alignment vertical="center" wrapText="1"/>
    </xf>
    <xf numFmtId="0" fontId="28" fillId="6" borderId="9" xfId="26" applyFont="1" applyFill="1" applyBorder="1" applyAlignment="1">
      <alignment vertical="center" wrapText="1"/>
    </xf>
    <xf numFmtId="0" fontId="28" fillId="6" borderId="13" xfId="26" applyFont="1" applyFill="1" applyBorder="1" applyAlignment="1">
      <alignment vertical="center" wrapText="1"/>
    </xf>
    <xf numFmtId="0" fontId="24" fillId="6" borderId="6" xfId="26" applyFont="1" applyFill="1" applyBorder="1" applyAlignment="1">
      <alignment horizontal="justify" vertical="center" wrapText="1"/>
    </xf>
    <xf numFmtId="49" fontId="24" fillId="6" borderId="6" xfId="27" applyNumberFormat="1" applyFont="1" applyFill="1" applyBorder="1" applyAlignment="1">
      <alignment horizontal="justify" vertical="top" wrapText="1"/>
    </xf>
    <xf numFmtId="0" fontId="24" fillId="21" borderId="0" xfId="26" applyFont="1" applyFill="1"/>
    <xf numFmtId="1" fontId="24" fillId="0" borderId="6" xfId="26" applyNumberFormat="1" applyFont="1" applyBorder="1" applyAlignment="1">
      <alignment horizontal="center" vertical="center" wrapText="1"/>
    </xf>
    <xf numFmtId="0" fontId="28" fillId="24" borderId="11" xfId="26" applyFont="1" applyFill="1" applyBorder="1" applyAlignment="1">
      <alignment horizontal="center" vertical="center"/>
    </xf>
    <xf numFmtId="0" fontId="24" fillId="6" borderId="27" xfId="26" applyFont="1" applyFill="1" applyBorder="1" applyAlignment="1">
      <alignment horizontal="justify" vertical="center" wrapText="1"/>
    </xf>
    <xf numFmtId="1" fontId="24" fillId="6" borderId="14" xfId="26" applyNumberFormat="1" applyFont="1" applyFill="1" applyBorder="1" applyAlignment="1">
      <alignment horizontal="center" vertical="center" wrapText="1"/>
    </xf>
    <xf numFmtId="0" fontId="24" fillId="0" borderId="5" xfId="26" applyFont="1" applyBorder="1" applyAlignment="1">
      <alignment vertical="center" wrapText="1"/>
    </xf>
    <xf numFmtId="0" fontId="24" fillId="0" borderId="0" xfId="26" applyFont="1" applyAlignment="1">
      <alignment vertical="center" wrapText="1"/>
    </xf>
    <xf numFmtId="0" fontId="24" fillId="0" borderId="25" xfId="26" applyFont="1" applyBorder="1" applyAlignment="1">
      <alignment vertical="center" wrapText="1"/>
    </xf>
    <xf numFmtId="0" fontId="24" fillId="0" borderId="23" xfId="26" applyFont="1" applyBorder="1" applyAlignment="1">
      <alignment vertical="center" wrapText="1"/>
    </xf>
    <xf numFmtId="0" fontId="24" fillId="0" borderId="14" xfId="26" applyFont="1" applyBorder="1" applyAlignment="1">
      <alignment horizontal="center" vertical="center"/>
    </xf>
    <xf numFmtId="1" fontId="24" fillId="0" borderId="19" xfId="26" applyNumberFormat="1" applyFont="1" applyBorder="1" applyAlignment="1">
      <alignment horizontal="center" vertical="center" wrapText="1"/>
    </xf>
    <xf numFmtId="43" fontId="24" fillId="0" borderId="54" xfId="1" applyFont="1" applyFill="1" applyBorder="1" applyAlignment="1">
      <alignment vertical="center"/>
    </xf>
    <xf numFmtId="0" fontId="24" fillId="0" borderId="59" xfId="26" applyFont="1" applyBorder="1" applyAlignment="1">
      <alignment horizontal="center" vertical="center"/>
    </xf>
    <xf numFmtId="43" fontId="24" fillId="0" borderId="50" xfId="1" applyFont="1" applyFill="1" applyBorder="1" applyAlignment="1">
      <alignment horizontal="center" vertical="center" wrapText="1"/>
    </xf>
    <xf numFmtId="1" fontId="24" fillId="0" borderId="58" xfId="26" applyNumberFormat="1" applyFont="1" applyBorder="1" applyAlignment="1">
      <alignment horizontal="center" vertical="center" wrapText="1"/>
    </xf>
    <xf numFmtId="1" fontId="24" fillId="0" borderId="21" xfId="26" applyNumberFormat="1" applyFont="1" applyBorder="1" applyAlignment="1">
      <alignment horizontal="center" vertical="center" wrapText="1"/>
    </xf>
    <xf numFmtId="1" fontId="24" fillId="0" borderId="14" xfId="26" applyNumberFormat="1" applyFont="1" applyBorder="1" applyAlignment="1">
      <alignment horizontal="center" vertical="center" wrapText="1"/>
    </xf>
    <xf numFmtId="43" fontId="24" fillId="0" borderId="22" xfId="1" applyFont="1" applyFill="1" applyBorder="1" applyAlignment="1">
      <alignment horizontal="center" vertical="center" wrapText="1"/>
    </xf>
    <xf numFmtId="1" fontId="24" fillId="0" borderId="23" xfId="26" applyNumberFormat="1" applyFont="1" applyBorder="1" applyAlignment="1">
      <alignment horizontal="center" vertical="center" wrapText="1"/>
    </xf>
    <xf numFmtId="0" fontId="24" fillId="0" borderId="20" xfId="26" applyFont="1" applyBorder="1" applyAlignment="1">
      <alignment horizontal="center" vertical="center" wrapText="1"/>
    </xf>
    <xf numFmtId="0" fontId="24" fillId="0" borderId="22" xfId="26" applyFont="1" applyBorder="1" applyAlignment="1">
      <alignment horizontal="center" vertical="center" wrapText="1"/>
    </xf>
    <xf numFmtId="49" fontId="24" fillId="6" borderId="14" xfId="27" applyNumberFormat="1" applyFont="1" applyFill="1" applyBorder="1" applyAlignment="1">
      <alignment horizontal="justify" vertical="center" wrapText="1"/>
    </xf>
    <xf numFmtId="0" fontId="24" fillId="0" borderId="21" xfId="26" applyFont="1" applyBorder="1" applyAlignment="1">
      <alignment vertical="center" wrapText="1"/>
    </xf>
    <xf numFmtId="0" fontId="24" fillId="0" borderId="9" xfId="26" applyFont="1" applyBorder="1" applyAlignment="1">
      <alignment vertical="center" wrapText="1"/>
    </xf>
    <xf numFmtId="0" fontId="24" fillId="0" borderId="13" xfId="26" applyFont="1" applyBorder="1" applyAlignment="1">
      <alignment vertical="center" wrapText="1"/>
    </xf>
    <xf numFmtId="0" fontId="24" fillId="0" borderId="27" xfId="26" applyFont="1" applyBorder="1" applyAlignment="1">
      <alignment horizontal="center" vertical="center" wrapText="1"/>
    </xf>
    <xf numFmtId="0" fontId="28" fillId="24" borderId="9" xfId="26" applyFont="1" applyFill="1" applyBorder="1" applyAlignment="1">
      <alignment horizontal="justify" vertical="center"/>
    </xf>
    <xf numFmtId="43" fontId="24" fillId="24" borderId="6" xfId="5" applyFont="1" applyFill="1" applyBorder="1" applyAlignment="1">
      <alignment vertical="center"/>
    </xf>
    <xf numFmtId="1" fontId="28" fillId="24" borderId="6" xfId="26" applyNumberFormat="1" applyFont="1" applyFill="1" applyBorder="1" applyAlignment="1">
      <alignment horizontal="center" vertical="center"/>
    </xf>
    <xf numFmtId="0" fontId="28" fillId="24" borderId="6" xfId="26" applyFont="1" applyFill="1" applyBorder="1" applyAlignment="1">
      <alignment horizontal="center" vertical="center"/>
    </xf>
    <xf numFmtId="43" fontId="24" fillId="0" borderId="6" xfId="1" applyFont="1" applyFill="1" applyBorder="1" applyAlignment="1">
      <alignment horizontal="justify" vertical="center" wrapText="1"/>
    </xf>
    <xf numFmtId="43" fontId="24" fillId="24" borderId="6" xfId="1" applyFont="1" applyFill="1" applyBorder="1" applyAlignment="1">
      <alignment horizontal="justify" vertical="center"/>
    </xf>
    <xf numFmtId="0" fontId="24" fillId="6" borderId="20" xfId="26" applyFont="1" applyFill="1" applyBorder="1" applyAlignment="1">
      <alignment horizontal="center" vertical="center" wrapText="1"/>
    </xf>
    <xf numFmtId="0" fontId="24" fillId="6" borderId="22" xfId="26" applyFont="1" applyFill="1" applyBorder="1" applyAlignment="1">
      <alignment horizontal="center" vertical="center" wrapText="1"/>
    </xf>
    <xf numFmtId="0" fontId="24" fillId="6" borderId="25" xfId="26" applyFont="1" applyFill="1" applyBorder="1" applyAlignment="1">
      <alignment horizontal="center" vertical="center" wrapText="1"/>
    </xf>
    <xf numFmtId="49" fontId="24" fillId="0" borderId="14" xfId="27" applyNumberFormat="1" applyFont="1" applyBorder="1" applyAlignment="1">
      <alignment horizontal="justify" vertical="center" wrapText="1"/>
    </xf>
    <xf numFmtId="0" fontId="24" fillId="6" borderId="22" xfId="26" applyFont="1" applyFill="1" applyBorder="1" applyAlignment="1">
      <alignment horizontal="center" wrapText="1"/>
    </xf>
    <xf numFmtId="0" fontId="24" fillId="6" borderId="0" xfId="26" applyFont="1" applyFill="1" applyAlignment="1">
      <alignment horizontal="center"/>
    </xf>
    <xf numFmtId="0" fontId="24" fillId="6" borderId="27" xfId="26" applyFont="1" applyFill="1" applyBorder="1" applyAlignment="1">
      <alignment horizontal="center" vertical="center" wrapText="1"/>
    </xf>
    <xf numFmtId="43" fontId="28" fillId="24" borderId="6" xfId="1" applyFont="1" applyFill="1" applyBorder="1" applyAlignment="1">
      <alignment horizontal="justify" vertical="center"/>
    </xf>
    <xf numFmtId="0" fontId="24" fillId="0" borderId="6" xfId="26" applyFont="1" applyBorder="1" applyAlignment="1">
      <alignment horizontal="center" vertical="center" wrapText="1"/>
    </xf>
    <xf numFmtId="0" fontId="24" fillId="6" borderId="6" xfId="26" applyFont="1" applyFill="1" applyBorder="1" applyAlignment="1">
      <alignment horizontal="center" vertical="center" wrapText="1"/>
    </xf>
    <xf numFmtId="9" fontId="24" fillId="6" borderId="6" xfId="4" applyFont="1" applyFill="1" applyBorder="1" applyAlignment="1">
      <alignment horizontal="center" vertical="center" wrapText="1"/>
    </xf>
    <xf numFmtId="1" fontId="24" fillId="6" borderId="6" xfId="26" applyNumberFormat="1" applyFont="1" applyFill="1" applyBorder="1" applyAlignment="1">
      <alignment horizontal="center" wrapText="1"/>
    </xf>
    <xf numFmtId="1" fontId="24" fillId="0" borderId="6" xfId="26" applyNumberFormat="1" applyFont="1" applyBorder="1" applyAlignment="1">
      <alignment horizontal="center" wrapText="1"/>
    </xf>
    <xf numFmtId="43" fontId="24" fillId="0" borderId="6" xfId="1" applyFont="1" applyFill="1" applyBorder="1" applyAlignment="1">
      <alignment horizontal="justify" vertical="center"/>
    </xf>
    <xf numFmtId="0" fontId="24" fillId="0" borderId="6" xfId="26" applyFont="1" applyBorder="1" applyAlignment="1">
      <alignment horizontal="center" vertical="center"/>
    </xf>
    <xf numFmtId="0" fontId="28" fillId="14" borderId="0" xfId="26" applyFont="1" applyFill="1" applyAlignment="1">
      <alignment horizontal="justify" vertical="center" wrapText="1"/>
    </xf>
    <xf numFmtId="0" fontId="28" fillId="14" borderId="0" xfId="26" applyFont="1" applyFill="1" applyAlignment="1">
      <alignment vertical="center"/>
    </xf>
    <xf numFmtId="0" fontId="28" fillId="14" borderId="9" xfId="26" applyFont="1" applyFill="1" applyBorder="1" applyAlignment="1">
      <alignment vertical="center"/>
    </xf>
    <xf numFmtId="0" fontId="28" fillId="14" borderId="9" xfId="26" applyFont="1" applyFill="1" applyBorder="1" applyAlignment="1">
      <alignment horizontal="justify" vertical="center"/>
    </xf>
    <xf numFmtId="0" fontId="28" fillId="14" borderId="9" xfId="26" applyFont="1" applyFill="1" applyBorder="1" applyAlignment="1">
      <alignment horizontal="center" vertical="center"/>
    </xf>
    <xf numFmtId="43" fontId="28" fillId="14" borderId="9" xfId="5" applyFont="1" applyFill="1" applyBorder="1" applyAlignment="1">
      <alignment horizontal="center" vertical="center"/>
    </xf>
    <xf numFmtId="43" fontId="24" fillId="14" borderId="6" xfId="1" applyFont="1" applyFill="1" applyBorder="1" applyAlignment="1">
      <alignment horizontal="justify" vertical="center"/>
    </xf>
    <xf numFmtId="1" fontId="28" fillId="14" borderId="6" xfId="26" applyNumberFormat="1" applyFont="1" applyFill="1" applyBorder="1" applyAlignment="1">
      <alignment horizontal="center" vertical="center"/>
    </xf>
    <xf numFmtId="0" fontId="28" fillId="14" borderId="6" xfId="26" applyFont="1" applyFill="1" applyBorder="1" applyAlignment="1">
      <alignment horizontal="center" vertical="center"/>
    </xf>
    <xf numFmtId="0" fontId="28" fillId="14" borderId="24" xfId="26" applyFont="1" applyFill="1" applyBorder="1" applyAlignment="1">
      <alignment vertical="center"/>
    </xf>
    <xf numFmtId="0" fontId="24" fillId="6" borderId="14" xfId="26" quotePrefix="1" applyFont="1" applyFill="1" applyBorder="1" applyAlignment="1">
      <alignment horizontal="justify" vertical="center" wrapText="1"/>
    </xf>
    <xf numFmtId="1" fontId="24" fillId="6" borderId="6" xfId="26" quotePrefix="1" applyNumberFormat="1" applyFont="1" applyFill="1" applyBorder="1" applyAlignment="1">
      <alignment vertical="center" wrapText="1"/>
    </xf>
    <xf numFmtId="0" fontId="28" fillId="24" borderId="50" xfId="26" applyFont="1" applyFill="1" applyBorder="1" applyAlignment="1">
      <alignment horizontal="justify" vertical="center" wrapText="1"/>
    </xf>
    <xf numFmtId="0" fontId="28" fillId="24" borderId="50" xfId="26" applyFont="1" applyFill="1" applyBorder="1" applyAlignment="1">
      <alignment vertical="center"/>
    </xf>
    <xf numFmtId="0" fontId="28" fillId="24" borderId="11" xfId="26" applyFont="1" applyFill="1" applyBorder="1" applyAlignment="1">
      <alignment vertical="center"/>
    </xf>
    <xf numFmtId="0" fontId="28" fillId="24" borderId="11" xfId="26" applyFont="1" applyFill="1" applyBorder="1" applyAlignment="1">
      <alignment horizontal="justify" vertical="center"/>
    </xf>
    <xf numFmtId="0" fontId="28" fillId="24" borderId="6" xfId="26" applyFont="1" applyFill="1" applyBorder="1" applyAlignment="1">
      <alignment vertical="center"/>
    </xf>
    <xf numFmtId="0" fontId="24" fillId="24" borderId="6" xfId="26" applyFont="1" applyFill="1" applyBorder="1" applyAlignment="1">
      <alignment vertical="center"/>
    </xf>
    <xf numFmtId="1" fontId="24" fillId="6" borderId="6" xfId="26" quotePrefix="1" applyNumberFormat="1" applyFont="1" applyFill="1" applyBorder="1" applyAlignment="1">
      <alignment horizontal="center" vertical="center" wrapText="1"/>
    </xf>
    <xf numFmtId="0" fontId="28" fillId="24" borderId="9" xfId="26" applyFont="1" applyFill="1" applyBorder="1" applyAlignment="1">
      <alignment horizontal="justify" vertical="center" wrapText="1"/>
    </xf>
    <xf numFmtId="0" fontId="28" fillId="24" borderId="9" xfId="26" applyFont="1" applyFill="1" applyBorder="1" applyAlignment="1">
      <alignment vertical="center"/>
    </xf>
    <xf numFmtId="0" fontId="28" fillId="24" borderId="0" xfId="26" applyFont="1" applyFill="1" applyAlignment="1">
      <alignment horizontal="justify" vertical="center"/>
    </xf>
    <xf numFmtId="3" fontId="28" fillId="14" borderId="11" xfId="26" applyNumberFormat="1" applyFont="1" applyFill="1" applyBorder="1" applyAlignment="1">
      <alignment horizontal="justify" vertical="center" wrapText="1"/>
    </xf>
    <xf numFmtId="0" fontId="28" fillId="24" borderId="11" xfId="26" applyFont="1" applyFill="1" applyBorder="1" applyAlignment="1">
      <alignment horizontal="justify" vertical="center" wrapText="1"/>
    </xf>
    <xf numFmtId="43" fontId="28" fillId="24" borderId="11" xfId="5" applyFont="1" applyFill="1" applyBorder="1" applyAlignment="1">
      <alignment horizontal="center" vertical="center"/>
    </xf>
    <xf numFmtId="0" fontId="28" fillId="24" borderId="36" xfId="26" applyFont="1" applyFill="1" applyBorder="1" applyAlignment="1">
      <alignment vertical="center"/>
    </xf>
    <xf numFmtId="0" fontId="24" fillId="0" borderId="20" xfId="26" applyFont="1" applyBorder="1" applyAlignment="1">
      <alignment horizontal="justify" vertical="center" wrapText="1"/>
    </xf>
    <xf numFmtId="0" fontId="24" fillId="0" borderId="20" xfId="26" applyFont="1" applyBorder="1" applyAlignment="1">
      <alignment horizontal="center" vertical="center"/>
    </xf>
    <xf numFmtId="9" fontId="24" fillId="6" borderId="20" xfId="4" applyFont="1" applyFill="1" applyBorder="1" applyAlignment="1">
      <alignment horizontal="center" vertical="center" wrapText="1"/>
    </xf>
    <xf numFmtId="0" fontId="24" fillId="6" borderId="6" xfId="26" applyFont="1" applyFill="1" applyBorder="1" applyAlignment="1">
      <alignment vertical="center" wrapText="1"/>
    </xf>
    <xf numFmtId="0" fontId="24" fillId="0" borderId="6" xfId="26" applyFont="1" applyBorder="1" applyAlignment="1">
      <alignment horizontal="center"/>
    </xf>
    <xf numFmtId="0" fontId="24" fillId="0" borderId="0" xfId="26" applyFont="1" applyAlignment="1">
      <alignment horizontal="center"/>
    </xf>
    <xf numFmtId="43" fontId="24" fillId="0" borderId="6" xfId="1" applyFont="1" applyFill="1" applyBorder="1" applyAlignment="1">
      <alignment horizontal="justify"/>
    </xf>
    <xf numFmtId="0" fontId="28" fillId="0" borderId="9" xfId="26" applyFont="1" applyBorder="1" applyAlignment="1">
      <alignment vertical="center" wrapText="1"/>
    </xf>
    <xf numFmtId="0" fontId="28" fillId="0" borderId="13" xfId="26" applyFont="1" applyBorder="1" applyAlignment="1">
      <alignment vertical="center" wrapText="1"/>
    </xf>
    <xf numFmtId="0" fontId="28" fillId="24" borderId="0" xfId="26" applyFont="1" applyFill="1" applyAlignment="1">
      <alignment horizontal="justify" vertical="center" wrapText="1"/>
    </xf>
    <xf numFmtId="0" fontId="28" fillId="24" borderId="0" xfId="26" applyFont="1" applyFill="1" applyAlignment="1">
      <alignment vertical="center"/>
    </xf>
    <xf numFmtId="173" fontId="28" fillId="24" borderId="15" xfId="5" applyNumberFormat="1" applyFont="1" applyFill="1" applyBorder="1" applyAlignment="1">
      <alignment horizontal="center" vertical="center" textRotation="180" wrapText="1"/>
    </xf>
    <xf numFmtId="0" fontId="24" fillId="6" borderId="5" xfId="26" applyFont="1" applyFill="1" applyBorder="1" applyAlignment="1">
      <alignment horizontal="center" vertical="center" wrapText="1"/>
    </xf>
    <xf numFmtId="0" fontId="24" fillId="6" borderId="0" xfId="26" applyFont="1" applyFill="1" applyAlignment="1">
      <alignment horizontal="center" vertical="center" wrapText="1"/>
    </xf>
    <xf numFmtId="0" fontId="24" fillId="6" borderId="11" xfId="26" applyFont="1" applyFill="1" applyBorder="1" applyAlignment="1">
      <alignment horizontal="center" vertical="center" wrapText="1"/>
    </xf>
    <xf numFmtId="0" fontId="24" fillId="6" borderId="12" xfId="26" applyFont="1" applyFill="1" applyBorder="1" applyAlignment="1">
      <alignment horizontal="center" vertical="center" wrapText="1"/>
    </xf>
    <xf numFmtId="0" fontId="24" fillId="6" borderId="14" xfId="26" applyFont="1" applyFill="1" applyBorder="1" applyAlignment="1">
      <alignment horizontal="justify" vertical="center" wrapText="1"/>
    </xf>
    <xf numFmtId="173" fontId="28" fillId="24" borderId="0" xfId="5" applyNumberFormat="1" applyFont="1" applyFill="1" applyAlignment="1">
      <alignment horizontal="center" vertical="center" textRotation="180" wrapText="1"/>
    </xf>
    <xf numFmtId="0" fontId="24" fillId="6" borderId="14" xfId="27" quotePrefix="1" applyFont="1" applyFill="1" applyBorder="1" applyAlignment="1">
      <alignment horizontal="justify" vertical="center" wrapText="1"/>
    </xf>
    <xf numFmtId="43" fontId="24" fillId="0" borderId="6" xfId="1" quotePrefix="1" applyFont="1" applyFill="1" applyBorder="1" applyAlignment="1">
      <alignment vertical="center" wrapText="1"/>
    </xf>
    <xf numFmtId="49" fontId="24" fillId="6" borderId="14" xfId="27" quotePrefix="1" applyNumberFormat="1" applyFont="1" applyFill="1" applyBorder="1" applyAlignment="1">
      <alignment horizontal="justify" vertical="center" wrapText="1"/>
    </xf>
    <xf numFmtId="49" fontId="24" fillId="6" borderId="19" xfId="27" quotePrefix="1" applyNumberFormat="1" applyFont="1" applyFill="1" applyBorder="1" applyAlignment="1">
      <alignment horizontal="justify" vertical="center" wrapText="1"/>
    </xf>
    <xf numFmtId="43" fontId="24" fillId="24" borderId="6" xfId="1" applyFont="1" applyFill="1" applyBorder="1" applyAlignment="1">
      <alignment vertical="center"/>
    </xf>
    <xf numFmtId="0" fontId="28" fillId="24" borderId="15" xfId="5" applyNumberFormat="1" applyFont="1" applyFill="1" applyBorder="1" applyAlignment="1">
      <alignment vertical="center" textRotation="180" wrapText="1"/>
    </xf>
    <xf numFmtId="173" fontId="28" fillId="24" borderId="15" xfId="5" applyNumberFormat="1" applyFont="1" applyFill="1" applyBorder="1" applyAlignment="1">
      <alignment vertical="center" textRotation="180" wrapText="1"/>
    </xf>
    <xf numFmtId="0" fontId="28" fillId="24" borderId="15" xfId="5" applyNumberFormat="1" applyFont="1" applyFill="1" applyBorder="1" applyAlignment="1">
      <alignment horizontal="center" vertical="center" textRotation="180" wrapText="1"/>
    </xf>
    <xf numFmtId="49" fontId="24" fillId="0" borderId="15" xfId="27" applyNumberFormat="1" applyFont="1" applyBorder="1" applyAlignment="1">
      <alignment horizontal="justify" vertical="center" wrapText="1"/>
    </xf>
    <xf numFmtId="0" fontId="24" fillId="6" borderId="9" xfId="26" applyFont="1" applyFill="1" applyBorder="1" applyAlignment="1">
      <alignment horizontal="center" vertical="center" wrapText="1"/>
    </xf>
    <xf numFmtId="0" fontId="24" fillId="0" borderId="50" xfId="26" applyFont="1" applyBorder="1" applyAlignment="1">
      <alignment horizontal="center" vertical="center" wrapText="1"/>
    </xf>
    <xf numFmtId="0" fontId="24" fillId="6" borderId="78" xfId="26" applyFont="1" applyFill="1" applyBorder="1" applyAlignment="1">
      <alignment horizontal="justify" vertical="center" wrapText="1"/>
    </xf>
    <xf numFmtId="0" fontId="24" fillId="6" borderId="50" xfId="26" applyFont="1" applyFill="1" applyBorder="1" applyAlignment="1">
      <alignment horizontal="justify" vertical="center" wrapText="1"/>
    </xf>
    <xf numFmtId="0" fontId="24" fillId="6" borderId="15" xfId="26" applyFont="1" applyFill="1" applyBorder="1" applyAlignment="1">
      <alignment horizontal="justify" vertical="center" wrapText="1"/>
    </xf>
    <xf numFmtId="43" fontId="24" fillId="0" borderId="6" xfId="1" quotePrefix="1" applyFont="1" applyFill="1" applyBorder="1" applyAlignment="1">
      <alignment horizontal="center" vertical="center"/>
    </xf>
    <xf numFmtId="0" fontId="24" fillId="0" borderId="22" xfId="26" applyFont="1" applyBorder="1" applyAlignment="1">
      <alignment horizontal="justify" vertical="center" wrapText="1"/>
    </xf>
    <xf numFmtId="0" fontId="24" fillId="0" borderId="6" xfId="26" applyFont="1" applyBorder="1" applyAlignment="1">
      <alignment horizontal="justify" vertical="center" wrapText="1"/>
    </xf>
    <xf numFmtId="9" fontId="24" fillId="0" borderId="6" xfId="4" applyFont="1" applyBorder="1" applyAlignment="1">
      <alignment horizontal="center" vertical="center" wrapText="1"/>
    </xf>
    <xf numFmtId="43" fontId="24" fillId="14" borderId="6" xfId="1" applyFont="1" applyFill="1" applyBorder="1" applyAlignment="1">
      <alignment vertical="center"/>
    </xf>
    <xf numFmtId="0" fontId="28" fillId="14" borderId="15" xfId="5" applyNumberFormat="1" applyFont="1" applyFill="1" applyBorder="1" applyAlignment="1">
      <alignment vertical="center" textRotation="180" wrapText="1"/>
    </xf>
    <xf numFmtId="173" fontId="28" fillId="14" borderId="15" xfId="5" applyNumberFormat="1" applyFont="1" applyFill="1" applyBorder="1" applyAlignment="1">
      <alignment vertical="center" textRotation="180" wrapText="1"/>
    </xf>
    <xf numFmtId="0" fontId="28" fillId="14" borderId="15" xfId="5" applyNumberFormat="1" applyFont="1" applyFill="1" applyBorder="1" applyAlignment="1">
      <alignment horizontal="center" vertical="center" textRotation="180" wrapText="1"/>
    </xf>
    <xf numFmtId="0" fontId="28" fillId="24" borderId="9" xfId="26" applyFont="1" applyFill="1" applyBorder="1" applyAlignment="1">
      <alignment horizontal="center" vertical="center"/>
    </xf>
    <xf numFmtId="0" fontId="28" fillId="24" borderId="9" xfId="5" applyNumberFormat="1" applyFont="1" applyFill="1" applyBorder="1" applyAlignment="1">
      <alignment vertical="center" textRotation="180" wrapText="1"/>
    </xf>
    <xf numFmtId="173" fontId="28" fillId="24" borderId="9" xfId="5" applyNumberFormat="1" applyFont="1" applyFill="1" applyBorder="1" applyAlignment="1">
      <alignment vertical="center" textRotation="180" wrapText="1"/>
    </xf>
    <xf numFmtId="0" fontId="28" fillId="24" borderId="9" xfId="5" applyNumberFormat="1" applyFont="1" applyFill="1" applyBorder="1" applyAlignment="1">
      <alignment horizontal="center" vertical="center" textRotation="180" wrapText="1"/>
    </xf>
    <xf numFmtId="9" fontId="24" fillId="6" borderId="27" xfId="4" applyFont="1" applyFill="1" applyBorder="1" applyAlignment="1">
      <alignment horizontal="center" vertical="center" wrapText="1"/>
    </xf>
    <xf numFmtId="0" fontId="24" fillId="6" borderId="20" xfId="26" applyFont="1" applyFill="1" applyBorder="1" applyAlignment="1">
      <alignment horizontal="justify" vertical="center" wrapText="1"/>
    </xf>
    <xf numFmtId="43" fontId="24" fillId="0" borderId="6" xfId="1" applyFont="1" applyFill="1" applyBorder="1" applyAlignment="1">
      <alignment vertical="center"/>
    </xf>
    <xf numFmtId="1" fontId="24" fillId="6" borderId="6" xfId="26" applyNumberFormat="1" applyFont="1" applyFill="1" applyBorder="1" applyAlignment="1">
      <alignment horizontal="center" vertical="center"/>
    </xf>
    <xf numFmtId="0" fontId="24" fillId="6" borderId="14" xfId="27" applyFont="1" applyFill="1" applyBorder="1" applyAlignment="1">
      <alignment horizontal="justify" vertical="center" wrapText="1"/>
    </xf>
    <xf numFmtId="0" fontId="24" fillId="6" borderId="19" xfId="27" applyFont="1" applyFill="1" applyBorder="1" applyAlignment="1">
      <alignment horizontal="justify" vertical="center" wrapText="1"/>
    </xf>
    <xf numFmtId="194" fontId="24" fillId="6" borderId="6" xfId="26" applyNumberFormat="1" applyFont="1" applyFill="1" applyBorder="1" applyAlignment="1">
      <alignment horizontal="center" vertical="center" wrapText="1"/>
    </xf>
    <xf numFmtId="0" fontId="24" fillId="0" borderId="6" xfId="26" applyFont="1" applyBorder="1"/>
    <xf numFmtId="43" fontId="28" fillId="0" borderId="32" xfId="5" applyFont="1" applyBorder="1" applyAlignment="1">
      <alignment horizontal="center" vertical="center"/>
    </xf>
    <xf numFmtId="0" fontId="24" fillId="6" borderId="30" xfId="26" applyFont="1" applyFill="1" applyBorder="1"/>
    <xf numFmtId="0" fontId="24" fillId="6" borderId="31" xfId="26" applyFont="1" applyFill="1" applyBorder="1" applyAlignment="1">
      <alignment horizontal="justify"/>
    </xf>
    <xf numFmtId="0" fontId="24" fillId="6" borderId="33" xfId="26" applyFont="1" applyFill="1" applyBorder="1" applyAlignment="1">
      <alignment horizontal="right" vertical="center"/>
    </xf>
    <xf numFmtId="43" fontId="28" fillId="0" borderId="32" xfId="5" applyFont="1" applyBorder="1" applyAlignment="1">
      <alignment horizontal="justify" vertical="center"/>
    </xf>
    <xf numFmtId="0" fontId="24" fillId="6" borderId="47" xfId="26" applyFont="1" applyFill="1" applyBorder="1" applyAlignment="1">
      <alignment horizontal="center" vertical="center"/>
    </xf>
    <xf numFmtId="0" fontId="24" fillId="6" borderId="49" xfId="26" applyFont="1" applyFill="1" applyBorder="1" applyAlignment="1">
      <alignment horizontal="center" vertical="center"/>
    </xf>
    <xf numFmtId="0" fontId="24" fillId="0" borderId="31" xfId="5" applyNumberFormat="1" applyFont="1" applyBorder="1"/>
    <xf numFmtId="173" fontId="24" fillId="0" borderId="31" xfId="5" applyNumberFormat="1" applyFont="1" applyBorder="1"/>
    <xf numFmtId="0" fontId="24" fillId="0" borderId="31" xfId="5" applyNumberFormat="1" applyFont="1" applyBorder="1" applyAlignment="1">
      <alignment horizontal="center" vertical="center"/>
    </xf>
    <xf numFmtId="0" fontId="24" fillId="0" borderId="31" xfId="26" applyFont="1" applyBorder="1"/>
    <xf numFmtId="0" fontId="24" fillId="0" borderId="33" xfId="26" applyFont="1" applyBorder="1"/>
    <xf numFmtId="0" fontId="24" fillId="6" borderId="0" xfId="26" applyFont="1" applyFill="1" applyAlignment="1">
      <alignment horizontal="justify"/>
    </xf>
    <xf numFmtId="0" fontId="24" fillId="6" borderId="0" xfId="26" applyFont="1" applyFill="1" applyAlignment="1">
      <alignment horizontal="center" vertical="center"/>
    </xf>
    <xf numFmtId="0" fontId="24" fillId="6" borderId="0" xfId="26" applyFont="1" applyFill="1" applyAlignment="1">
      <alignment horizontal="justify" vertical="center"/>
    </xf>
    <xf numFmtId="173" fontId="24" fillId="6" borderId="0" xfId="26" applyNumberFormat="1" applyFont="1" applyFill="1" applyAlignment="1">
      <alignment horizontal="justify" vertical="center"/>
    </xf>
    <xf numFmtId="0" fontId="24" fillId="0" borderId="0" xfId="5" applyNumberFormat="1" applyFont="1"/>
    <xf numFmtId="173" fontId="24" fillId="0" borderId="0" xfId="5" applyNumberFormat="1" applyFont="1"/>
    <xf numFmtId="0" fontId="24" fillId="0" borderId="0" xfId="5" applyNumberFormat="1" applyFont="1" applyAlignment="1">
      <alignment horizontal="center" vertical="center"/>
    </xf>
    <xf numFmtId="0" fontId="24" fillId="6" borderId="0" xfId="26" applyFont="1" applyFill="1" applyBorder="1" applyAlignment="1">
      <alignment horizontal="justify" vertical="center"/>
    </xf>
    <xf numFmtId="43" fontId="7" fillId="0" borderId="0" xfId="1" applyFont="1" applyBorder="1" applyAlignment="1">
      <alignment horizontal="center" vertical="center"/>
    </xf>
    <xf numFmtId="0" fontId="24" fillId="6" borderId="0" xfId="26" applyFont="1" applyFill="1" applyBorder="1" applyAlignment="1">
      <alignment horizontal="center" vertical="center"/>
    </xf>
    <xf numFmtId="194" fontId="24" fillId="6" borderId="0" xfId="26" applyNumberFormat="1" applyFont="1" applyFill="1" applyAlignment="1">
      <alignment horizontal="center"/>
    </xf>
    <xf numFmtId="179" fontId="24" fillId="6" borderId="0" xfId="16" applyFont="1" applyFill="1" applyBorder="1" applyAlignment="1">
      <alignment horizontal="justify" vertical="center"/>
    </xf>
    <xf numFmtId="179" fontId="24" fillId="6" borderId="0" xfId="26" applyNumberFormat="1" applyFont="1" applyFill="1" applyAlignment="1">
      <alignment horizontal="justify" vertical="center"/>
    </xf>
    <xf numFmtId="0" fontId="4" fillId="0" borderId="23" xfId="0" applyFont="1" applyBorder="1" applyAlignment="1">
      <alignment horizontal="justify"/>
    </xf>
    <xf numFmtId="0" fontId="4" fillId="0" borderId="25"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0" xfId="0" applyFont="1" applyFill="1" applyAlignment="1">
      <alignment wrapText="1"/>
    </xf>
    <xf numFmtId="0" fontId="4" fillId="0" borderId="50" xfId="0" applyFont="1" applyFill="1" applyBorder="1"/>
    <xf numFmtId="0" fontId="4" fillId="0" borderId="50" xfId="0" applyFont="1" applyFill="1" applyBorder="1" applyAlignment="1">
      <alignment wrapText="1"/>
    </xf>
    <xf numFmtId="0" fontId="22" fillId="0" borderId="0" xfId="0" applyFont="1" applyFill="1" applyAlignment="1">
      <alignment vertical="center"/>
    </xf>
    <xf numFmtId="0" fontId="22" fillId="0" borderId="0" xfId="0" applyFont="1" applyFill="1" applyAlignment="1">
      <alignment horizontal="center" vertical="center"/>
    </xf>
    <xf numFmtId="180" fontId="4" fillId="6" borderId="20" xfId="3" applyNumberFormat="1" applyFont="1" applyFill="1" applyBorder="1" applyAlignment="1">
      <alignment horizontal="center" vertical="center"/>
    </xf>
    <xf numFmtId="0" fontId="10" fillId="0" borderId="0" xfId="0" applyFont="1" applyFill="1"/>
    <xf numFmtId="0" fontId="13" fillId="0" borderId="5" xfId="0" applyFont="1" applyFill="1" applyBorder="1" applyAlignment="1">
      <alignment horizontal="center"/>
    </xf>
    <xf numFmtId="0" fontId="16" fillId="0" borderId="0" xfId="0" applyFont="1" applyFill="1"/>
    <xf numFmtId="0" fontId="22" fillId="0" borderId="0" xfId="0" applyFont="1" applyFill="1" applyAlignment="1">
      <alignment horizontal="justify" vertical="center"/>
    </xf>
    <xf numFmtId="0" fontId="22" fillId="0" borderId="0" xfId="0" applyFont="1" applyFill="1" applyAlignment="1">
      <alignment horizontal="justify" vertical="center" wrapText="1"/>
    </xf>
    <xf numFmtId="0" fontId="23" fillId="0" borderId="0" xfId="0" applyFont="1" applyFill="1" applyAlignment="1">
      <alignment horizontal="justify" vertical="center"/>
    </xf>
    <xf numFmtId="0" fontId="4" fillId="0" borderId="0" xfId="0" applyFont="1" applyBorder="1" applyAlignment="1">
      <alignment horizontal="justify" vertical="center" wrapText="1"/>
    </xf>
    <xf numFmtId="0" fontId="4" fillId="0" borderId="0" xfId="0" applyFont="1" applyBorder="1" applyAlignment="1">
      <alignment horizontal="justify"/>
    </xf>
    <xf numFmtId="0" fontId="4" fillId="0" borderId="64" xfId="0" applyFont="1" applyBorder="1" applyAlignment="1">
      <alignment horizontal="justify"/>
    </xf>
    <xf numFmtId="0" fontId="11" fillId="0" borderId="0" xfId="0" applyFont="1" applyAlignment="1">
      <alignment horizontal="center"/>
    </xf>
    <xf numFmtId="0" fontId="10" fillId="0" borderId="0" xfId="0" applyFont="1" applyAlignment="1">
      <alignment horizontal="center"/>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6" xfId="0" applyFont="1" applyBorder="1" applyAlignment="1">
      <alignment horizontal="justify" vertical="center" wrapText="1"/>
    </xf>
    <xf numFmtId="0" fontId="10" fillId="0" borderId="14" xfId="0" applyFont="1" applyBorder="1" applyAlignment="1">
      <alignment horizontal="center" vertical="center" wrapText="1"/>
    </xf>
    <xf numFmtId="0" fontId="10" fillId="2" borderId="22" xfId="0" applyFont="1" applyFill="1" applyBorder="1" applyAlignment="1">
      <alignment horizontal="center" vertical="center" wrapText="1"/>
    </xf>
    <xf numFmtId="10" fontId="8" fillId="2" borderId="20" xfId="6" applyNumberFormat="1" applyFont="1" applyFill="1" applyBorder="1" applyAlignment="1">
      <alignment horizontal="center" vertical="center" wrapText="1"/>
    </xf>
    <xf numFmtId="10" fontId="8" fillId="2" borderId="27" xfId="6" applyNumberFormat="1" applyFont="1" applyFill="1" applyBorder="1" applyAlignment="1">
      <alignment horizontal="center" vertical="center" wrapText="1"/>
    </xf>
    <xf numFmtId="0" fontId="10" fillId="0" borderId="14" xfId="0" applyFont="1" applyBorder="1" applyAlignment="1">
      <alignment horizontal="justify" vertical="center" wrapText="1"/>
    </xf>
    <xf numFmtId="3" fontId="10" fillId="0" borderId="20"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10" fillId="0" borderId="29" xfId="0" applyNumberFormat="1" applyFont="1" applyBorder="1" applyAlignment="1">
      <alignment horizontal="center" vertical="center"/>
    </xf>
    <xf numFmtId="0" fontId="10" fillId="2" borderId="2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0" xfId="0" applyFont="1" applyFill="1" applyBorder="1" applyAlignment="1">
      <alignment horizontal="justify" vertical="center" wrapText="1"/>
    </xf>
    <xf numFmtId="0" fontId="10" fillId="2" borderId="22" xfId="0" applyFont="1" applyFill="1" applyBorder="1" applyAlignment="1">
      <alignment horizontal="justify" vertical="center" wrapText="1"/>
    </xf>
    <xf numFmtId="0" fontId="10" fillId="2" borderId="29" xfId="0" applyFont="1" applyFill="1" applyBorder="1" applyAlignment="1">
      <alignment horizontal="justify" vertical="center" wrapText="1"/>
    </xf>
    <xf numFmtId="43" fontId="10" fillId="2" borderId="20" xfId="7" applyFont="1" applyFill="1" applyBorder="1" applyAlignment="1">
      <alignment horizontal="center" vertical="center" wrapText="1"/>
    </xf>
    <xf numFmtId="43" fontId="10" fillId="2" borderId="22" xfId="7" applyFont="1" applyFill="1" applyBorder="1" applyAlignment="1">
      <alignment horizontal="center" vertical="center" wrapText="1"/>
    </xf>
    <xf numFmtId="43" fontId="10" fillId="2" borderId="29" xfId="7" applyFont="1" applyFill="1" applyBorder="1" applyAlignment="1">
      <alignment horizontal="center" vertical="center" wrapText="1"/>
    </xf>
    <xf numFmtId="3" fontId="10" fillId="0" borderId="7" xfId="0" applyNumberFormat="1" applyFont="1" applyBorder="1" applyAlignment="1">
      <alignment horizontal="center" vertical="center" wrapText="1"/>
    </xf>
    <xf numFmtId="168" fontId="10" fillId="2" borderId="20" xfId="0" applyNumberFormat="1" applyFont="1" applyFill="1" applyBorder="1" applyAlignment="1">
      <alignment horizontal="center" vertical="center" wrapText="1"/>
    </xf>
    <xf numFmtId="168" fontId="10" fillId="2" borderId="22" xfId="0" applyNumberFormat="1" applyFont="1" applyFill="1" applyBorder="1" applyAlignment="1">
      <alignment horizontal="center" vertical="center" wrapText="1"/>
    </xf>
    <xf numFmtId="168" fontId="10" fillId="2" borderId="29" xfId="0" applyNumberFormat="1" applyFont="1" applyFill="1" applyBorder="1" applyAlignment="1">
      <alignment horizontal="center" vertical="center" wrapText="1"/>
    </xf>
    <xf numFmtId="3" fontId="10" fillId="0" borderId="6" xfId="0" applyNumberFormat="1" applyFont="1" applyBorder="1" applyAlignment="1">
      <alignment horizontal="center" vertical="center"/>
    </xf>
    <xf numFmtId="168" fontId="10" fillId="0" borderId="6" xfId="0" applyNumberFormat="1" applyFont="1" applyBorder="1" applyAlignment="1">
      <alignment horizontal="center" vertical="center" wrapText="1"/>
    </xf>
    <xf numFmtId="3" fontId="7" fillId="9" borderId="14"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11" fillId="8" borderId="20" xfId="0" applyFont="1" applyFill="1" applyBorder="1" applyAlignment="1">
      <alignment horizontal="center" vertical="center" textRotation="90" wrapText="1"/>
    </xf>
    <xf numFmtId="0" fontId="11" fillId="8" borderId="22" xfId="0" applyFont="1" applyFill="1" applyBorder="1" applyAlignment="1">
      <alignment horizontal="center" vertical="center" textRotation="90" wrapText="1"/>
    </xf>
    <xf numFmtId="0" fontId="11" fillId="8" borderId="27" xfId="0" applyFont="1" applyFill="1" applyBorder="1" applyAlignment="1">
      <alignment horizontal="center" vertical="center" textRotation="90" wrapText="1"/>
    </xf>
    <xf numFmtId="0" fontId="10" fillId="0" borderId="6" xfId="0" applyFont="1" applyBorder="1" applyAlignment="1">
      <alignment horizontal="center" vertical="center" wrapText="1"/>
    </xf>
    <xf numFmtId="0" fontId="10" fillId="6" borderId="6" xfId="0" applyFont="1" applyFill="1" applyBorder="1" applyAlignment="1">
      <alignment horizontal="center" vertical="center" wrapText="1"/>
    </xf>
    <xf numFmtId="9" fontId="8" fillId="0" borderId="6" xfId="6" applyFont="1" applyBorder="1" applyAlignment="1">
      <alignment horizontal="center" vertical="center" wrapText="1"/>
    </xf>
    <xf numFmtId="43" fontId="10" fillId="0" borderId="6" xfId="7" applyFont="1" applyBorder="1" applyAlignment="1">
      <alignment horizontal="center" vertical="center" wrapText="1"/>
    </xf>
    <xf numFmtId="10" fontId="7" fillId="8" borderId="20" xfId="6" applyNumberFormat="1" applyFont="1" applyFill="1" applyBorder="1" applyAlignment="1">
      <alignment horizontal="center" vertical="center" wrapText="1"/>
    </xf>
    <xf numFmtId="10" fontId="7" fillId="8" borderId="22" xfId="6" applyNumberFormat="1" applyFont="1" applyFill="1" applyBorder="1" applyAlignment="1">
      <alignment horizontal="center" vertical="center" wrapText="1"/>
    </xf>
    <xf numFmtId="43" fontId="11" fillId="8" borderId="20" xfId="7" applyFont="1" applyFill="1" applyBorder="1" applyAlignment="1">
      <alignment horizontal="center" vertical="center" wrapText="1"/>
    </xf>
    <xf numFmtId="43" fontId="11" fillId="8" borderId="22" xfId="7"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1" fontId="11" fillId="8" borderId="12" xfId="0" applyNumberFormat="1" applyFont="1" applyFill="1" applyBorder="1" applyAlignment="1">
      <alignment horizontal="center" vertical="center" wrapText="1"/>
    </xf>
    <xf numFmtId="1" fontId="11" fillId="8" borderId="25" xfId="0" applyNumberFormat="1" applyFont="1" applyFill="1" applyBorder="1" applyAlignment="1">
      <alignment horizontal="center" vertical="center" wrapText="1"/>
    </xf>
    <xf numFmtId="0" fontId="7" fillId="9" borderId="20" xfId="0" applyFont="1" applyFill="1" applyBorder="1" applyAlignment="1">
      <alignment horizontal="center" vertical="center" textRotation="90" wrapText="1"/>
    </xf>
    <xf numFmtId="0" fontId="7" fillId="9" borderId="22" xfId="0" applyFont="1" applyFill="1" applyBorder="1" applyAlignment="1">
      <alignment horizontal="center" vertical="center" textRotation="90" wrapText="1"/>
    </xf>
    <xf numFmtId="0" fontId="7" fillId="9" borderId="27" xfId="0" applyFont="1" applyFill="1" applyBorder="1" applyAlignment="1">
      <alignment horizontal="center" vertical="center" textRotation="90" wrapText="1"/>
    </xf>
    <xf numFmtId="168" fontId="11" fillId="8" borderId="20" xfId="0" applyNumberFormat="1" applyFont="1" applyFill="1" applyBorder="1" applyAlignment="1">
      <alignment horizontal="center" vertical="center" wrapText="1"/>
    </xf>
    <xf numFmtId="168" fontId="11" fillId="8" borderId="22" xfId="0" applyNumberFormat="1" applyFont="1" applyFill="1" applyBorder="1" applyAlignment="1">
      <alignment horizontal="center" vertical="center" wrapText="1"/>
    </xf>
    <xf numFmtId="168" fontId="11" fillId="8" borderId="27" xfId="0" applyNumberFormat="1" applyFont="1" applyFill="1" applyBorder="1" applyAlignment="1">
      <alignment horizontal="center" vertical="center" wrapText="1"/>
    </xf>
    <xf numFmtId="3" fontId="11" fillId="8" borderId="20" xfId="0" applyNumberFormat="1" applyFont="1" applyFill="1" applyBorder="1" applyAlignment="1">
      <alignment horizontal="center" vertical="center" wrapText="1"/>
    </xf>
    <xf numFmtId="3" fontId="11" fillId="8" borderId="22" xfId="0" applyNumberFormat="1" applyFont="1" applyFill="1" applyBorder="1" applyAlignment="1">
      <alignment horizontal="center" vertical="center" wrapText="1"/>
    </xf>
    <xf numFmtId="1" fontId="11" fillId="8" borderId="22" xfId="0" applyNumberFormat="1" applyFont="1" applyFill="1" applyBorder="1" applyAlignment="1">
      <alignment horizontal="center" vertical="center" wrapText="1"/>
    </xf>
    <xf numFmtId="49" fontId="11" fillId="8" borderId="20" xfId="0" applyNumberFormat="1" applyFont="1" applyFill="1" applyBorder="1" applyAlignment="1">
      <alignment horizontal="center" vertical="center" textRotation="90" wrapText="1"/>
    </xf>
    <xf numFmtId="49" fontId="11" fillId="8" borderId="22" xfId="0" applyNumberFormat="1" applyFont="1" applyFill="1" applyBorder="1" applyAlignment="1">
      <alignment horizontal="center" vertical="center" textRotation="90" wrapText="1"/>
    </xf>
    <xf numFmtId="49" fontId="11" fillId="8" borderId="27" xfId="0" applyNumberFormat="1" applyFont="1" applyFill="1" applyBorder="1" applyAlignment="1">
      <alignment horizontal="center" vertical="center" textRotation="90" wrapText="1"/>
    </xf>
    <xf numFmtId="9" fontId="4" fillId="0" borderId="20" xfId="4" applyFont="1" applyBorder="1" applyAlignment="1">
      <alignment horizontal="center" vertical="center"/>
    </xf>
    <xf numFmtId="9" fontId="4" fillId="0" borderId="22" xfId="4" applyFont="1" applyBorder="1" applyAlignment="1">
      <alignment horizontal="center" vertical="center"/>
    </xf>
    <xf numFmtId="9" fontId="4" fillId="0" borderId="27" xfId="4" applyFont="1" applyBorder="1" applyAlignment="1">
      <alignment horizontal="center" vertical="center"/>
    </xf>
    <xf numFmtId="1" fontId="4" fillId="0" borderId="2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4" fillId="0" borderId="27"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20" xfId="0" applyFont="1" applyBorder="1" applyAlignment="1">
      <alignment horizontal="justify" vertical="center" wrapText="1"/>
    </xf>
    <xf numFmtId="1" fontId="4" fillId="0" borderId="27" xfId="0" applyNumberFormat="1" applyFont="1" applyBorder="1" applyAlignment="1">
      <alignment horizontal="justify" vertical="center" wrapText="1"/>
    </xf>
    <xf numFmtId="1" fontId="4" fillId="0" borderId="6" xfId="0" applyNumberFormat="1" applyFont="1" applyBorder="1" applyAlignment="1">
      <alignment horizontal="justify" vertical="center" wrapText="1"/>
    </xf>
    <xf numFmtId="1" fontId="4" fillId="0" borderId="27" xfId="0" applyNumberFormat="1" applyFont="1" applyBorder="1" applyAlignment="1">
      <alignment horizontal="center" vertical="center"/>
    </xf>
    <xf numFmtId="1" fontId="4" fillId="0" borderId="6" xfId="0" applyNumberFormat="1" applyFont="1" applyBorder="1" applyAlignment="1">
      <alignment horizontal="center" vertical="center"/>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50" xfId="0" applyFont="1" applyBorder="1" applyAlignment="1">
      <alignment horizontal="justify" vertical="center" wrapText="1"/>
    </xf>
    <xf numFmtId="0" fontId="24" fillId="6" borderId="20" xfId="0" applyFont="1" applyFill="1" applyBorder="1" applyAlignment="1" applyProtection="1">
      <alignment horizontal="justify" vertical="center" wrapText="1"/>
      <protection locked="0"/>
    </xf>
    <xf numFmtId="0" fontId="24" fillId="6" borderId="22" xfId="0" applyFont="1" applyFill="1" applyBorder="1" applyAlignment="1" applyProtection="1">
      <alignment horizontal="justify" vertical="center" wrapText="1"/>
      <protection locked="0"/>
    </xf>
    <xf numFmtId="0" fontId="24" fillId="6" borderId="27" xfId="0" applyFont="1" applyFill="1" applyBorder="1" applyAlignment="1" applyProtection="1">
      <alignment horizontal="justify" vertical="center" wrapText="1"/>
      <protection locked="0"/>
    </xf>
    <xf numFmtId="1" fontId="24" fillId="0" borderId="20" xfId="0" applyNumberFormat="1" applyFont="1" applyBorder="1" applyAlignment="1">
      <alignment horizontal="center" vertical="center"/>
    </xf>
    <xf numFmtId="1" fontId="24" fillId="0" borderId="27" xfId="0" applyNumberFormat="1" applyFont="1" applyBorder="1" applyAlignment="1">
      <alignment horizontal="center" vertical="center"/>
    </xf>
    <xf numFmtId="0" fontId="24" fillId="0" borderId="22"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2" xfId="0" applyFont="1" applyBorder="1" applyAlignment="1">
      <alignment horizontal="justify" vertical="center" wrapText="1"/>
    </xf>
    <xf numFmtId="0" fontId="24" fillId="0" borderId="29" xfId="0" applyFont="1" applyBorder="1" applyAlignment="1">
      <alignment horizontal="justify" vertical="center" wrapText="1"/>
    </xf>
    <xf numFmtId="9" fontId="4" fillId="0" borderId="29" xfId="4" applyFont="1" applyBorder="1" applyAlignment="1">
      <alignment horizontal="center" vertical="center"/>
    </xf>
    <xf numFmtId="0" fontId="24" fillId="0" borderId="2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0" xfId="0" applyFont="1" applyBorder="1" applyAlignment="1">
      <alignment horizontal="justify" vertical="center" wrapText="1"/>
    </xf>
    <xf numFmtId="0" fontId="24" fillId="0" borderId="27" xfId="0" applyFont="1" applyBorder="1" applyAlignment="1">
      <alignment horizontal="justify" vertical="center" wrapText="1"/>
    </xf>
    <xf numFmtId="43" fontId="4" fillId="0" borderId="20" xfId="4" applyNumberFormat="1" applyFont="1" applyBorder="1" applyAlignment="1">
      <alignment horizontal="center" vertical="center"/>
    </xf>
    <xf numFmtId="0" fontId="30" fillId="0" borderId="50" xfId="0" applyFont="1" applyBorder="1" applyAlignment="1">
      <alignment horizontal="center" vertical="center" wrapText="1"/>
    </xf>
    <xf numFmtId="0" fontId="24" fillId="0" borderId="50" xfId="0" applyFont="1" applyBorder="1" applyAlignment="1">
      <alignment horizontal="justify" vertical="center" wrapText="1"/>
    </xf>
    <xf numFmtId="0" fontId="4" fillId="0" borderId="20" xfId="0"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0" fontId="4" fillId="0" borderId="6" xfId="0" applyFont="1" applyBorder="1" applyAlignment="1">
      <alignment horizontal="justify" vertical="center"/>
    </xf>
    <xf numFmtId="0" fontId="4" fillId="0" borderId="20" xfId="0" applyFont="1" applyBorder="1" applyAlignment="1">
      <alignment horizontal="justify" vertical="center"/>
    </xf>
    <xf numFmtId="0" fontId="24" fillId="0" borderId="50" xfId="0" applyFont="1" applyBorder="1" applyAlignment="1">
      <alignment horizontal="center" vertical="center" wrapText="1"/>
    </xf>
    <xf numFmtId="0" fontId="24" fillId="0" borderId="58" xfId="0" applyFont="1" applyBorder="1" applyAlignment="1">
      <alignment horizontal="justify" vertical="center" wrapText="1"/>
    </xf>
    <xf numFmtId="1" fontId="4" fillId="0" borderId="20"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20" xfId="0" applyNumberFormat="1" applyFont="1" applyBorder="1" applyAlignment="1">
      <alignment horizontal="center" vertical="center"/>
    </xf>
    <xf numFmtId="1" fontId="4" fillId="0" borderId="16" xfId="0" applyNumberFormat="1" applyFont="1" applyBorder="1" applyAlignment="1">
      <alignment horizontal="center" vertical="center"/>
    </xf>
    <xf numFmtId="2" fontId="4" fillId="0" borderId="6" xfId="0" applyNumberFormat="1" applyFont="1" applyBorder="1" applyAlignment="1">
      <alignment vertical="center" wrapText="1"/>
    </xf>
    <xf numFmtId="2" fontId="4" fillId="0" borderId="20" xfId="0" applyNumberFormat="1" applyFont="1" applyBorder="1" applyAlignment="1">
      <alignment vertical="center" wrapText="1"/>
    </xf>
    <xf numFmtId="0" fontId="30" fillId="6" borderId="50" xfId="11" applyFont="1" applyFill="1" applyBorder="1" applyAlignment="1">
      <alignment horizontal="left" vertical="center" wrapText="1"/>
    </xf>
    <xf numFmtId="0" fontId="30" fillId="6" borderId="56" xfId="11" applyFont="1" applyFill="1" applyBorder="1" applyAlignment="1">
      <alignment horizontal="left" vertical="center" wrapText="1"/>
    </xf>
    <xf numFmtId="0" fontId="30" fillId="6" borderId="21" xfId="11" applyFont="1" applyFill="1" applyBorder="1" applyAlignment="1">
      <alignment horizontal="left" vertical="center" wrapText="1"/>
    </xf>
    <xf numFmtId="0" fontId="24" fillId="6" borderId="20" xfId="11" applyFont="1" applyFill="1" applyBorder="1" applyAlignment="1">
      <alignment horizontal="left" vertical="center" wrapText="1"/>
    </xf>
    <xf numFmtId="0" fontId="24" fillId="6" borderId="27" xfId="11" applyFont="1" applyFill="1" applyBorder="1" applyAlignment="1">
      <alignment horizontal="left" vertical="center" wrapText="1"/>
    </xf>
    <xf numFmtId="0" fontId="30" fillId="6" borderId="20" xfId="11" applyFont="1" applyFill="1" applyBorder="1" applyAlignment="1">
      <alignment horizontal="left" vertical="center" wrapText="1"/>
    </xf>
    <xf numFmtId="0" fontId="30" fillId="6" borderId="27" xfId="11" applyFont="1" applyFill="1" applyBorder="1" applyAlignment="1">
      <alignment horizontal="left" vertical="center" wrapText="1"/>
    </xf>
    <xf numFmtId="0" fontId="4" fillId="0" borderId="72" xfId="0" applyFont="1" applyBorder="1" applyAlignment="1">
      <alignment horizontal="justify" vertical="center" wrapText="1"/>
    </xf>
    <xf numFmtId="0" fontId="4" fillId="0" borderId="73" xfId="0" applyFont="1" applyBorder="1" applyAlignment="1">
      <alignment horizontal="justify" vertical="center" wrapText="1"/>
    </xf>
    <xf numFmtId="1" fontId="4" fillId="0" borderId="22" xfId="0" applyNumberFormat="1" applyFont="1" applyBorder="1" applyAlignment="1">
      <alignment horizontal="center" vertical="center"/>
    </xf>
    <xf numFmtId="172" fontId="4" fillId="0" borderId="6" xfId="0" applyNumberFormat="1" applyFont="1" applyBorder="1" applyAlignment="1">
      <alignment horizontal="center" vertical="center"/>
    </xf>
    <xf numFmtId="173" fontId="4" fillId="0" borderId="20" xfId="5" applyNumberFormat="1" applyFont="1" applyBorder="1" applyAlignment="1">
      <alignment horizontal="center" vertical="center"/>
    </xf>
    <xf numFmtId="173" fontId="4" fillId="0" borderId="22" xfId="5" applyNumberFormat="1" applyFont="1" applyBorder="1" applyAlignment="1">
      <alignment horizontal="center" vertical="center"/>
    </xf>
    <xf numFmtId="173" fontId="4" fillId="0" borderId="27" xfId="5" applyNumberFormat="1" applyFont="1" applyBorder="1" applyAlignment="1">
      <alignment horizontal="center" vertical="center"/>
    </xf>
    <xf numFmtId="172" fontId="4" fillId="0" borderId="20" xfId="0" applyNumberFormat="1" applyFont="1" applyBorder="1" applyAlignment="1">
      <alignment horizontal="center" vertical="center"/>
    </xf>
    <xf numFmtId="0" fontId="4" fillId="0" borderId="20" xfId="5" applyNumberFormat="1" applyFont="1" applyBorder="1" applyAlignment="1">
      <alignment horizontal="center" vertical="center"/>
    </xf>
    <xf numFmtId="0" fontId="4" fillId="0" borderId="22" xfId="5" applyNumberFormat="1" applyFont="1" applyBorder="1" applyAlignment="1">
      <alignment horizontal="center" vertical="center"/>
    </xf>
    <xf numFmtId="0" fontId="4" fillId="0" borderId="27" xfId="5" applyNumberFormat="1" applyFont="1" applyBorder="1" applyAlignment="1">
      <alignment horizontal="center" vertical="center"/>
    </xf>
    <xf numFmtId="0" fontId="4" fillId="0" borderId="20" xfId="5" applyNumberFormat="1" applyFont="1" applyBorder="1" applyAlignment="1">
      <alignment horizontal="center" vertical="center" wrapText="1"/>
    </xf>
    <xf numFmtId="0" fontId="4" fillId="0" borderId="22" xfId="5" applyNumberFormat="1" applyFont="1" applyBorder="1" applyAlignment="1">
      <alignment horizontal="center" vertical="center" wrapText="1"/>
    </xf>
    <xf numFmtId="0" fontId="4" fillId="0" borderId="27" xfId="5" applyNumberFormat="1" applyFont="1" applyBorder="1" applyAlignment="1">
      <alignment horizontal="center" vertical="center" wrapText="1"/>
    </xf>
    <xf numFmtId="3" fontId="4" fillId="0" borderId="53" xfId="0" applyNumberFormat="1" applyFont="1" applyBorder="1" applyAlignment="1">
      <alignment horizontal="center" vertical="center"/>
    </xf>
    <xf numFmtId="3" fontId="4" fillId="0" borderId="50" xfId="0" applyNumberFormat="1" applyFont="1" applyBorder="1" applyAlignment="1">
      <alignment horizontal="center" vertical="center"/>
    </xf>
    <xf numFmtId="0" fontId="4" fillId="0" borderId="13"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25" xfId="5" applyNumberFormat="1" applyFont="1" applyBorder="1" applyAlignment="1">
      <alignment horizontal="center" vertical="center"/>
    </xf>
    <xf numFmtId="0" fontId="4" fillId="0" borderId="13" xfId="5" applyNumberFormat="1" applyFont="1" applyBorder="1" applyAlignment="1">
      <alignment horizontal="center" vertical="center"/>
    </xf>
    <xf numFmtId="0" fontId="4" fillId="0" borderId="14" xfId="0" applyFont="1" applyBorder="1" applyAlignment="1">
      <alignment horizontal="justify" vertical="center" wrapText="1"/>
    </xf>
    <xf numFmtId="0" fontId="24" fillId="0" borderId="20" xfId="0" applyFont="1" applyBorder="1" applyAlignment="1">
      <alignment horizontal="left" vertical="center" wrapText="1"/>
    </xf>
    <xf numFmtId="0" fontId="24" fillId="0" borderId="27" xfId="0" applyFont="1" applyBorder="1" applyAlignment="1">
      <alignment horizontal="left" vertical="center" wrapText="1"/>
    </xf>
    <xf numFmtId="0" fontId="24" fillId="0" borderId="21" xfId="0" applyFont="1" applyBorder="1" applyAlignment="1">
      <alignment horizontal="left" vertical="center" wrapText="1"/>
    </xf>
    <xf numFmtId="0" fontId="24" fillId="0" borderId="50" xfId="0" applyFont="1" applyBorder="1" applyAlignment="1">
      <alignment horizontal="left" vertical="center" wrapText="1"/>
    </xf>
    <xf numFmtId="43" fontId="4" fillId="0" borderId="57" xfId="5" applyFont="1" applyFill="1" applyBorder="1" applyAlignment="1">
      <alignment horizontal="center" vertical="center"/>
    </xf>
    <xf numFmtId="43" fontId="4" fillId="0" borderId="60" xfId="5" applyFont="1" applyFill="1" applyBorder="1" applyAlignment="1">
      <alignment horizontal="center" vertical="center"/>
    </xf>
    <xf numFmtId="1" fontId="4" fillId="0" borderId="54" xfId="0" applyNumberFormat="1" applyFont="1" applyFill="1" applyBorder="1" applyAlignment="1">
      <alignment horizontal="center" vertical="center" wrapText="1"/>
    </xf>
    <xf numFmtId="1" fontId="4" fillId="0" borderId="53" xfId="0" applyNumberFormat="1" applyFont="1" applyFill="1" applyBorder="1" applyAlignment="1">
      <alignment horizontal="center" vertical="center" wrapText="1"/>
    </xf>
    <xf numFmtId="0" fontId="24" fillId="0" borderId="19" xfId="0" applyFont="1" applyFill="1" applyBorder="1" applyAlignment="1">
      <alignment horizontal="justify" vertical="center" wrapText="1"/>
    </xf>
    <xf numFmtId="0" fontId="24" fillId="0" borderId="21" xfId="0" applyFont="1" applyFill="1" applyBorder="1" applyAlignment="1">
      <alignment horizontal="justify" vertical="center" wrapText="1"/>
    </xf>
    <xf numFmtId="2" fontId="4" fillId="0" borderId="22" xfId="0" applyNumberFormat="1" applyFont="1" applyBorder="1" applyAlignment="1">
      <alignment vertical="center" wrapText="1"/>
    </xf>
    <xf numFmtId="2" fontId="4" fillId="0" borderId="27" xfId="0" applyNumberFormat="1" applyFont="1" applyBorder="1" applyAlignment="1">
      <alignment vertical="center" wrapText="1"/>
    </xf>
    <xf numFmtId="0" fontId="4" fillId="0" borderId="27" xfId="0" applyFont="1" applyBorder="1" applyAlignment="1">
      <alignment horizontal="justify" vertical="center"/>
    </xf>
    <xf numFmtId="9" fontId="4" fillId="0" borderId="6" xfId="4" applyFont="1" applyBorder="1" applyAlignment="1">
      <alignment horizontal="center" vertical="center"/>
    </xf>
    <xf numFmtId="170" fontId="4" fillId="0" borderId="27" xfId="0" applyNumberFormat="1" applyFont="1" applyBorder="1" applyAlignment="1">
      <alignment horizontal="center" vertical="center"/>
    </xf>
    <xf numFmtId="170" fontId="4" fillId="0" borderId="6" xfId="0" applyNumberFormat="1" applyFont="1" applyBorder="1" applyAlignment="1">
      <alignment horizontal="center" vertical="center"/>
    </xf>
    <xf numFmtId="0" fontId="4" fillId="0" borderId="22" xfId="0" applyFont="1" applyBorder="1" applyAlignment="1">
      <alignment horizontal="center" vertical="center" wrapText="1"/>
    </xf>
    <xf numFmtId="172" fontId="4" fillId="0" borderId="50" xfId="0" applyNumberFormat="1" applyFont="1" applyBorder="1" applyAlignment="1">
      <alignment horizontal="center" vertical="center"/>
    </xf>
    <xf numFmtId="1" fontId="4" fillId="0" borderId="50" xfId="0" applyNumberFormat="1" applyFont="1" applyBorder="1" applyAlignment="1">
      <alignment horizontal="center" vertical="center" wrapText="1"/>
    </xf>
    <xf numFmtId="1" fontId="4" fillId="0" borderId="23" xfId="0" applyNumberFormat="1" applyFont="1" applyBorder="1" applyAlignment="1">
      <alignment horizontal="justify"/>
    </xf>
    <xf numFmtId="0" fontId="6" fillId="0" borderId="0" xfId="0" applyFont="1" applyAlignment="1">
      <alignment horizontal="justify" vertical="center" wrapText="1"/>
    </xf>
    <xf numFmtId="0" fontId="4" fillId="0" borderId="23" xfId="0" applyFont="1" applyBorder="1" applyAlignment="1">
      <alignment horizontal="justify"/>
    </xf>
    <xf numFmtId="0" fontId="4" fillId="0" borderId="0" xfId="0" applyFont="1" applyBorder="1" applyAlignment="1">
      <alignment horizontal="justify"/>
    </xf>
    <xf numFmtId="1" fontId="4" fillId="0" borderId="53" xfId="0" applyNumberFormat="1" applyFont="1" applyBorder="1" applyAlignment="1">
      <alignment horizontal="center" vertical="center" wrapText="1"/>
    </xf>
    <xf numFmtId="1" fontId="4" fillId="0" borderId="50" xfId="0" applyNumberFormat="1" applyFont="1" applyBorder="1" applyAlignment="1">
      <alignment horizontal="center" vertical="center"/>
    </xf>
    <xf numFmtId="1" fontId="4" fillId="0" borderId="53" xfId="0" applyNumberFormat="1" applyFont="1" applyBorder="1" applyAlignment="1">
      <alignment horizontal="center" vertical="center"/>
    </xf>
    <xf numFmtId="0" fontId="4" fillId="0" borderId="5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3" xfId="0" applyFont="1" applyBorder="1" applyAlignment="1">
      <alignment horizontal="justify" vertical="center"/>
    </xf>
    <xf numFmtId="0" fontId="4" fillId="0" borderId="50" xfId="0" applyFont="1" applyBorder="1" applyAlignment="1">
      <alignment horizontal="justify" vertical="center"/>
    </xf>
    <xf numFmtId="9" fontId="4" fillId="0" borderId="53" xfId="4" applyFont="1" applyBorder="1" applyAlignment="1">
      <alignment horizontal="center" vertical="center"/>
    </xf>
    <xf numFmtId="9" fontId="4" fillId="0" borderId="50" xfId="4" applyFont="1" applyBorder="1" applyAlignment="1">
      <alignment horizontal="center" vertical="center"/>
    </xf>
    <xf numFmtId="0" fontId="16" fillId="0" borderId="50" xfId="0" applyFont="1" applyBorder="1" applyAlignment="1">
      <alignment horizontal="justify" vertical="center" wrapText="1"/>
    </xf>
    <xf numFmtId="9" fontId="16" fillId="0" borderId="50" xfId="4" applyFont="1" applyBorder="1" applyAlignment="1">
      <alignment horizontal="center" vertical="center" wrapText="1"/>
    </xf>
    <xf numFmtId="43" fontId="16" fillId="0" borderId="50" xfId="5" applyFont="1" applyBorder="1" applyAlignment="1">
      <alignment horizontal="center" vertical="center" wrapText="1"/>
    </xf>
    <xf numFmtId="0" fontId="24" fillId="0" borderId="19" xfId="0" applyFont="1" applyBorder="1" applyAlignment="1">
      <alignment horizontal="left" vertical="center" wrapText="1"/>
    </xf>
    <xf numFmtId="0" fontId="24" fillId="0" borderId="22" xfId="0" applyFont="1" applyBorder="1" applyAlignment="1">
      <alignment horizontal="left" vertical="center" wrapText="1"/>
    </xf>
    <xf numFmtId="0" fontId="29" fillId="0" borderId="50" xfId="13" applyFont="1" applyBorder="1" applyAlignment="1">
      <alignment horizontal="left" vertical="center" wrapText="1"/>
    </xf>
    <xf numFmtId="0" fontId="0" fillId="6" borderId="50" xfId="13" applyFont="1" applyFill="1" applyBorder="1" applyAlignment="1">
      <alignment horizontal="left" vertical="center" wrapText="1"/>
    </xf>
    <xf numFmtId="1" fontId="4" fillId="0" borderId="51" xfId="0" applyNumberFormat="1" applyFont="1" applyBorder="1" applyAlignment="1">
      <alignment horizontal="center" vertical="center"/>
    </xf>
    <xf numFmtId="2" fontId="4" fillId="0" borderId="50" xfId="0" applyNumberFormat="1" applyFont="1" applyBorder="1" applyAlignment="1">
      <alignment vertical="center" wrapText="1"/>
    </xf>
    <xf numFmtId="2" fontId="16" fillId="0" borderId="50" xfId="0" applyNumberFormat="1" applyFont="1" applyBorder="1" applyAlignment="1">
      <alignment horizontal="center" vertical="center" wrapText="1"/>
    </xf>
    <xf numFmtId="0" fontId="16" fillId="0" borderId="50" xfId="0" applyFont="1" applyBorder="1" applyAlignment="1">
      <alignment horizontal="center" vertical="center" wrapText="1"/>
    </xf>
    <xf numFmtId="0" fontId="4" fillId="0" borderId="12" xfId="0" applyFont="1" applyBorder="1" applyAlignment="1">
      <alignment horizontal="justify" vertical="center" wrapText="1"/>
    </xf>
    <xf numFmtId="1" fontId="4" fillId="0" borderId="6" xfId="0" applyNumberFormat="1" applyFont="1" applyBorder="1" applyAlignment="1">
      <alignment vertical="center" wrapText="1"/>
    </xf>
    <xf numFmtId="0" fontId="1" fillId="6" borderId="20" xfId="0" applyFont="1" applyFill="1" applyBorder="1" applyAlignment="1">
      <alignment horizontal="left" vertical="center" wrapText="1"/>
    </xf>
    <xf numFmtId="0" fontId="1" fillId="6" borderId="27"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27" xfId="0" applyFont="1" applyBorder="1" applyAlignment="1">
      <alignment horizontal="left" vertical="center" wrapText="1"/>
    </xf>
    <xf numFmtId="0" fontId="1" fillId="6" borderId="22" xfId="0" applyFont="1" applyFill="1" applyBorder="1" applyAlignment="1">
      <alignment horizontal="left" vertical="center" wrapText="1"/>
    </xf>
    <xf numFmtId="0" fontId="4" fillId="0" borderId="54" xfId="0" applyFont="1" applyBorder="1" applyAlignment="1">
      <alignment horizontal="center" vertical="center" wrapText="1"/>
    </xf>
    <xf numFmtId="0" fontId="4" fillId="0" borderId="54" xfId="0" applyFont="1" applyBorder="1" applyAlignment="1">
      <alignment horizontal="justify" vertical="center" wrapText="1"/>
    </xf>
    <xf numFmtId="9" fontId="4" fillId="0" borderId="50" xfId="4" applyFont="1" applyBorder="1" applyAlignment="1">
      <alignment horizontal="center" vertical="center" wrapText="1"/>
    </xf>
    <xf numFmtId="9" fontId="4" fillId="0" borderId="54" xfId="4" applyFont="1" applyBorder="1" applyAlignment="1">
      <alignment horizontal="center" vertical="center" wrapText="1"/>
    </xf>
    <xf numFmtId="43" fontId="4" fillId="0" borderId="50" xfId="5" applyFont="1" applyBorder="1" applyAlignment="1">
      <alignment horizontal="center" vertical="center" wrapText="1"/>
    </xf>
    <xf numFmtId="43" fontId="4" fillId="0" borderId="54" xfId="5" applyFont="1" applyBorder="1" applyAlignment="1">
      <alignment horizontal="center" vertical="center" wrapText="1"/>
    </xf>
    <xf numFmtId="0" fontId="1" fillId="6" borderId="50" xfId="0" applyFont="1" applyFill="1" applyBorder="1" applyAlignment="1">
      <alignment horizontal="center" vertical="center" wrapText="1"/>
    </xf>
    <xf numFmtId="3" fontId="4" fillId="0" borderId="20" xfId="0" applyNumberFormat="1" applyFont="1" applyBorder="1" applyAlignment="1">
      <alignment horizontal="justify" vertical="center" wrapText="1"/>
    </xf>
    <xf numFmtId="3" fontId="4" fillId="0" borderId="22" xfId="0" applyNumberFormat="1" applyFont="1" applyBorder="1" applyAlignment="1">
      <alignment horizontal="justify" vertical="center" wrapText="1"/>
    </xf>
    <xf numFmtId="3" fontId="4" fillId="0" borderId="27" xfId="0" applyNumberFormat="1" applyFont="1" applyBorder="1" applyAlignment="1">
      <alignment horizontal="justify" vertical="center" wrapText="1"/>
    </xf>
    <xf numFmtId="0" fontId="4" fillId="0" borderId="52" xfId="0" applyFont="1" applyBorder="1" applyAlignment="1">
      <alignment horizontal="justify" vertical="center" wrapText="1"/>
    </xf>
    <xf numFmtId="0" fontId="4" fillId="0" borderId="70" xfId="0" applyFont="1" applyBorder="1" applyAlignment="1">
      <alignment horizontal="justify" vertical="center" wrapText="1"/>
    </xf>
    <xf numFmtId="0" fontId="4" fillId="0" borderId="71" xfId="0" applyFont="1" applyBorder="1" applyAlignment="1">
      <alignment horizontal="justify" vertical="center" wrapText="1"/>
    </xf>
    <xf numFmtId="1" fontId="4" fillId="0" borderId="22" xfId="0" applyNumberFormat="1" applyFont="1" applyBorder="1" applyAlignment="1">
      <alignment horizontal="center" vertical="center" wrapText="1"/>
    </xf>
    <xf numFmtId="0" fontId="4" fillId="0" borderId="22" xfId="0" applyFont="1" applyBorder="1" applyAlignment="1">
      <alignment horizontal="justify" vertical="center" wrapText="1"/>
    </xf>
    <xf numFmtId="1" fontId="4" fillId="0" borderId="20" xfId="5" applyNumberFormat="1" applyFont="1" applyBorder="1" applyAlignment="1">
      <alignment horizontal="center" vertical="center" wrapText="1"/>
    </xf>
    <xf numFmtId="1" fontId="4" fillId="0" borderId="22" xfId="5" applyNumberFormat="1" applyFont="1" applyBorder="1" applyAlignment="1">
      <alignment horizontal="center" vertical="center" wrapText="1"/>
    </xf>
    <xf numFmtId="1" fontId="4" fillId="0" borderId="27" xfId="5" applyNumberFormat="1" applyFont="1" applyBorder="1" applyAlignment="1">
      <alignment horizontal="center" vertical="center" wrapText="1"/>
    </xf>
    <xf numFmtId="0" fontId="4" fillId="0" borderId="6" xfId="5" applyNumberFormat="1" applyFont="1" applyBorder="1" applyAlignment="1">
      <alignment horizontal="center" vertical="center"/>
    </xf>
    <xf numFmtId="172" fontId="4" fillId="0" borderId="22" xfId="0" applyNumberFormat="1" applyFont="1" applyBorder="1" applyAlignment="1">
      <alignment horizontal="center" vertical="center"/>
    </xf>
    <xf numFmtId="172" fontId="4" fillId="0" borderId="27" xfId="0" applyNumberFormat="1" applyFont="1" applyBorder="1" applyAlignment="1">
      <alignment horizontal="center" vertical="center"/>
    </xf>
    <xf numFmtId="1" fontId="4" fillId="0" borderId="6" xfId="5" applyNumberFormat="1" applyFont="1" applyBorder="1" applyAlignment="1">
      <alignment horizontal="center" vertical="center" wrapText="1"/>
    </xf>
    <xf numFmtId="1" fontId="4" fillId="0" borderId="20" xfId="5" applyNumberFormat="1" applyFont="1" applyBorder="1" applyAlignment="1">
      <alignment horizontal="center" vertical="center"/>
    </xf>
    <xf numFmtId="1" fontId="4" fillId="0" borderId="22" xfId="5" applyNumberFormat="1" applyFont="1" applyBorder="1" applyAlignment="1">
      <alignment horizontal="center" vertical="center"/>
    </xf>
    <xf numFmtId="1" fontId="4" fillId="0" borderId="25" xfId="5" applyNumberFormat="1" applyFont="1" applyBorder="1" applyAlignment="1">
      <alignment horizontal="center" vertical="center"/>
    </xf>
    <xf numFmtId="1" fontId="4" fillId="0" borderId="13" xfId="5" applyNumberFormat="1" applyFont="1" applyBorder="1" applyAlignment="1">
      <alignment horizontal="center" vertical="center"/>
    </xf>
    <xf numFmtId="0" fontId="22" fillId="0" borderId="20" xfId="0" applyFont="1" applyBorder="1" applyAlignment="1">
      <alignment horizontal="left" vertical="center" wrapText="1"/>
    </xf>
    <xf numFmtId="0" fontId="22" fillId="0" borderId="27" xfId="0" applyFont="1" applyBorder="1" applyAlignment="1">
      <alignment horizontal="left" vertical="center" wrapText="1"/>
    </xf>
    <xf numFmtId="0" fontId="22" fillId="0" borderId="6" xfId="0" applyFont="1" applyBorder="1" applyAlignment="1">
      <alignment horizontal="left" vertical="center" wrapText="1"/>
    </xf>
    <xf numFmtId="0" fontId="22" fillId="0" borderId="21" xfId="0" applyFont="1" applyBorder="1" applyAlignment="1">
      <alignment horizontal="left" vertical="center" wrapText="1"/>
    </xf>
    <xf numFmtId="1" fontId="4" fillId="0" borderId="14" xfId="0" applyNumberFormat="1" applyFont="1" applyBorder="1" applyAlignment="1">
      <alignment horizontal="center" vertical="center" wrapText="1"/>
    </xf>
    <xf numFmtId="43" fontId="4" fillId="0" borderId="6" xfId="5" applyFont="1" applyBorder="1" applyAlignment="1">
      <alignment horizontal="center" vertical="center"/>
    </xf>
    <xf numFmtId="0" fontId="4" fillId="0" borderId="6" xfId="0" applyFont="1" applyBorder="1" applyAlignment="1">
      <alignment horizontal="center" vertical="center"/>
    </xf>
    <xf numFmtId="1" fontId="4" fillId="0" borderId="19" xfId="5" applyNumberFormat="1" applyFont="1" applyBorder="1" applyAlignment="1">
      <alignment horizontal="center" vertical="center" wrapText="1"/>
    </xf>
    <xf numFmtId="1" fontId="4" fillId="0" borderId="23" xfId="5" applyNumberFormat="1" applyFont="1" applyBorder="1" applyAlignment="1">
      <alignment horizontal="center" vertical="center" wrapText="1"/>
    </xf>
    <xf numFmtId="1" fontId="4" fillId="0" borderId="21" xfId="5" applyNumberFormat="1" applyFont="1" applyBorder="1" applyAlignment="1">
      <alignment horizontal="center" vertical="center" wrapText="1"/>
    </xf>
    <xf numFmtId="0" fontId="4" fillId="0" borderId="25" xfId="0" applyFont="1" applyBorder="1" applyAlignment="1">
      <alignment horizontal="justify" vertical="center" wrapText="1"/>
    </xf>
    <xf numFmtId="43" fontId="4" fillId="0" borderId="20" xfId="5" applyFont="1" applyBorder="1" applyAlignment="1">
      <alignment horizontal="center" vertical="center" wrapText="1"/>
    </xf>
    <xf numFmtId="43" fontId="4" fillId="0" borderId="22" xfId="5" applyFont="1" applyBorder="1" applyAlignment="1">
      <alignment horizontal="center" vertical="center" wrapText="1"/>
    </xf>
    <xf numFmtId="0" fontId="4" fillId="0" borderId="6" xfId="5" applyNumberFormat="1" applyFont="1" applyBorder="1" applyAlignment="1">
      <alignment vertical="center" wrapText="1"/>
    </xf>
    <xf numFmtId="0" fontId="4" fillId="0" borderId="6" xfId="0" applyFont="1" applyBorder="1" applyAlignment="1">
      <alignment vertical="center"/>
    </xf>
    <xf numFmtId="0" fontId="6" fillId="15" borderId="15" xfId="0" applyFont="1" applyFill="1" applyBorder="1" applyAlignment="1">
      <alignment horizontal="left" vertical="center"/>
    </xf>
    <xf numFmtId="0" fontId="4" fillId="0" borderId="16" xfId="5" applyNumberFormat="1" applyFont="1" applyBorder="1" applyAlignment="1">
      <alignment horizontal="center" vertical="center"/>
    </xf>
    <xf numFmtId="0" fontId="22" fillId="0" borderId="6" xfId="0" applyFont="1" applyBorder="1" applyAlignment="1">
      <alignment horizontal="justify" vertical="center" wrapText="1"/>
    </xf>
    <xf numFmtId="0" fontId="6" fillId="13" borderId="15" xfId="0" applyFont="1" applyFill="1" applyBorder="1" applyAlignment="1">
      <alignment horizontal="left" vertical="center"/>
    </xf>
    <xf numFmtId="0" fontId="6" fillId="14" borderId="15" xfId="0" applyFont="1" applyFill="1" applyBorder="1" applyAlignment="1">
      <alignment horizontal="left" vertical="center"/>
    </xf>
    <xf numFmtId="43" fontId="4" fillId="0" borderId="6" xfId="5"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6" fillId="0" borderId="11" xfId="0" applyFont="1" applyBorder="1" applyAlignment="1">
      <alignment horizontal="center" vertical="center"/>
    </xf>
    <xf numFmtId="0" fontId="6" fillId="0" borderId="6" xfId="0" applyFont="1" applyBorder="1" applyAlignment="1">
      <alignment horizontal="center" vertical="center"/>
    </xf>
    <xf numFmtId="1" fontId="6" fillId="12" borderId="20" xfId="0" applyNumberFormat="1" applyFont="1" applyFill="1" applyBorder="1" applyAlignment="1">
      <alignment horizontal="center" vertical="center" wrapText="1"/>
    </xf>
    <xf numFmtId="1" fontId="6" fillId="12" borderId="22" xfId="0" applyNumberFormat="1"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6" fillId="12" borderId="25"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6" fillId="12" borderId="22" xfId="0" applyFont="1" applyFill="1" applyBorder="1" applyAlignment="1">
      <alignment horizontal="center" vertical="center" wrapText="1"/>
    </xf>
    <xf numFmtId="3" fontId="6" fillId="12" borderId="20" xfId="0" applyNumberFormat="1" applyFont="1" applyFill="1" applyBorder="1" applyAlignment="1">
      <alignment horizontal="center" vertical="center" wrapText="1"/>
    </xf>
    <xf numFmtId="3" fontId="6" fillId="12" borderId="22" xfId="0" applyNumberFormat="1" applyFont="1" applyFill="1" applyBorder="1" applyAlignment="1">
      <alignment horizontal="center" vertical="center" wrapText="1"/>
    </xf>
    <xf numFmtId="171" fontId="6" fillId="4" borderId="19" xfId="0" applyNumberFormat="1" applyFont="1" applyFill="1" applyBorder="1" applyAlignment="1">
      <alignment horizontal="center" vertical="center" textRotation="90" wrapText="1"/>
    </xf>
    <xf numFmtId="171" fontId="6" fillId="4" borderId="23" xfId="0" applyNumberFormat="1" applyFont="1" applyFill="1" applyBorder="1" applyAlignment="1">
      <alignment horizontal="center" vertical="center" textRotation="90" wrapText="1"/>
    </xf>
    <xf numFmtId="171" fontId="6" fillId="12" borderId="19" xfId="0" applyNumberFormat="1" applyFont="1" applyFill="1" applyBorder="1" applyAlignment="1">
      <alignment horizontal="center" vertical="center" wrapText="1"/>
    </xf>
    <xf numFmtId="171" fontId="6" fillId="12" borderId="23" xfId="0" applyNumberFormat="1" applyFont="1" applyFill="1" applyBorder="1" applyAlignment="1">
      <alignment horizontal="center" vertical="center" wrapText="1"/>
    </xf>
    <xf numFmtId="3" fontId="7" fillId="4" borderId="14" xfId="0" applyNumberFormat="1" applyFont="1" applyFill="1" applyBorder="1" applyAlignment="1">
      <alignment horizontal="center" vertical="center" wrapText="1"/>
    </xf>
    <xf numFmtId="3" fontId="7" fillId="4" borderId="15" xfId="0"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9" xfId="0" applyFont="1" applyFill="1" applyBorder="1" applyAlignment="1">
      <alignment horizontal="center" vertical="center" wrapText="1"/>
    </xf>
    <xf numFmtId="0" fontId="7" fillId="4" borderId="11" xfId="0" applyFont="1" applyFill="1" applyBorder="1" applyAlignment="1">
      <alignment horizontal="center" vertical="center" wrapText="1"/>
    </xf>
    <xf numFmtId="169" fontId="6" fillId="12" borderId="20" xfId="0" applyNumberFormat="1" applyFont="1" applyFill="1" applyBorder="1" applyAlignment="1">
      <alignment horizontal="center" vertical="center" wrapText="1"/>
    </xf>
    <xf numFmtId="169" fontId="6" fillId="12" borderId="22" xfId="0" applyNumberFormat="1" applyFont="1" applyFill="1" applyBorder="1" applyAlignment="1">
      <alignment horizontal="center" vertical="center" wrapText="1"/>
    </xf>
    <xf numFmtId="170" fontId="6" fillId="12" borderId="20" xfId="0" applyNumberFormat="1" applyFont="1" applyFill="1" applyBorder="1" applyAlignment="1">
      <alignment horizontal="center" vertical="center" wrapText="1"/>
    </xf>
    <xf numFmtId="170" fontId="6" fillId="12" borderId="22" xfId="0" applyNumberFormat="1" applyFont="1" applyFill="1" applyBorder="1" applyAlignment="1">
      <alignment horizontal="center" vertical="center" wrapText="1"/>
    </xf>
    <xf numFmtId="0" fontId="6" fillId="12" borderId="21" xfId="0" applyFont="1" applyFill="1" applyBorder="1" applyAlignment="1">
      <alignment horizontal="center" vertical="center" wrapText="1"/>
    </xf>
    <xf numFmtId="41" fontId="6" fillId="12" borderId="20" xfId="8" applyFont="1" applyFill="1" applyBorder="1" applyAlignment="1">
      <alignment horizontal="right" vertical="center" wrapText="1"/>
    </xf>
    <xf numFmtId="41" fontId="6" fillId="12" borderId="22" xfId="8" applyFont="1" applyFill="1" applyBorder="1" applyAlignment="1">
      <alignment horizontal="right" vertical="center" wrapText="1"/>
    </xf>
    <xf numFmtId="9" fontId="4" fillId="0" borderId="14" xfId="4" applyFont="1" applyBorder="1" applyAlignment="1">
      <alignment horizontal="center" vertical="center" wrapText="1"/>
    </xf>
    <xf numFmtId="0" fontId="16" fillId="0" borderId="51" xfId="0" applyFont="1" applyBorder="1" applyAlignment="1">
      <alignment horizontal="center" vertical="center" wrapText="1"/>
    </xf>
    <xf numFmtId="0" fontId="24" fillId="0" borderId="23" xfId="0" applyFont="1" applyBorder="1" applyAlignment="1">
      <alignment horizontal="justify" vertical="center" wrapText="1"/>
    </xf>
    <xf numFmtId="0" fontId="4" fillId="0" borderId="56" xfId="0" applyFont="1" applyBorder="1" applyAlignment="1">
      <alignment horizontal="justify" vertical="center" wrapText="1"/>
    </xf>
    <xf numFmtId="0" fontId="6" fillId="16" borderId="15" xfId="0" applyFont="1" applyFill="1" applyBorder="1" applyAlignment="1">
      <alignment horizontal="left" vertical="center"/>
    </xf>
    <xf numFmtId="0" fontId="6" fillId="17" borderId="15" xfId="0" applyFont="1" applyFill="1" applyBorder="1" applyAlignment="1">
      <alignment horizontal="left" vertical="center"/>
    </xf>
    <xf numFmtId="0" fontId="4" fillId="0" borderId="0" xfId="0" applyFont="1" applyAlignment="1">
      <alignment horizontal="justify" vertical="center" wrapText="1"/>
    </xf>
    <xf numFmtId="0" fontId="4" fillId="0" borderId="23" xfId="0" applyFont="1" applyBorder="1" applyAlignment="1">
      <alignment horizontal="justify" vertical="center" wrapText="1"/>
    </xf>
    <xf numFmtId="0" fontId="4" fillId="0" borderId="0" xfId="0" applyFont="1" applyBorder="1" applyAlignment="1">
      <alignment horizontal="justify" vertical="center" wrapText="1"/>
    </xf>
    <xf numFmtId="0" fontId="24" fillId="6" borderId="67" xfId="0" applyFont="1" applyFill="1" applyBorder="1" applyAlignment="1" applyProtection="1">
      <alignment horizontal="justify" vertical="center" wrapText="1"/>
      <protection locked="0"/>
    </xf>
    <xf numFmtId="0" fontId="24" fillId="6" borderId="74" xfId="0" applyFont="1" applyFill="1" applyBorder="1" applyAlignment="1" applyProtection="1">
      <alignment horizontal="justify" vertical="center" wrapText="1"/>
      <protection locked="0"/>
    </xf>
    <xf numFmtId="0" fontId="24" fillId="6" borderId="68" xfId="0" applyFont="1" applyFill="1" applyBorder="1" applyAlignment="1" applyProtection="1">
      <alignment horizontal="justify" vertical="center" wrapText="1"/>
      <protection locked="0"/>
    </xf>
    <xf numFmtId="0" fontId="24" fillId="6" borderId="29" xfId="0" applyFont="1" applyFill="1" applyBorder="1" applyAlignment="1" applyProtection="1">
      <alignment horizontal="justify" vertical="center" wrapText="1"/>
      <protection locked="0"/>
    </xf>
    <xf numFmtId="1" fontId="24" fillId="0" borderId="22" xfId="0" applyNumberFormat="1" applyFont="1" applyBorder="1" applyAlignment="1">
      <alignment horizontal="center" vertical="center"/>
    </xf>
    <xf numFmtId="1" fontId="24" fillId="0" borderId="29" xfId="0" applyNumberFormat="1" applyFont="1" applyBorder="1" applyAlignment="1">
      <alignment horizontal="center" vertical="center"/>
    </xf>
    <xf numFmtId="0" fontId="6" fillId="12" borderId="27" xfId="0" applyFont="1" applyFill="1" applyBorder="1" applyAlignment="1">
      <alignment horizontal="center" vertical="center" wrapText="1"/>
    </xf>
    <xf numFmtId="3" fontId="4" fillId="0" borderId="22" xfId="0" applyNumberFormat="1" applyFont="1" applyBorder="1" applyAlignment="1">
      <alignment horizontal="center" vertical="center"/>
    </xf>
    <xf numFmtId="3" fontId="4" fillId="0" borderId="27" xfId="0" applyNumberFormat="1" applyFont="1" applyBorder="1" applyAlignment="1">
      <alignment horizontal="center" vertical="center"/>
    </xf>
    <xf numFmtId="0" fontId="4" fillId="0" borderId="14" xfId="0" applyFont="1" applyBorder="1" applyAlignment="1">
      <alignment horizontal="center" vertical="center" wrapText="1"/>
    </xf>
    <xf numFmtId="9" fontId="4" fillId="0" borderId="6" xfId="3" applyFont="1" applyBorder="1" applyAlignment="1">
      <alignment horizontal="center" vertical="center" wrapText="1"/>
    </xf>
    <xf numFmtId="43" fontId="4" fillId="0" borderId="6" xfId="1" applyFont="1" applyFill="1" applyBorder="1" applyAlignment="1">
      <alignment horizontal="right" vertical="center" wrapText="1"/>
    </xf>
    <xf numFmtId="9" fontId="4" fillId="0" borderId="20" xfId="3" applyFont="1" applyBorder="1" applyAlignment="1">
      <alignment horizontal="center" vertical="center" wrapText="1"/>
    </xf>
    <xf numFmtId="9" fontId="4" fillId="0" borderId="27" xfId="3"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1" fontId="6" fillId="12" borderId="35" xfId="0" applyNumberFormat="1" applyFont="1" applyFill="1" applyBorder="1" applyAlignment="1">
      <alignment horizontal="center" vertical="center" wrapText="1"/>
    </xf>
    <xf numFmtId="1" fontId="6" fillId="12" borderId="37" xfId="0" applyNumberFormat="1" applyFont="1" applyFill="1" applyBorder="1" applyAlignment="1">
      <alignment horizontal="center" vertical="center" wrapText="1"/>
    </xf>
    <xf numFmtId="0" fontId="7" fillId="4" borderId="19" xfId="0" applyFont="1" applyFill="1" applyBorder="1" applyAlignment="1">
      <alignment horizontal="center" vertical="center" textRotation="90" wrapText="1"/>
    </xf>
    <xf numFmtId="0" fontId="7" fillId="4" borderId="21" xfId="0" applyFont="1" applyFill="1" applyBorder="1" applyAlignment="1">
      <alignment horizontal="center" vertical="center" textRotation="90" wrapText="1"/>
    </xf>
    <xf numFmtId="171" fontId="6" fillId="12" borderId="6" xfId="0" applyNumberFormat="1" applyFont="1" applyFill="1" applyBorder="1" applyAlignment="1">
      <alignment horizontal="center" vertical="center" wrapText="1"/>
    </xf>
    <xf numFmtId="3" fontId="6" fillId="12" borderId="36" xfId="0" applyNumberFormat="1" applyFont="1" applyFill="1" applyBorder="1" applyAlignment="1">
      <alignment horizontal="center" vertical="center" wrapText="1"/>
    </xf>
    <xf numFmtId="3" fontId="6" fillId="12" borderId="24" xfId="0" applyNumberFormat="1" applyFont="1" applyFill="1" applyBorder="1" applyAlignment="1">
      <alignment horizontal="center" vertical="center" wrapText="1"/>
    </xf>
    <xf numFmtId="170" fontId="6" fillId="12" borderId="27" xfId="0" applyNumberFormat="1" applyFont="1" applyFill="1" applyBorder="1" applyAlignment="1">
      <alignment horizontal="center" vertical="center" wrapText="1"/>
    </xf>
    <xf numFmtId="169" fontId="6" fillId="12" borderId="19" xfId="0" applyNumberFormat="1" applyFont="1" applyFill="1" applyBorder="1" applyAlignment="1">
      <alignment horizontal="center" vertical="center" wrapText="1"/>
    </xf>
    <xf numFmtId="169" fontId="6" fillId="12" borderId="23" xfId="0" applyNumberFormat="1" applyFont="1" applyFill="1" applyBorder="1" applyAlignment="1">
      <alignment horizontal="center" vertical="center" wrapText="1"/>
    </xf>
    <xf numFmtId="174" fontId="6" fillId="12" borderId="19" xfId="2" applyNumberFormat="1" applyFont="1" applyFill="1" applyBorder="1" applyAlignment="1">
      <alignment horizontal="center" vertical="center" wrapText="1"/>
    </xf>
    <xf numFmtId="174" fontId="6" fillId="12" borderId="23" xfId="2"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4" fillId="0" borderId="16" xfId="0" applyFont="1" applyBorder="1" applyAlignment="1">
      <alignment horizontal="center" vertical="center" wrapText="1"/>
    </xf>
    <xf numFmtId="43" fontId="4" fillId="0" borderId="6" xfId="1" applyFont="1" applyBorder="1" applyAlignment="1">
      <alignment horizontal="justify" vertical="center" wrapText="1"/>
    </xf>
    <xf numFmtId="168" fontId="4" fillId="0" borderId="20" xfId="0" applyNumberFormat="1" applyFont="1" applyBorder="1" applyAlignment="1" applyProtection="1">
      <alignment horizontal="center" vertical="center" wrapText="1"/>
      <protection locked="0"/>
    </xf>
    <xf numFmtId="168" fontId="4" fillId="0" borderId="22" xfId="0" applyNumberFormat="1" applyFont="1" applyBorder="1" applyAlignment="1" applyProtection="1">
      <alignment horizontal="center" vertical="center" wrapText="1"/>
      <protection locked="0"/>
    </xf>
    <xf numFmtId="168" fontId="4" fillId="0" borderId="27" xfId="0" applyNumberFormat="1" applyFont="1" applyBorder="1" applyAlignment="1" applyProtection="1">
      <alignment horizontal="center" vertical="center" wrapText="1"/>
      <protection locked="0"/>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xf>
    <xf numFmtId="3" fontId="4" fillId="0" borderId="25" xfId="0" applyNumberFormat="1" applyFont="1" applyBorder="1" applyAlignment="1">
      <alignment horizontal="center" vertical="center"/>
    </xf>
    <xf numFmtId="0" fontId="4" fillId="0" borderId="22" xfId="12" applyNumberFormat="1" applyFont="1" applyBorder="1" applyAlignment="1">
      <alignment horizontal="center" vertical="center" wrapText="1"/>
    </xf>
    <xf numFmtId="168" fontId="4" fillId="0" borderId="6" xfId="0" applyNumberFormat="1" applyFont="1" applyBorder="1" applyAlignment="1" applyProtection="1">
      <alignment horizontal="center" vertical="center" wrapText="1"/>
      <protection locked="0"/>
    </xf>
    <xf numFmtId="3" fontId="4" fillId="0" borderId="26" xfId="0" applyNumberFormat="1" applyFont="1" applyBorder="1" applyAlignment="1">
      <alignment horizontal="center" vertical="center" wrapText="1"/>
    </xf>
    <xf numFmtId="0" fontId="6" fillId="0" borderId="0" xfId="0" applyFont="1" applyAlignment="1">
      <alignment horizontal="center" vertical="center"/>
    </xf>
    <xf numFmtId="170" fontId="6" fillId="0" borderId="0" xfId="0" applyNumberFormat="1" applyFont="1" applyAlignment="1">
      <alignment horizontal="justify" vertical="center"/>
    </xf>
    <xf numFmtId="0" fontId="6" fillId="0" borderId="0" xfId="0" applyFont="1" applyAlignment="1">
      <alignment horizontal="justify"/>
    </xf>
    <xf numFmtId="3" fontId="8" fillId="6" borderId="20" xfId="0" applyNumberFormat="1" applyFont="1" applyFill="1" applyBorder="1" applyAlignment="1">
      <alignment horizontal="center" vertical="center" wrapText="1"/>
    </xf>
    <xf numFmtId="3" fontId="8" fillId="6" borderId="22" xfId="0" applyNumberFormat="1" applyFont="1" applyFill="1" applyBorder="1" applyAlignment="1">
      <alignment horizontal="center" vertical="center" wrapText="1"/>
    </xf>
    <xf numFmtId="0" fontId="4" fillId="0" borderId="0" xfId="0" applyFont="1" applyAlignment="1">
      <alignment horizontal="justify"/>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0" fontId="16" fillId="0" borderId="20" xfId="0" applyFont="1" applyBorder="1" applyAlignment="1">
      <alignment horizontal="justify" vertical="center" wrapText="1" readingOrder="2"/>
    </xf>
    <xf numFmtId="0" fontId="16" fillId="0" borderId="27" xfId="0" applyFont="1" applyBorder="1" applyAlignment="1">
      <alignment horizontal="justify" vertical="center" wrapText="1" readingOrder="2"/>
    </xf>
    <xf numFmtId="168" fontId="4" fillId="0" borderId="6" xfId="0" applyNumberFormat="1" applyFont="1" applyBorder="1" applyAlignment="1">
      <alignment horizontal="center" vertical="center" wrapText="1"/>
    </xf>
    <xf numFmtId="168" fontId="4" fillId="0" borderId="20" xfId="0" applyNumberFormat="1" applyFont="1" applyBorder="1" applyAlignment="1">
      <alignment horizontal="center" vertical="center" wrapText="1"/>
    </xf>
    <xf numFmtId="168" fontId="4" fillId="0" borderId="22"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3" fontId="8" fillId="6" borderId="12" xfId="0" applyNumberFormat="1" applyFont="1" applyFill="1" applyBorder="1" applyAlignment="1">
      <alignment horizontal="center" vertical="center" wrapText="1"/>
    </xf>
    <xf numFmtId="3" fontId="8" fillId="6" borderId="25"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2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9" xfId="0" applyFont="1" applyBorder="1" applyAlignment="1">
      <alignment horizontal="left" vertical="center" wrapText="1"/>
    </xf>
    <xf numFmtId="0" fontId="10" fillId="0" borderId="20" xfId="0" applyFont="1" applyBorder="1" applyAlignment="1">
      <alignment horizontal="justify" vertical="center" wrapText="1"/>
    </xf>
    <xf numFmtId="0" fontId="10" fillId="0" borderId="29" xfId="0" applyFont="1" applyBorder="1" applyAlignment="1">
      <alignment horizontal="justify" vertical="center" wrapText="1"/>
    </xf>
    <xf numFmtId="9" fontId="4" fillId="0" borderId="29" xfId="3" applyFont="1" applyBorder="1" applyAlignment="1">
      <alignment horizontal="center" vertical="center" wrapText="1"/>
    </xf>
    <xf numFmtId="0" fontId="31" fillId="4" borderId="20" xfId="0" applyFont="1" applyFill="1" applyBorder="1" applyAlignment="1">
      <alignment horizontal="center" vertical="center" textRotation="90" wrapText="1"/>
    </xf>
    <xf numFmtId="0" fontId="31" fillId="4" borderId="27" xfId="0" applyFont="1" applyFill="1" applyBorder="1" applyAlignment="1">
      <alignment horizontal="center" vertical="center" textRotation="90" wrapText="1"/>
    </xf>
    <xf numFmtId="0" fontId="8" fillId="6" borderId="19"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0" xfId="0" applyFont="1" applyFill="1" applyAlignment="1">
      <alignment horizontal="center" vertical="center" wrapText="1"/>
    </xf>
    <xf numFmtId="43" fontId="8" fillId="6" borderId="20" xfId="1" applyFont="1" applyFill="1" applyBorder="1" applyAlignment="1">
      <alignment horizontal="center" vertical="center" wrapText="1"/>
    </xf>
    <xf numFmtId="43" fontId="8" fillId="6" borderId="22" xfId="1" applyFont="1" applyFill="1" applyBorder="1" applyAlignment="1">
      <alignment horizontal="center" vertical="center" wrapText="1"/>
    </xf>
    <xf numFmtId="43" fontId="8" fillId="6" borderId="25" xfId="1" applyFont="1" applyFill="1" applyBorder="1" applyAlignment="1">
      <alignment horizontal="center" vertical="center" wrapText="1"/>
    </xf>
    <xf numFmtId="0" fontId="8" fillId="6" borderId="20" xfId="0" applyFont="1" applyFill="1" applyBorder="1" applyAlignment="1">
      <alignment horizontal="justify" vertical="center" wrapText="1"/>
    </xf>
    <xf numFmtId="0" fontId="8" fillId="6" borderId="22" xfId="0" applyFont="1" applyFill="1" applyBorder="1" applyAlignment="1">
      <alignment horizontal="justify" vertical="center" wrapText="1"/>
    </xf>
    <xf numFmtId="0" fontId="8" fillId="6" borderId="19" xfId="0" applyFont="1" applyFill="1" applyBorder="1" applyAlignment="1">
      <alignment horizontal="justify" vertical="center" wrapText="1"/>
    </xf>
    <xf numFmtId="0" fontId="8" fillId="6" borderId="23" xfId="0" applyFont="1" applyFill="1" applyBorder="1" applyAlignment="1">
      <alignment horizontal="justify" vertical="center" wrapText="1"/>
    </xf>
    <xf numFmtId="3" fontId="8" fillId="0" borderId="20" xfId="0" applyNumberFormat="1" applyFont="1" applyBorder="1" applyAlignment="1">
      <alignment horizontal="center" vertical="center" wrapText="1"/>
    </xf>
    <xf numFmtId="3" fontId="8" fillId="0" borderId="22"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27" xfId="0" applyNumberFormat="1" applyFont="1" applyBorder="1" applyAlignment="1">
      <alignment horizontal="center" vertical="center" wrapText="1"/>
    </xf>
    <xf numFmtId="0" fontId="4" fillId="6" borderId="6" xfId="0" applyFont="1" applyFill="1" applyBorder="1" applyAlignment="1">
      <alignment horizontal="justify" vertical="center" wrapText="1"/>
    </xf>
    <xf numFmtId="43" fontId="4" fillId="6" borderId="6" xfId="1" applyFont="1" applyFill="1" applyBorder="1" applyAlignment="1">
      <alignment horizontal="center" vertical="center" wrapText="1"/>
    </xf>
    <xf numFmtId="1" fontId="4" fillId="6" borderId="6"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0" fontId="8" fillId="0" borderId="6" xfId="0" applyFont="1" applyBorder="1" applyAlignment="1">
      <alignment horizontal="left" vertical="center" wrapText="1"/>
    </xf>
    <xf numFmtId="9" fontId="4" fillId="6" borderId="6" xfId="0" applyNumberFormat="1" applyFont="1" applyFill="1" applyBorder="1" applyAlignment="1">
      <alignment horizontal="center" vertical="center" wrapText="1"/>
    </xf>
    <xf numFmtId="9" fontId="8" fillId="6" borderId="20" xfId="3" applyFont="1" applyFill="1" applyBorder="1" applyAlignment="1">
      <alignment horizontal="center" vertical="center" wrapText="1"/>
    </xf>
    <xf numFmtId="9" fontId="8" fillId="6" borderId="22" xfId="3" applyFont="1" applyFill="1" applyBorder="1" applyAlignment="1">
      <alignment horizontal="center" vertical="center" wrapText="1"/>
    </xf>
    <xf numFmtId="0" fontId="8" fillId="6" borderId="6" xfId="0" applyFont="1" applyFill="1" applyBorder="1" applyAlignment="1">
      <alignment horizontal="justify" vertical="center" wrapText="1"/>
    </xf>
    <xf numFmtId="3" fontId="4" fillId="0" borderId="12" xfId="13" applyNumberFormat="1" applyFont="1" applyBorder="1" applyAlignment="1">
      <alignment horizontal="center" vertical="center"/>
    </xf>
    <xf numFmtId="3" fontId="4" fillId="0" borderId="25" xfId="13" applyNumberFormat="1" applyFont="1" applyBorder="1" applyAlignment="1">
      <alignment horizontal="center" vertical="center"/>
    </xf>
    <xf numFmtId="9" fontId="8" fillId="6" borderId="6" xfId="3" applyFont="1" applyFill="1" applyBorder="1" applyAlignment="1">
      <alignment horizontal="center" vertical="center" wrapText="1"/>
    </xf>
    <xf numFmtId="9" fontId="4" fillId="6" borderId="6" xfId="3" applyFont="1" applyFill="1" applyBorder="1" applyAlignment="1">
      <alignment horizontal="center" vertical="center" wrapText="1"/>
    </xf>
    <xf numFmtId="3" fontId="4" fillId="6" borderId="20" xfId="0" applyNumberFormat="1" applyFont="1" applyFill="1" applyBorder="1" applyAlignment="1">
      <alignment horizontal="justify" vertical="center" wrapText="1"/>
    </xf>
    <xf numFmtId="3" fontId="4" fillId="6" borderId="27" xfId="0" applyNumberFormat="1" applyFont="1" applyFill="1" applyBorder="1" applyAlignment="1">
      <alignment horizontal="justify" vertical="center" wrapText="1"/>
    </xf>
    <xf numFmtId="0" fontId="4" fillId="6" borderId="20"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7" xfId="0" applyFont="1" applyFill="1" applyBorder="1" applyAlignment="1">
      <alignment horizontal="center" vertical="center" wrapText="1"/>
    </xf>
    <xf numFmtId="3" fontId="25" fillId="0" borderId="6" xfId="0" applyNumberFormat="1" applyFont="1" applyBorder="1" applyAlignment="1">
      <alignment horizontal="center" vertical="center"/>
    </xf>
    <xf numFmtId="0" fontId="23" fillId="0" borderId="21" xfId="0" applyFont="1" applyBorder="1" applyAlignment="1">
      <alignment horizontal="center" vertical="center"/>
    </xf>
    <xf numFmtId="0" fontId="23" fillId="0" borderId="9" xfId="0" applyFont="1" applyBorder="1" applyAlignment="1">
      <alignment horizontal="center" vertical="center"/>
    </xf>
    <xf numFmtId="0" fontId="23" fillId="0" borderId="13" xfId="0" applyFont="1" applyBorder="1" applyAlignment="1">
      <alignment horizontal="center" vertical="center"/>
    </xf>
    <xf numFmtId="3" fontId="22" fillId="6" borderId="6" xfId="0" applyNumberFormat="1" applyFont="1" applyFill="1" applyBorder="1" applyAlignment="1">
      <alignment horizontal="center" vertical="center" wrapText="1"/>
    </xf>
    <xf numFmtId="14" fontId="25" fillId="0" borderId="6" xfId="0" applyNumberFormat="1" applyFont="1" applyBorder="1" applyAlignment="1">
      <alignment horizontal="center" vertical="center"/>
    </xf>
    <xf numFmtId="3" fontId="23" fillId="12" borderId="20" xfId="0" applyNumberFormat="1" applyFont="1" applyFill="1" applyBorder="1" applyAlignment="1">
      <alignment horizontal="center" vertical="center" wrapText="1"/>
    </xf>
    <xf numFmtId="3" fontId="23" fillId="12" borderId="22" xfId="0" applyNumberFormat="1"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23" fillId="12" borderId="22" xfId="0" applyFont="1" applyFill="1" applyBorder="1" applyAlignment="1">
      <alignment horizontal="center" vertical="center" wrapText="1"/>
    </xf>
    <xf numFmtId="44" fontId="23" fillId="12" borderId="20" xfId="2" applyFont="1" applyFill="1" applyBorder="1" applyAlignment="1">
      <alignment horizontal="center" vertical="center" wrapText="1"/>
    </xf>
    <xf numFmtId="44" fontId="23" fillId="12" borderId="22" xfId="2" applyFont="1" applyFill="1" applyBorder="1" applyAlignment="1">
      <alignment horizontal="center" vertical="center" wrapText="1"/>
    </xf>
    <xf numFmtId="3" fontId="31" fillId="4" borderId="6" xfId="0" applyNumberFormat="1" applyFont="1" applyFill="1" applyBorder="1" applyAlignment="1">
      <alignment horizontal="center" vertical="center" wrapText="1"/>
    </xf>
    <xf numFmtId="0" fontId="31" fillId="4" borderId="6" xfId="0" applyFont="1" applyFill="1" applyBorder="1" applyAlignment="1">
      <alignment horizontal="center" vertical="center" wrapText="1"/>
    </xf>
    <xf numFmtId="1" fontId="23" fillId="6" borderId="6" xfId="0" applyNumberFormat="1" applyFont="1" applyFill="1" applyBorder="1" applyAlignment="1">
      <alignment horizontal="center" vertical="center" wrapText="1"/>
    </xf>
    <xf numFmtId="0" fontId="23" fillId="6" borderId="6"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22" fillId="6" borderId="22" xfId="0" applyFont="1" applyFill="1" applyBorder="1" applyAlignment="1">
      <alignment horizontal="center" vertical="center" wrapText="1"/>
    </xf>
    <xf numFmtId="1" fontId="4" fillId="6" borderId="22" xfId="0" applyNumberFormat="1" applyFont="1" applyFill="1" applyBorder="1" applyAlignment="1">
      <alignment horizontal="center" vertical="center" wrapText="1"/>
    </xf>
    <xf numFmtId="0" fontId="4" fillId="6" borderId="22" xfId="0" applyFont="1" applyFill="1" applyBorder="1" applyAlignment="1">
      <alignment horizontal="justify" vertical="center" wrapText="1"/>
    </xf>
    <xf numFmtId="0" fontId="23" fillId="0" borderId="11" xfId="0" applyFont="1" applyBorder="1" applyAlignment="1">
      <alignment horizontal="center" vertical="center"/>
    </xf>
    <xf numFmtId="0" fontId="23" fillId="0" borderId="6" xfId="0" applyFont="1" applyBorder="1" applyAlignment="1">
      <alignment horizontal="center" vertical="center"/>
    </xf>
    <xf numFmtId="1" fontId="23" fillId="12" borderId="12" xfId="0" applyNumberFormat="1" applyFont="1" applyFill="1" applyBorder="1" applyAlignment="1">
      <alignment horizontal="center" vertical="center" wrapText="1"/>
    </xf>
    <xf numFmtId="1" fontId="23" fillId="12" borderId="25" xfId="0" applyNumberFormat="1" applyFont="1" applyFill="1" applyBorder="1" applyAlignment="1">
      <alignment horizontal="center" vertical="center" wrapText="1"/>
    </xf>
    <xf numFmtId="0" fontId="23" fillId="12" borderId="19" xfId="0" applyFont="1" applyFill="1" applyBorder="1" applyAlignment="1">
      <alignment horizontal="center" vertical="center" wrapText="1"/>
    </xf>
    <xf numFmtId="0" fontId="23" fillId="12" borderId="12" xfId="0" applyFont="1" applyFill="1" applyBorder="1" applyAlignment="1">
      <alignment horizontal="center" vertical="center" wrapText="1"/>
    </xf>
    <xf numFmtId="0" fontId="23" fillId="12" borderId="23" xfId="0" applyFont="1" applyFill="1" applyBorder="1" applyAlignment="1">
      <alignment horizontal="center" vertical="center" wrapText="1"/>
    </xf>
    <xf numFmtId="0" fontId="23" fillId="12" borderId="25" xfId="0" applyFont="1" applyFill="1" applyBorder="1" applyAlignment="1">
      <alignment horizontal="center" vertical="center" wrapText="1"/>
    </xf>
    <xf numFmtId="169" fontId="23" fillId="12" borderId="19" xfId="0" applyNumberFormat="1" applyFont="1" applyFill="1" applyBorder="1" applyAlignment="1">
      <alignment horizontal="center" vertical="center" wrapText="1"/>
    </xf>
    <xf numFmtId="169" fontId="23" fillId="12" borderId="23" xfId="0" applyNumberFormat="1" applyFont="1" applyFill="1" applyBorder="1" applyAlignment="1">
      <alignment horizontal="center" vertical="center" wrapText="1"/>
    </xf>
    <xf numFmtId="170" fontId="23" fillId="12" borderId="19" xfId="0" applyNumberFormat="1" applyFont="1" applyFill="1" applyBorder="1" applyAlignment="1">
      <alignment horizontal="center" vertical="center" wrapText="1"/>
    </xf>
    <xf numFmtId="170" fontId="23" fillId="12" borderId="23" xfId="0" applyNumberFormat="1" applyFont="1" applyFill="1" applyBorder="1" applyAlignment="1">
      <alignment horizontal="center" vertical="center" wrapText="1"/>
    </xf>
    <xf numFmtId="0" fontId="23" fillId="12" borderId="19" xfId="0" applyFont="1" applyFill="1" applyBorder="1" applyAlignment="1">
      <alignment horizontal="justify" vertical="center" wrapText="1"/>
    </xf>
    <xf numFmtId="0" fontId="23" fillId="12" borderId="23" xfId="0" applyFont="1" applyFill="1" applyBorder="1" applyAlignment="1">
      <alignment horizontal="justify" vertical="center" wrapText="1"/>
    </xf>
    <xf numFmtId="0" fontId="31" fillId="4" borderId="14"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16" xfId="0" applyFont="1" applyFill="1" applyBorder="1" applyAlignment="1">
      <alignment horizontal="center" vertical="center"/>
    </xf>
    <xf numFmtId="171" fontId="23" fillId="12" borderId="19" xfId="0" applyNumberFormat="1" applyFont="1" applyFill="1" applyBorder="1" applyAlignment="1">
      <alignment horizontal="center" vertical="center" wrapText="1"/>
    </xf>
    <xf numFmtId="171" fontId="23" fillId="12" borderId="23" xfId="0" applyNumberFormat="1" applyFont="1" applyFill="1" applyBorder="1" applyAlignment="1">
      <alignment horizontal="center" vertical="center" wrapText="1"/>
    </xf>
    <xf numFmtId="9" fontId="4" fillId="6" borderId="20" xfId="3" applyFont="1" applyFill="1" applyBorder="1" applyAlignment="1">
      <alignment horizontal="center" vertical="center" wrapText="1"/>
    </xf>
    <xf numFmtId="9" fontId="4" fillId="6" borderId="27" xfId="3" applyFont="1" applyFill="1" applyBorder="1" applyAlignment="1">
      <alignment horizontal="center" vertical="center" wrapText="1"/>
    </xf>
    <xf numFmtId="43" fontId="4" fillId="6" borderId="20" xfId="1" applyFont="1" applyFill="1" applyBorder="1" applyAlignment="1">
      <alignment horizontal="center" vertical="center" wrapText="1"/>
    </xf>
    <xf numFmtId="43" fontId="4" fillId="6" borderId="27" xfId="1" applyFont="1" applyFill="1" applyBorder="1" applyAlignment="1">
      <alignment horizontal="center" vertical="center" wrapText="1"/>
    </xf>
    <xf numFmtId="3" fontId="4" fillId="0" borderId="20" xfId="13" applyNumberFormat="1" applyFont="1" applyBorder="1" applyAlignment="1">
      <alignment horizontal="center" vertical="center"/>
    </xf>
    <xf numFmtId="3" fontId="4" fillId="0" borderId="22" xfId="13" applyNumberFormat="1" applyFont="1" applyBorder="1" applyAlignment="1">
      <alignment horizontal="center" vertical="center"/>
    </xf>
    <xf numFmtId="0" fontId="8" fillId="6" borderId="6" xfId="0" applyFont="1" applyFill="1" applyBorder="1" applyAlignment="1">
      <alignment horizontal="center" vertical="center" wrapText="1"/>
    </xf>
    <xf numFmtId="0" fontId="7" fillId="14" borderId="15" xfId="0" applyFont="1" applyFill="1" applyBorder="1" applyAlignment="1">
      <alignment horizontal="left" vertical="center"/>
    </xf>
    <xf numFmtId="0" fontId="8" fillId="6" borderId="12"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25" xfId="0" applyFont="1" applyFill="1" applyBorder="1" applyAlignment="1">
      <alignment horizontal="center" vertical="center" wrapText="1"/>
    </xf>
    <xf numFmtId="1" fontId="8" fillId="6" borderId="20" xfId="0" applyNumberFormat="1" applyFont="1" applyFill="1" applyBorder="1" applyAlignment="1">
      <alignment horizontal="center" vertical="center" wrapText="1"/>
    </xf>
    <xf numFmtId="1" fontId="8" fillId="6" borderId="22" xfId="0" applyNumberFormat="1"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2" xfId="0" applyFont="1" applyFill="1" applyBorder="1" applyAlignment="1">
      <alignment horizontal="center" vertical="center" wrapText="1"/>
    </xf>
    <xf numFmtId="172" fontId="8" fillId="0" borderId="20" xfId="0" applyNumberFormat="1" applyFont="1" applyBorder="1" applyAlignment="1">
      <alignment horizontal="center" vertical="center" wrapText="1"/>
    </xf>
    <xf numFmtId="172" fontId="8" fillId="0" borderId="22" xfId="0" applyNumberFormat="1" applyFont="1" applyBorder="1" applyAlignment="1">
      <alignment horizontal="center" vertical="center" wrapText="1"/>
    </xf>
    <xf numFmtId="0" fontId="8" fillId="0" borderId="6" xfId="0" applyFont="1" applyBorder="1" applyAlignment="1">
      <alignment horizontal="justify"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20"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22" xfId="0" applyFont="1" applyBorder="1" applyAlignment="1">
      <alignment horizontal="center" vertical="center" wrapText="1"/>
    </xf>
    <xf numFmtId="0" fontId="8" fillId="6" borderId="20" xfId="0" applyFont="1" applyFill="1" applyBorder="1" applyAlignment="1">
      <alignment horizontal="left" vertical="center" wrapText="1"/>
    </xf>
    <xf numFmtId="0" fontId="8" fillId="6" borderId="27" xfId="0" applyFont="1" applyFill="1" applyBorder="1" applyAlignment="1">
      <alignment horizontal="left" vertical="center" wrapText="1"/>
    </xf>
    <xf numFmtId="0" fontId="8" fillId="0" borderId="20" xfId="0" applyFont="1" applyBorder="1" applyAlignment="1">
      <alignment horizontal="left" vertical="center" wrapText="1"/>
    </xf>
    <xf numFmtId="0" fontId="8" fillId="0" borderId="27" xfId="0" applyFont="1" applyBorder="1" applyAlignment="1">
      <alignment horizontal="left" vertical="center" wrapText="1"/>
    </xf>
    <xf numFmtId="1" fontId="7" fillId="6" borderId="20" xfId="0" applyNumberFormat="1" applyFont="1" applyFill="1" applyBorder="1" applyAlignment="1">
      <alignment horizontal="center" vertical="center" wrapText="1"/>
    </xf>
    <xf numFmtId="1" fontId="7" fillId="6" borderId="22" xfId="0" applyNumberFormat="1" applyFont="1" applyFill="1" applyBorder="1" applyAlignment="1">
      <alignment horizontal="center" vertical="center" wrapText="1"/>
    </xf>
    <xf numFmtId="1" fontId="7" fillId="6" borderId="27" xfId="0" applyNumberFormat="1" applyFont="1" applyFill="1" applyBorder="1" applyAlignment="1">
      <alignment horizontal="center" vertical="center" wrapText="1"/>
    </xf>
    <xf numFmtId="0" fontId="8" fillId="6" borderId="27" xfId="0" applyFont="1" applyFill="1" applyBorder="1" applyAlignment="1">
      <alignment horizontal="center" vertical="center" wrapText="1"/>
    </xf>
    <xf numFmtId="10" fontId="8" fillId="6" borderId="50" xfId="3" applyNumberFormat="1" applyFont="1" applyFill="1" applyBorder="1" applyAlignment="1">
      <alignment horizontal="center" vertical="center" wrapText="1"/>
    </xf>
    <xf numFmtId="0" fontId="8" fillId="6" borderId="14" xfId="0" applyFont="1" applyFill="1" applyBorder="1" applyAlignment="1">
      <alignment horizontal="center" vertical="center" wrapText="1"/>
    </xf>
    <xf numFmtId="10" fontId="8" fillId="6" borderId="20" xfId="3" applyNumberFormat="1" applyFont="1" applyFill="1" applyBorder="1" applyAlignment="1">
      <alignment horizontal="center" vertical="center" wrapText="1"/>
    </xf>
    <xf numFmtId="10" fontId="8" fillId="6" borderId="22" xfId="3" applyNumberFormat="1" applyFont="1" applyFill="1" applyBorder="1" applyAlignment="1">
      <alignment horizontal="center" vertical="center" wrapText="1"/>
    </xf>
    <xf numFmtId="1" fontId="8" fillId="0" borderId="20" xfId="0" applyNumberFormat="1" applyFont="1" applyBorder="1" applyAlignment="1">
      <alignment horizontal="center" vertical="center" wrapText="1"/>
    </xf>
    <xf numFmtId="1" fontId="8" fillId="0" borderId="22" xfId="0" applyNumberFormat="1" applyFont="1" applyBorder="1" applyAlignment="1">
      <alignment horizontal="center" vertical="center" wrapText="1"/>
    </xf>
    <xf numFmtId="1" fontId="8" fillId="0" borderId="27" xfId="0" applyNumberFormat="1" applyFont="1" applyBorder="1" applyAlignment="1">
      <alignment horizontal="center" vertical="center" wrapText="1"/>
    </xf>
    <xf numFmtId="10" fontId="8" fillId="0" borderId="20" xfId="3" applyNumberFormat="1" applyFont="1" applyBorder="1" applyAlignment="1">
      <alignment horizontal="center" vertical="center" wrapText="1"/>
    </xf>
    <xf numFmtId="10" fontId="8" fillId="0" borderId="22" xfId="3" applyNumberFormat="1" applyFont="1" applyBorder="1" applyAlignment="1">
      <alignment horizontal="center" vertical="center" wrapText="1"/>
    </xf>
    <xf numFmtId="0" fontId="8" fillId="0" borderId="27" xfId="0" applyFont="1" applyBorder="1" applyAlignment="1">
      <alignment horizontal="justify" vertical="center" wrapText="1"/>
    </xf>
    <xf numFmtId="0" fontId="8" fillId="6" borderId="27" xfId="0" applyFont="1" applyFill="1" applyBorder="1" applyAlignment="1">
      <alignment horizontal="justify" vertical="center" wrapText="1"/>
    </xf>
    <xf numFmtId="9" fontId="8" fillId="6" borderId="27" xfId="3" applyFont="1" applyFill="1" applyBorder="1" applyAlignment="1">
      <alignment horizontal="center" vertical="center" wrapText="1"/>
    </xf>
    <xf numFmtId="0" fontId="7" fillId="6" borderId="20" xfId="0" applyFont="1" applyFill="1" applyBorder="1" applyAlignment="1">
      <alignment horizontal="center" vertical="center"/>
    </xf>
    <xf numFmtId="0" fontId="7" fillId="6" borderId="22" xfId="0" applyFont="1" applyFill="1" applyBorder="1" applyAlignment="1">
      <alignment horizontal="center" vertical="center"/>
    </xf>
    <xf numFmtId="171" fontId="22" fillId="0" borderId="20" xfId="0" applyNumberFormat="1" applyFont="1" applyBorder="1" applyAlignment="1">
      <alignment horizontal="center" vertical="center"/>
    </xf>
    <xf numFmtId="171" fontId="22" fillId="0" borderId="22" xfId="0" applyNumberFormat="1" applyFont="1" applyBorder="1" applyAlignment="1">
      <alignment horizontal="center" vertical="center"/>
    </xf>
    <xf numFmtId="171" fontId="22" fillId="0" borderId="27" xfId="0" applyNumberFormat="1" applyFont="1" applyBorder="1" applyAlignment="1">
      <alignment horizontal="center" vertical="center"/>
    </xf>
    <xf numFmtId="171" fontId="22" fillId="0" borderId="6" xfId="0" applyNumberFormat="1" applyFont="1" applyBorder="1" applyAlignment="1">
      <alignment horizontal="left" vertical="center" wrapText="1"/>
    </xf>
    <xf numFmtId="0" fontId="0" fillId="0" borderId="6" xfId="0" applyBorder="1" applyAlignment="1">
      <alignment horizontal="lef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21" fillId="0" borderId="0" xfId="0" applyFont="1" applyAlignment="1">
      <alignment horizontal="justify" vertical="top" wrapText="1"/>
    </xf>
    <xf numFmtId="0" fontId="22" fillId="0" borderId="6" xfId="0" applyFont="1" applyBorder="1" applyAlignment="1">
      <alignment vertical="center"/>
    </xf>
    <xf numFmtId="0" fontId="0" fillId="0" borderId="6" xfId="0" applyBorder="1" applyAlignment="1">
      <alignment vertical="center"/>
    </xf>
    <xf numFmtId="0" fontId="22" fillId="6" borderId="22" xfId="14" applyNumberFormat="1" applyFont="1" applyFill="1" applyBorder="1" applyAlignment="1">
      <alignment horizontal="justify" vertical="center" wrapText="1"/>
    </xf>
    <xf numFmtId="0" fontId="22" fillId="6" borderId="27" xfId="14" applyNumberFormat="1" applyFont="1" applyFill="1" applyBorder="1" applyAlignment="1">
      <alignment horizontal="justify" vertical="center" wrapText="1"/>
    </xf>
    <xf numFmtId="0" fontId="22" fillId="6" borderId="23" xfId="14" applyNumberFormat="1" applyFont="1" applyFill="1" applyBorder="1" applyAlignment="1">
      <alignment horizontal="justify" vertical="center" wrapText="1"/>
    </xf>
    <xf numFmtId="0" fontId="22" fillId="6" borderId="21" xfId="14" applyNumberFormat="1" applyFont="1" applyFill="1" applyBorder="1" applyAlignment="1">
      <alignment horizontal="justify" vertical="center" wrapText="1"/>
    </xf>
    <xf numFmtId="0" fontId="22" fillId="0" borderId="6" xfId="0" applyFont="1" applyBorder="1" applyAlignment="1">
      <alignment horizontal="center"/>
    </xf>
    <xf numFmtId="3" fontId="22" fillId="0" borderId="22" xfId="14" applyNumberFormat="1" applyFont="1" applyBorder="1" applyAlignment="1">
      <alignment horizontal="center" vertical="center"/>
    </xf>
    <xf numFmtId="3" fontId="22" fillId="0" borderId="27" xfId="14" applyNumberFormat="1" applyFont="1" applyBorder="1" applyAlignment="1">
      <alignment horizontal="center" vertical="center"/>
    </xf>
    <xf numFmtId="177" fontId="22" fillId="6" borderId="22" xfId="14" applyFont="1" applyFill="1" applyBorder="1" applyAlignment="1">
      <alignment horizontal="justify" vertical="center" wrapText="1"/>
    </xf>
    <xf numFmtId="177" fontId="22" fillId="6" borderId="27" xfId="14" applyFont="1" applyFill="1" applyBorder="1" applyAlignment="1">
      <alignment horizontal="justify" vertical="center" wrapText="1"/>
    </xf>
    <xf numFmtId="3" fontId="22" fillId="6" borderId="22" xfId="14" applyNumberFormat="1" applyFont="1" applyFill="1" applyBorder="1" applyAlignment="1">
      <alignment horizontal="center" vertical="center"/>
    </xf>
    <xf numFmtId="3" fontId="22" fillId="6" borderId="27" xfId="14" applyNumberFormat="1" applyFont="1" applyFill="1" applyBorder="1" applyAlignment="1">
      <alignment horizontal="center" vertical="center"/>
    </xf>
    <xf numFmtId="177" fontId="22" fillId="6" borderId="22" xfId="14" applyFont="1" applyFill="1" applyBorder="1" applyAlignment="1">
      <alignment horizontal="center" vertical="center"/>
    </xf>
    <xf numFmtId="177" fontId="22" fillId="6" borderId="27" xfId="14" applyFont="1" applyFill="1" applyBorder="1" applyAlignment="1">
      <alignment horizontal="center" vertical="center"/>
    </xf>
    <xf numFmtId="49" fontId="22" fillId="0" borderId="22" xfId="14" applyNumberFormat="1" applyFont="1" applyBorder="1" applyAlignment="1">
      <alignment horizontal="center" vertical="center" wrapText="1"/>
    </xf>
    <xf numFmtId="49" fontId="22" fillId="0" borderId="27" xfId="14" applyNumberFormat="1" applyFont="1" applyBorder="1" applyAlignment="1">
      <alignment horizontal="center" vertical="center" wrapText="1"/>
    </xf>
    <xf numFmtId="9" fontId="22" fillId="6" borderId="22" xfId="3" applyFont="1" applyFill="1" applyBorder="1" applyAlignment="1">
      <alignment horizontal="center" vertical="center"/>
    </xf>
    <xf numFmtId="9" fontId="22" fillId="6" borderId="27" xfId="3" applyFont="1" applyFill="1" applyBorder="1" applyAlignment="1">
      <alignment horizontal="center" vertical="center"/>
    </xf>
    <xf numFmtId="43" fontId="22" fillId="6" borderId="22" xfId="1" applyFont="1" applyFill="1" applyBorder="1" applyAlignment="1">
      <alignment horizontal="center" vertical="center"/>
    </xf>
    <xf numFmtId="43" fontId="22" fillId="6" borderId="27" xfId="1" applyFont="1" applyFill="1" applyBorder="1" applyAlignment="1">
      <alignment horizontal="center" vertical="center"/>
    </xf>
    <xf numFmtId="3" fontId="22" fillId="0" borderId="6" xfId="0" applyNumberFormat="1" applyFont="1" applyBorder="1" applyAlignment="1">
      <alignment vertical="center"/>
    </xf>
    <xf numFmtId="3" fontId="0" fillId="0" borderId="6" xfId="0" applyNumberFormat="1" applyBorder="1" applyAlignment="1">
      <alignment vertical="center"/>
    </xf>
    <xf numFmtId="177" fontId="22" fillId="6" borderId="23" xfId="14" applyFont="1" applyFill="1" applyBorder="1" applyAlignment="1">
      <alignment horizontal="justify" vertical="center" wrapText="1"/>
    </xf>
    <xf numFmtId="9" fontId="22" fillId="6" borderId="6" xfId="3" applyFont="1" applyFill="1" applyBorder="1" applyAlignment="1">
      <alignment horizontal="center" vertical="center"/>
    </xf>
    <xf numFmtId="43" fontId="22" fillId="6" borderId="6" xfId="1" applyFont="1" applyFill="1" applyBorder="1" applyAlignment="1">
      <alignment horizontal="center" vertical="center"/>
    </xf>
    <xf numFmtId="0" fontId="22" fillId="6" borderId="6" xfId="14" applyNumberFormat="1" applyFont="1" applyFill="1" applyBorder="1" applyAlignment="1">
      <alignment horizontal="justify" vertical="center" wrapText="1"/>
    </xf>
    <xf numFmtId="3" fontId="22" fillId="6" borderId="6" xfId="14" applyNumberFormat="1" applyFont="1" applyFill="1" applyBorder="1" applyAlignment="1">
      <alignment horizontal="center" vertical="center"/>
    </xf>
    <xf numFmtId="177" fontId="22" fillId="6" borderId="6" xfId="14" applyFont="1" applyFill="1" applyBorder="1" applyAlignment="1">
      <alignment horizontal="justify" vertical="center" wrapText="1"/>
    </xf>
    <xf numFmtId="177" fontId="22" fillId="6" borderId="25" xfId="14" applyFont="1" applyFill="1" applyBorder="1" applyAlignment="1">
      <alignment horizontal="center" vertical="center"/>
    </xf>
    <xf numFmtId="177" fontId="22" fillId="6" borderId="20" xfId="14" applyFont="1" applyFill="1" applyBorder="1" applyAlignment="1">
      <alignment horizontal="left" vertical="center" wrapText="1"/>
    </xf>
    <xf numFmtId="177" fontId="22" fillId="6" borderId="22" xfId="14" applyFont="1" applyFill="1" applyBorder="1" applyAlignment="1">
      <alignment horizontal="left" vertical="center" wrapText="1"/>
    </xf>
    <xf numFmtId="177" fontId="22" fillId="6" borderId="27" xfId="14" applyFont="1" applyFill="1" applyBorder="1" applyAlignment="1">
      <alignment horizontal="left" vertical="center" wrapText="1"/>
    </xf>
    <xf numFmtId="193" fontId="22" fillId="6" borderId="20" xfId="14" applyNumberFormat="1" applyFont="1" applyFill="1" applyBorder="1" applyAlignment="1">
      <alignment horizontal="center" vertical="center"/>
    </xf>
    <xf numFmtId="193" fontId="22" fillId="6" borderId="22" xfId="14" applyNumberFormat="1" applyFont="1" applyFill="1" applyBorder="1" applyAlignment="1">
      <alignment horizontal="center" vertical="center"/>
    </xf>
    <xf numFmtId="193" fontId="22" fillId="6" borderId="27" xfId="14" applyNumberFormat="1" applyFont="1" applyFill="1" applyBorder="1" applyAlignment="1">
      <alignment horizontal="center" vertical="center"/>
    </xf>
    <xf numFmtId="0" fontId="30" fillId="6" borderId="20" xfId="0" applyFont="1" applyFill="1" applyBorder="1" applyAlignment="1">
      <alignment horizontal="justify" vertical="center" wrapText="1"/>
    </xf>
    <xf numFmtId="0" fontId="30" fillId="6" borderId="27" xfId="0" applyFont="1" applyFill="1" applyBorder="1" applyAlignment="1">
      <alignment horizontal="justify" vertical="center" wrapText="1"/>
    </xf>
    <xf numFmtId="3" fontId="22" fillId="6" borderId="20" xfId="14" applyNumberFormat="1" applyFont="1" applyFill="1" applyBorder="1" applyAlignment="1">
      <alignment horizontal="center" vertical="center"/>
    </xf>
    <xf numFmtId="0" fontId="22" fillId="6" borderId="14" xfId="14" applyNumberFormat="1" applyFont="1" applyFill="1" applyBorder="1" applyAlignment="1">
      <alignment horizontal="justify" vertical="center" wrapText="1"/>
    </xf>
    <xf numFmtId="0" fontId="0" fillId="0" borderId="6" xfId="0" applyBorder="1" applyAlignment="1">
      <alignment horizontal="left" vertical="center" wrapText="1"/>
    </xf>
    <xf numFmtId="0" fontId="22" fillId="0" borderId="20" xfId="0" applyFont="1" applyFill="1" applyBorder="1" applyAlignment="1">
      <alignment horizontal="justify" vertical="center" wrapText="1"/>
    </xf>
    <xf numFmtId="0" fontId="22" fillId="0" borderId="27" xfId="0" applyFont="1" applyFill="1" applyBorder="1" applyAlignment="1">
      <alignment horizontal="justify" vertical="center" wrapText="1"/>
    </xf>
    <xf numFmtId="0" fontId="30" fillId="0" borderId="20" xfId="0" applyFont="1" applyFill="1" applyBorder="1" applyAlignment="1">
      <alignment horizontal="justify" vertical="center" wrapText="1"/>
    </xf>
    <xf numFmtId="0" fontId="30" fillId="0" borderId="27" xfId="0" applyFont="1" applyFill="1" applyBorder="1" applyAlignment="1">
      <alignment horizontal="justify" vertical="center" wrapText="1"/>
    </xf>
    <xf numFmtId="0" fontId="22" fillId="0" borderId="21" xfId="0" applyFont="1" applyFill="1" applyBorder="1" applyAlignment="1">
      <alignment horizontal="justify" vertical="center" wrapText="1"/>
    </xf>
    <xf numFmtId="3" fontId="0" fillId="0" borderId="16" xfId="0" applyNumberFormat="1" applyBorder="1" applyAlignment="1">
      <alignment vertical="center"/>
    </xf>
    <xf numFmtId="177" fontId="22" fillId="6" borderId="25" xfId="14" applyFont="1" applyFill="1" applyBorder="1" applyAlignment="1">
      <alignment horizontal="center" vertical="center" wrapText="1"/>
    </xf>
    <xf numFmtId="9" fontId="22" fillId="0" borderId="75" xfId="14" applyNumberFormat="1" applyFont="1" applyBorder="1" applyAlignment="1">
      <alignment horizontal="center" vertical="center"/>
    </xf>
    <xf numFmtId="9" fontId="22" fillId="0" borderId="74" xfId="14" applyNumberFormat="1" applyFont="1" applyBorder="1" applyAlignment="1">
      <alignment horizontal="center" vertical="center"/>
    </xf>
    <xf numFmtId="9" fontId="22" fillId="0" borderId="68" xfId="14" applyNumberFormat="1" applyFont="1" applyBorder="1" applyAlignment="1">
      <alignment horizontal="center" vertical="center"/>
    </xf>
    <xf numFmtId="43" fontId="22" fillId="6" borderId="20" xfId="1" applyFont="1" applyFill="1" applyBorder="1" applyAlignment="1">
      <alignment horizontal="center" vertical="center"/>
    </xf>
    <xf numFmtId="1" fontId="23" fillId="6" borderId="19" xfId="14" applyNumberFormat="1" applyFont="1" applyFill="1" applyBorder="1" applyAlignment="1">
      <alignment horizontal="center" vertical="center" wrapText="1"/>
    </xf>
    <xf numFmtId="1" fontId="23" fillId="6" borderId="23" xfId="14" applyNumberFormat="1" applyFont="1" applyFill="1" applyBorder="1" applyAlignment="1">
      <alignment horizontal="center" vertical="center" wrapText="1"/>
    </xf>
    <xf numFmtId="1" fontId="23" fillId="6" borderId="21" xfId="14" applyNumberFormat="1" applyFont="1" applyFill="1" applyBorder="1" applyAlignment="1">
      <alignment horizontal="center" vertical="center" wrapText="1"/>
    </xf>
    <xf numFmtId="1" fontId="23" fillId="6" borderId="12" xfId="14" applyNumberFormat="1" applyFont="1" applyFill="1" applyBorder="1" applyAlignment="1">
      <alignment horizontal="center" vertical="center" wrapText="1"/>
    </xf>
    <xf numFmtId="1" fontId="23" fillId="6" borderId="25" xfId="14" applyNumberFormat="1" applyFont="1" applyFill="1" applyBorder="1" applyAlignment="1">
      <alignment horizontal="center" vertical="center" wrapText="1"/>
    </xf>
    <xf numFmtId="1" fontId="23" fillId="6" borderId="13" xfId="14" applyNumberFormat="1" applyFont="1" applyFill="1" applyBorder="1" applyAlignment="1">
      <alignment horizontal="center" vertical="center" wrapText="1"/>
    </xf>
    <xf numFmtId="1" fontId="23" fillId="6" borderId="20" xfId="14" applyNumberFormat="1" applyFont="1" applyFill="1" applyBorder="1" applyAlignment="1">
      <alignment horizontal="center" vertical="center" wrapText="1"/>
    </xf>
    <xf numFmtId="1" fontId="23" fillId="6" borderId="22" xfId="14" applyNumberFormat="1" applyFont="1" applyFill="1" applyBorder="1" applyAlignment="1">
      <alignment horizontal="center" vertical="center" wrapText="1"/>
    </xf>
    <xf numFmtId="1" fontId="23" fillId="6" borderId="27" xfId="14" applyNumberFormat="1" applyFont="1" applyFill="1" applyBorder="1" applyAlignment="1">
      <alignment horizontal="center" vertical="center" wrapText="1"/>
    </xf>
    <xf numFmtId="177" fontId="22" fillId="6" borderId="6" xfId="14" applyFont="1" applyFill="1" applyBorder="1" applyAlignment="1">
      <alignment horizontal="justify" vertical="center" wrapText="1" shrinkToFit="1"/>
    </xf>
    <xf numFmtId="10" fontId="22" fillId="0" borderId="50" xfId="14" applyNumberFormat="1" applyFont="1" applyBorder="1" applyAlignment="1">
      <alignment horizontal="center" vertical="center"/>
    </xf>
    <xf numFmtId="43" fontId="22" fillId="6" borderId="12" xfId="1" applyFont="1" applyFill="1" applyBorder="1" applyAlignment="1">
      <alignment horizontal="center" vertical="center"/>
    </xf>
    <xf numFmtId="43" fontId="22" fillId="6" borderId="25" xfId="1" applyFont="1" applyFill="1" applyBorder="1" applyAlignment="1">
      <alignment horizontal="center" vertical="center"/>
    </xf>
    <xf numFmtId="43" fontId="22" fillId="6" borderId="13" xfId="1" applyFont="1" applyFill="1" applyBorder="1" applyAlignment="1">
      <alignment horizontal="center" vertical="center"/>
    </xf>
    <xf numFmtId="10" fontId="22" fillId="0" borderId="54" xfId="14" applyNumberFormat="1" applyFont="1" applyBorder="1" applyAlignment="1">
      <alignment horizontal="center" vertical="center"/>
    </xf>
    <xf numFmtId="10" fontId="22" fillId="0" borderId="55" xfId="14" applyNumberFormat="1" applyFont="1" applyBorder="1" applyAlignment="1">
      <alignment horizontal="center" vertical="center"/>
    </xf>
    <xf numFmtId="10" fontId="22" fillId="0" borderId="53" xfId="14" applyNumberFormat="1" applyFont="1" applyBorder="1" applyAlignment="1">
      <alignment horizontal="center" vertical="center"/>
    </xf>
    <xf numFmtId="43" fontId="22" fillId="0" borderId="12" xfId="1" applyFont="1" applyBorder="1" applyAlignment="1">
      <alignment horizontal="center" vertical="center"/>
    </xf>
    <xf numFmtId="43" fontId="22" fillId="0" borderId="25" xfId="1" applyFont="1" applyBorder="1" applyAlignment="1">
      <alignment horizontal="center" vertical="center"/>
    </xf>
    <xf numFmtId="43" fontId="22" fillId="0" borderId="13" xfId="1" applyFont="1" applyBorder="1" applyAlignment="1">
      <alignment horizontal="center" vertical="center"/>
    </xf>
    <xf numFmtId="3" fontId="22" fillId="0" borderId="6" xfId="14" applyNumberFormat="1" applyFont="1" applyBorder="1" applyAlignment="1">
      <alignment horizontal="center" vertical="center"/>
    </xf>
    <xf numFmtId="177" fontId="22" fillId="0" borderId="6" xfId="14" applyFont="1" applyBorder="1" applyAlignment="1">
      <alignment horizontal="justify" vertical="center" wrapText="1"/>
    </xf>
    <xf numFmtId="3" fontId="22" fillId="0" borderId="20" xfId="14" applyNumberFormat="1" applyFont="1" applyBorder="1" applyAlignment="1">
      <alignment horizontal="center" vertical="center"/>
    </xf>
    <xf numFmtId="177" fontId="22" fillId="0" borderId="20" xfId="14" applyFont="1" applyBorder="1" applyAlignment="1">
      <alignment horizontal="left" vertical="center" wrapText="1"/>
    </xf>
    <xf numFmtId="177" fontId="22" fillId="0" borderId="27" xfId="14" applyFont="1" applyBorder="1" applyAlignment="1">
      <alignment horizontal="left" vertical="center" wrapText="1"/>
    </xf>
    <xf numFmtId="177" fontId="24" fillId="0" borderId="20" xfId="14" applyFont="1" applyBorder="1" applyAlignment="1">
      <alignment horizontal="left" vertical="center" wrapText="1"/>
    </xf>
    <xf numFmtId="177" fontId="24" fillId="0" borderId="27" xfId="14" applyFont="1" applyBorder="1" applyAlignment="1">
      <alignment horizontal="left" vertical="center" wrapText="1"/>
    </xf>
    <xf numFmtId="177" fontId="22" fillId="0" borderId="20" xfId="14" applyFont="1" applyBorder="1" applyAlignment="1">
      <alignment horizontal="center" vertical="center" wrapText="1"/>
    </xf>
    <xf numFmtId="177" fontId="22" fillId="0" borderId="22" xfId="14" applyFont="1" applyBorder="1" applyAlignment="1">
      <alignment horizontal="center" vertical="center" wrapText="1"/>
    </xf>
    <xf numFmtId="177" fontId="22" fillId="0" borderId="27" xfId="14" applyFont="1" applyBorder="1" applyAlignment="1">
      <alignment horizontal="center" vertical="center" wrapText="1"/>
    </xf>
    <xf numFmtId="177" fontId="22" fillId="0" borderId="20" xfId="14" applyFont="1" applyBorder="1" applyAlignment="1">
      <alignment horizontal="justify" vertical="center" wrapText="1"/>
    </xf>
    <xf numFmtId="177" fontId="22" fillId="0" borderId="22" xfId="14" applyFont="1" applyBorder="1" applyAlignment="1">
      <alignment horizontal="justify" vertical="center" wrapText="1"/>
    </xf>
    <xf numFmtId="177" fontId="22" fillId="0" borderId="27" xfId="14" applyFont="1" applyBorder="1" applyAlignment="1">
      <alignment horizontal="justify" vertical="center" wrapText="1"/>
    </xf>
    <xf numFmtId="3" fontId="22" fillId="0" borderId="20" xfId="0" applyNumberFormat="1" applyFont="1" applyBorder="1" applyAlignment="1">
      <alignment vertical="center"/>
    </xf>
    <xf numFmtId="3" fontId="22" fillId="0" borderId="22" xfId="0" applyNumberFormat="1" applyFont="1" applyBorder="1" applyAlignment="1">
      <alignment vertical="center"/>
    </xf>
    <xf numFmtId="3" fontId="22" fillId="0" borderId="27" xfId="0" applyNumberFormat="1" applyFont="1" applyBorder="1" applyAlignment="1">
      <alignment vertical="center"/>
    </xf>
    <xf numFmtId="0" fontId="30" fillId="0" borderId="50" xfId="14" applyNumberFormat="1" applyFont="1" applyFill="1" applyBorder="1" applyAlignment="1">
      <alignment horizontal="justify" vertical="center" wrapText="1"/>
    </xf>
    <xf numFmtId="0" fontId="30" fillId="0" borderId="22" xfId="14" applyNumberFormat="1" applyFont="1" applyFill="1" applyBorder="1" applyAlignment="1">
      <alignment horizontal="justify" vertical="center" wrapText="1"/>
    </xf>
    <xf numFmtId="0" fontId="30" fillId="0" borderId="27" xfId="14" applyNumberFormat="1" applyFont="1" applyFill="1" applyBorder="1" applyAlignment="1">
      <alignment horizontal="justify" vertical="center" wrapText="1"/>
    </xf>
    <xf numFmtId="0" fontId="30" fillId="0" borderId="20" xfId="14" applyNumberFormat="1" applyFont="1" applyFill="1" applyBorder="1" applyAlignment="1">
      <alignment horizontal="justify" vertical="center" wrapText="1"/>
    </xf>
    <xf numFmtId="0" fontId="30" fillId="0" borderId="21" xfId="14" applyNumberFormat="1" applyFont="1" applyFill="1" applyBorder="1" applyAlignment="1">
      <alignment horizontal="justify" vertical="center" wrapText="1"/>
    </xf>
    <xf numFmtId="0" fontId="30" fillId="6" borderId="20" xfId="14" applyNumberFormat="1" applyFont="1" applyFill="1" applyBorder="1" applyAlignment="1">
      <alignment horizontal="justify" vertical="center" wrapText="1"/>
    </xf>
    <xf numFmtId="0" fontId="30" fillId="6" borderId="27" xfId="14" applyNumberFormat="1" applyFont="1" applyFill="1" applyBorder="1" applyAlignment="1">
      <alignment horizontal="justify" vertical="center" wrapText="1"/>
    </xf>
    <xf numFmtId="3" fontId="22" fillId="0" borderId="25" xfId="0" applyNumberFormat="1" applyFont="1" applyBorder="1" applyAlignment="1">
      <alignment vertical="center"/>
    </xf>
    <xf numFmtId="0" fontId="30" fillId="0" borderId="54" xfId="14" applyNumberFormat="1" applyFont="1" applyFill="1" applyBorder="1" applyAlignment="1">
      <alignment horizontal="justify" vertical="center" wrapText="1"/>
    </xf>
    <xf numFmtId="0" fontId="30" fillId="0" borderId="53" xfId="14" applyNumberFormat="1" applyFont="1" applyFill="1" applyBorder="1" applyAlignment="1">
      <alignment horizontal="justify" vertical="center" wrapText="1"/>
    </xf>
    <xf numFmtId="0" fontId="30" fillId="0" borderId="66" xfId="14" applyNumberFormat="1" applyFont="1" applyFill="1" applyBorder="1" applyAlignment="1">
      <alignment horizontal="justify" vertical="center" wrapText="1"/>
    </xf>
    <xf numFmtId="0" fontId="30" fillId="0" borderId="55" xfId="14" applyNumberFormat="1" applyFont="1" applyFill="1" applyBorder="1" applyAlignment="1">
      <alignment horizontal="justify" vertical="center" wrapText="1"/>
    </xf>
    <xf numFmtId="0" fontId="30" fillId="0" borderId="50" xfId="14" applyNumberFormat="1" applyFont="1" applyBorder="1" applyAlignment="1">
      <alignment horizontal="justify" vertical="center" wrapText="1"/>
    </xf>
    <xf numFmtId="1" fontId="23" fillId="6" borderId="6" xfId="14" applyNumberFormat="1" applyFont="1" applyFill="1" applyBorder="1" applyAlignment="1">
      <alignment horizontal="center" vertical="center" wrapText="1"/>
    </xf>
    <xf numFmtId="177" fontId="22" fillId="6" borderId="20" xfId="14" applyFont="1" applyFill="1" applyBorder="1" applyAlignment="1">
      <alignment horizontal="center" vertical="center" wrapText="1"/>
    </xf>
    <xf numFmtId="177" fontId="22" fillId="6" borderId="27" xfId="14" applyFont="1" applyFill="1" applyBorder="1" applyAlignment="1">
      <alignment horizontal="center" vertical="center" wrapText="1"/>
    </xf>
    <xf numFmtId="0" fontId="22" fillId="6" borderId="25" xfId="14" applyNumberFormat="1" applyFont="1" applyFill="1" applyBorder="1" applyAlignment="1">
      <alignment horizontal="center" vertical="center" wrapText="1"/>
    </xf>
    <xf numFmtId="9" fontId="22" fillId="0" borderId="6" xfId="14" applyNumberFormat="1" applyFont="1" applyBorder="1" applyAlignment="1">
      <alignment horizontal="justify" vertical="center" wrapText="1"/>
    </xf>
    <xf numFmtId="4" fontId="22" fillId="0" borderId="20" xfId="14" applyNumberFormat="1" applyFont="1" applyBorder="1" applyAlignment="1">
      <alignment horizontal="center" vertical="center"/>
    </xf>
    <xf numFmtId="4" fontId="22" fillId="0" borderId="22" xfId="14" applyNumberFormat="1" applyFont="1" applyBorder="1" applyAlignment="1">
      <alignment horizontal="center" vertical="center"/>
    </xf>
    <xf numFmtId="0" fontId="30" fillId="6" borderId="19" xfId="14" applyNumberFormat="1" applyFont="1" applyFill="1" applyBorder="1" applyAlignment="1">
      <alignment horizontal="justify" vertical="center" wrapText="1"/>
    </xf>
    <xf numFmtId="0" fontId="30" fillId="6" borderId="21" xfId="14" applyNumberFormat="1" applyFont="1" applyFill="1" applyBorder="1" applyAlignment="1">
      <alignment horizontal="justify" vertical="center" wrapText="1"/>
    </xf>
    <xf numFmtId="0" fontId="22" fillId="6" borderId="20" xfId="0" applyFont="1" applyFill="1" applyBorder="1" applyAlignment="1">
      <alignment horizontal="justify" vertical="center" wrapText="1"/>
    </xf>
    <xf numFmtId="0" fontId="22" fillId="6" borderId="27" xfId="0" applyFont="1" applyFill="1" applyBorder="1" applyAlignment="1">
      <alignment horizontal="justify" vertical="center" wrapText="1"/>
    </xf>
    <xf numFmtId="9" fontId="22" fillId="6" borderId="50" xfId="14" applyNumberFormat="1" applyFont="1" applyFill="1" applyBorder="1" applyAlignment="1">
      <alignment horizontal="center" vertical="center"/>
    </xf>
    <xf numFmtId="1" fontId="24" fillId="6" borderId="6" xfId="10" applyNumberFormat="1" applyFont="1" applyFill="1" applyBorder="1" applyAlignment="1">
      <alignment horizontal="center" vertical="center" wrapText="1"/>
    </xf>
    <xf numFmtId="3" fontId="22" fillId="0" borderId="19" xfId="0" applyNumberFormat="1" applyFont="1" applyBorder="1" applyAlignment="1">
      <alignment vertical="center"/>
    </xf>
    <xf numFmtId="3" fontId="0" fillId="0" borderId="23" xfId="0" applyNumberFormat="1" applyBorder="1" applyAlignment="1">
      <alignment vertical="center"/>
    </xf>
    <xf numFmtId="3" fontId="22" fillId="0" borderId="11" xfId="0" applyNumberFormat="1" applyFont="1" applyBorder="1" applyAlignment="1">
      <alignment horizontal="center" vertical="center"/>
    </xf>
    <xf numFmtId="3" fontId="0" fillId="0" borderId="0" xfId="0" applyNumberFormat="1" applyAlignment="1">
      <alignment horizontal="center" vertical="center"/>
    </xf>
    <xf numFmtId="49" fontId="22" fillId="0" borderId="20" xfId="14" applyNumberFormat="1" applyFont="1" applyBorder="1" applyAlignment="1">
      <alignment horizontal="center" vertical="center" wrapText="1"/>
    </xf>
    <xf numFmtId="177" fontId="22" fillId="6" borderId="19" xfId="14" applyFont="1" applyFill="1" applyBorder="1" applyAlignment="1">
      <alignment horizontal="justify" vertical="center" wrapText="1"/>
    </xf>
    <xf numFmtId="3" fontId="22" fillId="6" borderId="6" xfId="14" applyNumberFormat="1" applyFont="1" applyFill="1" applyBorder="1" applyAlignment="1">
      <alignment horizontal="center" vertical="center" wrapText="1"/>
    </xf>
    <xf numFmtId="1" fontId="22" fillId="6" borderId="6" xfId="14" applyNumberFormat="1" applyFont="1" applyFill="1" applyBorder="1" applyAlignment="1">
      <alignment horizontal="center" vertical="center"/>
    </xf>
    <xf numFmtId="10" fontId="22" fillId="6" borderId="50" xfId="14" applyNumberFormat="1" applyFont="1" applyFill="1" applyBorder="1" applyAlignment="1">
      <alignment horizontal="center" vertical="center" wrapText="1"/>
    </xf>
    <xf numFmtId="1" fontId="22" fillId="0" borderId="6" xfId="14" applyNumberFormat="1" applyFon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justify" vertical="center" wrapText="1"/>
    </xf>
    <xf numFmtId="0" fontId="0" fillId="0" borderId="6" xfId="0" applyBorder="1" applyAlignment="1">
      <alignment horizontal="center" vertical="center"/>
    </xf>
    <xf numFmtId="3" fontId="0" fillId="0" borderId="21" xfId="0" applyNumberFormat="1" applyBorder="1" applyAlignment="1">
      <alignment vertical="center"/>
    </xf>
    <xf numFmtId="43" fontId="22" fillId="6" borderId="12" xfId="1" applyFont="1" applyFill="1" applyBorder="1" applyAlignment="1">
      <alignment horizontal="center" vertical="center" wrapText="1"/>
    </xf>
    <xf numFmtId="43" fontId="22" fillId="6" borderId="25" xfId="1" applyFont="1" applyFill="1" applyBorder="1" applyAlignment="1">
      <alignment horizontal="center" vertical="center" wrapText="1"/>
    </xf>
    <xf numFmtId="43" fontId="22" fillId="6" borderId="13" xfId="1" applyFont="1" applyFill="1" applyBorder="1" applyAlignment="1">
      <alignment horizontal="center" vertical="center" wrapText="1"/>
    </xf>
    <xf numFmtId="3" fontId="0" fillId="0" borderId="0" xfId="0" applyNumberFormat="1" applyAlignment="1">
      <alignment vertical="center"/>
    </xf>
    <xf numFmtId="3" fontId="0" fillId="0" borderId="9" xfId="0" applyNumberFormat="1" applyBorder="1" applyAlignment="1">
      <alignment vertical="center"/>
    </xf>
    <xf numFmtId="177" fontId="22" fillId="6" borderId="13" xfId="14" applyFont="1" applyFill="1" applyBorder="1" applyAlignment="1">
      <alignment horizontal="center" vertical="center" wrapText="1"/>
    </xf>
    <xf numFmtId="49" fontId="22" fillId="0" borderId="25" xfId="14" applyNumberFormat="1" applyFont="1" applyBorder="1" applyAlignment="1">
      <alignment horizontal="center" vertical="center" wrapText="1"/>
    </xf>
    <xf numFmtId="49" fontId="22" fillId="0" borderId="13" xfId="14" applyNumberFormat="1" applyFont="1" applyBorder="1" applyAlignment="1">
      <alignment horizontal="center" vertical="center" wrapText="1"/>
    </xf>
    <xf numFmtId="177" fontId="22" fillId="6" borderId="21" xfId="14" applyFont="1" applyFill="1" applyBorder="1" applyAlignment="1">
      <alignment horizontal="justify" vertical="center" wrapText="1"/>
    </xf>
    <xf numFmtId="3" fontId="22" fillId="6" borderId="20" xfId="0" applyNumberFormat="1" applyFont="1" applyFill="1" applyBorder="1" applyAlignment="1">
      <alignment vertical="center" wrapText="1"/>
    </xf>
    <xf numFmtId="3" fontId="22" fillId="6" borderId="22" xfId="0" applyNumberFormat="1" applyFont="1" applyFill="1" applyBorder="1" applyAlignment="1">
      <alignment vertical="center" wrapText="1"/>
    </xf>
    <xf numFmtId="3" fontId="22" fillId="6" borderId="27" xfId="0" applyNumberFormat="1" applyFont="1" applyFill="1" applyBorder="1" applyAlignment="1">
      <alignment vertical="center" wrapText="1"/>
    </xf>
    <xf numFmtId="1" fontId="24" fillId="6" borderId="20" xfId="10" applyNumberFormat="1" applyFont="1" applyFill="1" applyBorder="1" applyAlignment="1">
      <alignment horizontal="center" vertical="center" wrapText="1"/>
    </xf>
    <xf numFmtId="1" fontId="24" fillId="6" borderId="22" xfId="10" applyNumberFormat="1" applyFont="1" applyFill="1" applyBorder="1" applyAlignment="1">
      <alignment horizontal="center" vertical="center" wrapText="1"/>
    </xf>
    <xf numFmtId="1" fontId="24" fillId="6" borderId="27" xfId="10" applyNumberFormat="1" applyFont="1" applyFill="1" applyBorder="1" applyAlignment="1">
      <alignment horizontal="center" vertical="center" wrapText="1"/>
    </xf>
    <xf numFmtId="1" fontId="22" fillId="6" borderId="20" xfId="14" applyNumberFormat="1" applyFont="1" applyFill="1" applyBorder="1" applyAlignment="1">
      <alignment horizontal="center" vertical="center"/>
    </xf>
    <xf numFmtId="1" fontId="22" fillId="6" borderId="22" xfId="14" applyNumberFormat="1" applyFont="1" applyFill="1" applyBorder="1" applyAlignment="1">
      <alignment horizontal="center" vertical="center"/>
    </xf>
    <xf numFmtId="1" fontId="22" fillId="6" borderId="27" xfId="14" applyNumberFormat="1" applyFont="1" applyFill="1" applyBorder="1" applyAlignment="1">
      <alignment horizontal="center" vertical="center"/>
    </xf>
    <xf numFmtId="3" fontId="22" fillId="0" borderId="19" xfId="0" applyNumberFormat="1" applyFont="1" applyBorder="1" applyAlignment="1">
      <alignment vertical="center" wrapText="1"/>
    </xf>
    <xf numFmtId="3" fontId="22" fillId="0" borderId="23" xfId="0" applyNumberFormat="1" applyFont="1" applyBorder="1" applyAlignment="1">
      <alignment vertical="center" wrapText="1"/>
    </xf>
    <xf numFmtId="3" fontId="0" fillId="0" borderId="23" xfId="0" applyNumberFormat="1" applyBorder="1" applyAlignment="1">
      <alignment vertical="center" wrapText="1"/>
    </xf>
    <xf numFmtId="3" fontId="0" fillId="0" borderId="21" xfId="0" applyNumberFormat="1" applyBorder="1" applyAlignment="1">
      <alignment vertical="center" wrapText="1"/>
    </xf>
    <xf numFmtId="3" fontId="22" fillId="0" borderId="6" xfId="0" applyNumberFormat="1" applyFont="1" applyBorder="1" applyAlignment="1">
      <alignment vertical="center" wrapText="1"/>
    </xf>
    <xf numFmtId="3" fontId="0" fillId="0" borderId="6" xfId="0" applyNumberFormat="1" applyBorder="1" applyAlignment="1">
      <alignment vertical="center" wrapText="1"/>
    </xf>
    <xf numFmtId="171" fontId="22" fillId="0" borderId="20" xfId="0" applyNumberFormat="1" applyFont="1" applyBorder="1" applyAlignment="1">
      <alignment horizontal="left" vertical="center" wrapText="1"/>
    </xf>
    <xf numFmtId="171" fontId="22" fillId="0" borderId="22" xfId="0" applyNumberFormat="1" applyFont="1" applyBorder="1" applyAlignment="1">
      <alignment horizontal="left" vertical="center" wrapText="1"/>
    </xf>
    <xf numFmtId="0" fontId="0" fillId="0" borderId="22" xfId="0" applyBorder="1" applyAlignment="1">
      <alignment horizontal="left" vertical="center"/>
    </xf>
    <xf numFmtId="0" fontId="0" fillId="0" borderId="27" xfId="0" applyBorder="1" applyAlignment="1">
      <alignment horizontal="left" vertical="center"/>
    </xf>
    <xf numFmtId="3" fontId="22" fillId="0" borderId="20" xfId="0" applyNumberFormat="1" applyFont="1" applyBorder="1" applyAlignment="1">
      <alignment vertical="center" wrapText="1"/>
    </xf>
    <xf numFmtId="3" fontId="22" fillId="0" borderId="22" xfId="0" applyNumberFormat="1" applyFont="1" applyBorder="1" applyAlignment="1">
      <alignment vertical="center" wrapText="1"/>
    </xf>
    <xf numFmtId="3" fontId="22" fillId="0" borderId="27" xfId="0" applyNumberFormat="1" applyFont="1" applyBorder="1" applyAlignment="1">
      <alignment vertical="center" wrapText="1"/>
    </xf>
    <xf numFmtId="10" fontId="24" fillId="6" borderId="50" xfId="14" applyNumberFormat="1" applyFont="1" applyFill="1" applyBorder="1" applyAlignment="1">
      <alignment horizontal="center" vertical="center" wrapText="1"/>
    </xf>
    <xf numFmtId="3" fontId="22" fillId="6" borderId="12" xfId="0" applyNumberFormat="1" applyFont="1" applyFill="1" applyBorder="1" applyAlignment="1">
      <alignment vertical="center" wrapText="1"/>
    </xf>
    <xf numFmtId="3" fontId="22" fillId="6" borderId="25" xfId="0" applyNumberFormat="1" applyFont="1" applyFill="1" applyBorder="1" applyAlignment="1">
      <alignment vertical="center" wrapText="1"/>
    </xf>
    <xf numFmtId="3" fontId="22" fillId="6" borderId="13" xfId="0" applyNumberFormat="1" applyFont="1" applyFill="1" applyBorder="1" applyAlignment="1">
      <alignment vertical="center" wrapText="1"/>
    </xf>
    <xf numFmtId="0" fontId="30" fillId="0" borderId="22" xfId="0" applyFont="1" applyFill="1" applyBorder="1" applyAlignment="1">
      <alignment horizontal="justify" vertical="center" wrapText="1"/>
    </xf>
    <xf numFmtId="0" fontId="22" fillId="0" borderId="6" xfId="0" applyFont="1" applyBorder="1" applyAlignment="1">
      <alignment vertical="center" wrapText="1"/>
    </xf>
    <xf numFmtId="0" fontId="0" fillId="0" borderId="6" xfId="0" applyBorder="1" applyAlignment="1">
      <alignment vertical="center" wrapText="1"/>
    </xf>
    <xf numFmtId="193" fontId="22" fillId="6" borderId="6" xfId="14" applyNumberFormat="1" applyFont="1" applyFill="1" applyBorder="1" applyAlignment="1">
      <alignment horizontal="center" vertical="center"/>
    </xf>
    <xf numFmtId="3" fontId="22" fillId="0" borderId="20" xfId="0" applyNumberFormat="1" applyFont="1" applyBorder="1" applyAlignment="1">
      <alignment horizontal="center" vertical="center"/>
    </xf>
    <xf numFmtId="3" fontId="22" fillId="0" borderId="22" xfId="0" applyNumberFormat="1" applyFont="1" applyBorder="1" applyAlignment="1">
      <alignment horizontal="center" vertical="center"/>
    </xf>
    <xf numFmtId="3" fontId="0" fillId="0" borderId="22" xfId="0" applyNumberFormat="1" applyBorder="1" applyAlignment="1">
      <alignment horizontal="center" vertical="center"/>
    </xf>
    <xf numFmtId="3" fontId="0" fillId="0" borderId="27" xfId="0" applyNumberFormat="1" applyBorder="1" applyAlignment="1">
      <alignment horizontal="center" vertical="center"/>
    </xf>
    <xf numFmtId="3" fontId="22" fillId="0" borderId="6" xfId="0" applyNumberFormat="1" applyFont="1" applyBorder="1" applyAlignment="1">
      <alignment horizontal="center" vertical="center"/>
    </xf>
    <xf numFmtId="3" fontId="0" fillId="0" borderId="6" xfId="0" applyNumberFormat="1" applyBorder="1" applyAlignment="1">
      <alignment horizontal="center" vertical="center"/>
    </xf>
    <xf numFmtId="3" fontId="32" fillId="0" borderId="6" xfId="0" applyNumberFormat="1" applyFont="1" applyBorder="1" applyAlignment="1">
      <alignment horizontal="center" vertical="center"/>
    </xf>
    <xf numFmtId="3" fontId="32" fillId="0" borderId="6" xfId="0" applyNumberFormat="1" applyFont="1" applyBorder="1" applyAlignment="1">
      <alignment horizontal="center" vertical="center" wrapText="1"/>
    </xf>
    <xf numFmtId="177" fontId="22" fillId="6" borderId="12" xfId="14" applyFont="1" applyFill="1" applyBorder="1" applyAlignment="1">
      <alignment horizontal="center" vertical="center" wrapText="1"/>
    </xf>
    <xf numFmtId="3" fontId="22" fillId="0" borderId="27" xfId="0" applyNumberFormat="1" applyFont="1" applyBorder="1" applyAlignment="1">
      <alignment horizontal="center" vertical="center"/>
    </xf>
    <xf numFmtId="14" fontId="22" fillId="0" borderId="20" xfId="0" applyNumberFormat="1" applyFont="1" applyBorder="1" applyAlignment="1">
      <alignment horizontal="center" vertical="center"/>
    </xf>
    <xf numFmtId="14" fontId="22" fillId="0" borderId="22" xfId="0" applyNumberFormat="1" applyFont="1" applyBorder="1" applyAlignment="1">
      <alignment horizontal="center" vertical="center"/>
    </xf>
    <xf numFmtId="14" fontId="22" fillId="0" borderId="27" xfId="0" applyNumberFormat="1" applyFont="1" applyBorder="1" applyAlignment="1">
      <alignment horizontal="center" vertical="center"/>
    </xf>
    <xf numFmtId="1" fontId="6" fillId="0" borderId="20"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27"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22" fillId="6" borderId="20" xfId="14" applyNumberFormat="1" applyFont="1" applyFill="1" applyBorder="1" applyAlignment="1">
      <alignment horizontal="center" vertical="center" wrapText="1"/>
    </xf>
    <xf numFmtId="3" fontId="22" fillId="6" borderId="27" xfId="14" applyNumberFormat="1" applyFont="1" applyFill="1" applyBorder="1" applyAlignment="1">
      <alignment horizontal="center" vertical="center" wrapText="1"/>
    </xf>
    <xf numFmtId="0" fontId="22" fillId="0" borderId="22" xfId="0" applyFont="1" applyFill="1" applyBorder="1" applyAlignment="1">
      <alignment horizontal="justify" vertical="center" wrapText="1"/>
    </xf>
    <xf numFmtId="0" fontId="22" fillId="6" borderId="20" xfId="14" applyNumberFormat="1" applyFont="1" applyFill="1" applyBorder="1" applyAlignment="1">
      <alignment horizontal="justify" vertical="center" wrapText="1"/>
    </xf>
    <xf numFmtId="3" fontId="32" fillId="0" borderId="12" xfId="0" applyNumberFormat="1" applyFont="1" applyBorder="1" applyAlignment="1">
      <alignment horizontal="center" vertical="center"/>
    </xf>
    <xf numFmtId="3" fontId="32" fillId="0" borderId="25" xfId="0" applyNumberFormat="1" applyFont="1" applyBorder="1" applyAlignment="1">
      <alignment horizontal="center" vertical="center"/>
    </xf>
    <xf numFmtId="3" fontId="32" fillId="0" borderId="13" xfId="0" applyNumberFormat="1" applyFont="1" applyBorder="1" applyAlignment="1">
      <alignment horizontal="center" vertical="center"/>
    </xf>
    <xf numFmtId="3" fontId="32" fillId="0" borderId="20" xfId="0" applyNumberFormat="1" applyFont="1" applyBorder="1" applyAlignment="1">
      <alignment horizontal="center" vertical="center"/>
    </xf>
    <xf numFmtId="3" fontId="32" fillId="0" borderId="22" xfId="0" applyNumberFormat="1" applyFont="1" applyBorder="1" applyAlignment="1">
      <alignment horizontal="center" vertical="center"/>
    </xf>
    <xf numFmtId="3" fontId="32" fillId="0" borderId="27" xfId="0" applyNumberFormat="1" applyFont="1" applyBorder="1" applyAlignment="1">
      <alignment horizontal="center" vertical="center"/>
    </xf>
    <xf numFmtId="0" fontId="30" fillId="6" borderId="50" xfId="14" applyNumberFormat="1" applyFont="1" applyFill="1" applyBorder="1" applyAlignment="1">
      <alignment horizontal="justify" vertical="center" wrapText="1"/>
    </xf>
    <xf numFmtId="0" fontId="6" fillId="12" borderId="6" xfId="0" applyFont="1" applyFill="1" applyBorder="1" applyAlignment="1">
      <alignment horizontal="center" vertical="center" wrapText="1"/>
    </xf>
    <xf numFmtId="170" fontId="7" fillId="12" borderId="20" xfId="0" applyNumberFormat="1" applyFont="1" applyFill="1" applyBorder="1" applyAlignment="1">
      <alignment horizontal="center" vertical="center" wrapText="1"/>
    </xf>
    <xf numFmtId="170" fontId="7" fillId="12" borderId="22" xfId="0" applyNumberFormat="1" applyFont="1" applyFill="1" applyBorder="1" applyAlignment="1">
      <alignment horizontal="center" vertical="center" wrapText="1"/>
    </xf>
    <xf numFmtId="1" fontId="6" fillId="12" borderId="6" xfId="0" applyNumberFormat="1" applyFont="1" applyFill="1" applyBorder="1" applyAlignment="1">
      <alignment horizontal="center" vertical="center" wrapText="1"/>
    </xf>
    <xf numFmtId="3" fontId="18" fillId="4" borderId="6" xfId="0" applyNumberFormat="1" applyFont="1" applyFill="1" applyBorder="1" applyAlignment="1">
      <alignment horizontal="center" vertical="center" wrapText="1"/>
    </xf>
    <xf numFmtId="169" fontId="6" fillId="12" borderId="6" xfId="0" applyNumberFormat="1" applyFont="1" applyFill="1" applyBorder="1" applyAlignment="1">
      <alignment horizontal="center" vertical="center" wrapText="1"/>
    </xf>
    <xf numFmtId="170" fontId="6" fillId="12" borderId="6" xfId="0" applyNumberFormat="1" applyFont="1" applyFill="1" applyBorder="1" applyAlignment="1">
      <alignment horizontal="center" vertical="center" wrapText="1"/>
    </xf>
    <xf numFmtId="49" fontId="22" fillId="0" borderId="12" xfId="14" applyNumberFormat="1" applyFont="1" applyBorder="1" applyAlignment="1">
      <alignment horizontal="center" vertical="center" wrapText="1"/>
    </xf>
    <xf numFmtId="1" fontId="6" fillId="12" borderId="18" xfId="0" applyNumberFormat="1"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20" xfId="0" applyFont="1" applyFill="1" applyBorder="1" applyAlignment="1">
      <alignment horizontal="center" vertical="center" textRotation="90" wrapText="1"/>
    </xf>
    <xf numFmtId="0" fontId="18" fillId="4" borderId="27" xfId="0" applyFont="1" applyFill="1" applyBorder="1" applyAlignment="1">
      <alignment horizontal="center" vertical="center" textRotation="90" wrapText="1"/>
    </xf>
    <xf numFmtId="171" fontId="6" fillId="12" borderId="21" xfId="0" applyNumberFormat="1" applyFont="1" applyFill="1" applyBorder="1" applyAlignment="1">
      <alignment horizontal="center" vertical="center" wrapText="1"/>
    </xf>
    <xf numFmtId="3" fontId="6" fillId="12" borderId="7" xfId="0" applyNumberFormat="1" applyFont="1" applyFill="1" applyBorder="1" applyAlignment="1">
      <alignment horizontal="center" vertical="center" wrapText="1"/>
    </xf>
    <xf numFmtId="0" fontId="18" fillId="4" borderId="6" xfId="0" applyFont="1" applyFill="1" applyBorder="1" applyAlignment="1">
      <alignment horizontal="center" vertical="center"/>
    </xf>
    <xf numFmtId="0" fontId="22" fillId="6" borderId="27" xfId="0" applyFont="1" applyFill="1" applyBorder="1" applyAlignment="1">
      <alignment horizontal="center" vertical="center" wrapText="1"/>
    </xf>
    <xf numFmtId="9" fontId="22" fillId="6" borderId="20" xfId="3" applyFont="1" applyFill="1" applyBorder="1" applyAlignment="1">
      <alignment horizontal="center" vertical="center" wrapText="1"/>
    </xf>
    <xf numFmtId="9" fontId="22" fillId="6" borderId="22" xfId="3" applyFont="1" applyFill="1" applyBorder="1" applyAlignment="1">
      <alignment horizontal="center" vertical="center" wrapText="1"/>
    </xf>
    <xf numFmtId="9" fontId="22" fillId="6" borderId="27" xfId="3" applyFont="1" applyFill="1" applyBorder="1" applyAlignment="1">
      <alignment horizontal="center" vertical="center" wrapText="1"/>
    </xf>
    <xf numFmtId="0" fontId="22" fillId="6" borderId="19" xfId="0" applyFont="1" applyFill="1" applyBorder="1" applyAlignment="1">
      <alignment horizontal="left" vertical="center" wrapText="1"/>
    </xf>
    <xf numFmtId="0" fontId="22" fillId="6" borderId="21" xfId="0" applyFont="1" applyFill="1" applyBorder="1" applyAlignment="1">
      <alignment horizontal="left" vertical="center" wrapText="1"/>
    </xf>
    <xf numFmtId="0" fontId="23" fillId="0" borderId="14" xfId="0" applyFont="1" applyBorder="1" applyAlignment="1">
      <alignment horizontal="center" vertical="center" wrapText="1"/>
    </xf>
    <xf numFmtId="0" fontId="23" fillId="0" borderId="16" xfId="0" applyFont="1" applyBorder="1" applyAlignment="1">
      <alignment horizontal="center" vertical="center" wrapText="1"/>
    </xf>
    <xf numFmtId="0" fontId="22" fillId="6" borderId="0" xfId="0" applyFont="1" applyFill="1" applyAlignment="1">
      <alignment horizontal="center" vertical="center"/>
    </xf>
    <xf numFmtId="3" fontId="22" fillId="6" borderId="20" xfId="0" applyNumberFormat="1" applyFont="1" applyFill="1" applyBorder="1" applyAlignment="1">
      <alignment horizontal="center" vertical="center" wrapText="1"/>
    </xf>
    <xf numFmtId="3" fontId="22" fillId="6" borderId="22" xfId="0" applyNumberFormat="1" applyFont="1" applyFill="1" applyBorder="1" applyAlignment="1">
      <alignment horizontal="center" vertical="center" wrapText="1"/>
    </xf>
    <xf numFmtId="3" fontId="22" fillId="6" borderId="27" xfId="0" applyNumberFormat="1" applyFont="1" applyFill="1" applyBorder="1" applyAlignment="1">
      <alignment horizontal="center" vertical="center" wrapText="1"/>
    </xf>
    <xf numFmtId="0" fontId="23" fillId="19" borderId="14" xfId="0" applyFont="1" applyFill="1" applyBorder="1" applyAlignment="1">
      <alignment horizontal="left" vertical="center" wrapText="1"/>
    </xf>
    <xf numFmtId="0" fontId="23" fillId="19" borderId="15" xfId="0" applyFont="1" applyFill="1" applyBorder="1" applyAlignment="1">
      <alignment horizontal="left" vertical="center" wrapText="1"/>
    </xf>
    <xf numFmtId="0" fontId="23" fillId="15" borderId="14" xfId="0" applyFont="1" applyFill="1" applyBorder="1" applyAlignment="1">
      <alignment horizontal="left" vertical="center" wrapText="1"/>
    </xf>
    <xf numFmtId="0" fontId="23" fillId="15" borderId="15" xfId="0" applyFont="1" applyFill="1" applyBorder="1" applyAlignment="1">
      <alignment horizontal="left" vertical="center" wrapText="1"/>
    </xf>
    <xf numFmtId="0" fontId="22" fillId="6" borderId="23" xfId="0" applyFont="1" applyFill="1" applyBorder="1" applyAlignment="1">
      <alignment horizontal="center" vertical="center" textRotation="90" wrapText="1"/>
    </xf>
    <xf numFmtId="0" fontId="22" fillId="6" borderId="25" xfId="0" applyFont="1" applyFill="1" applyBorder="1" applyAlignment="1">
      <alignment horizontal="center" vertical="center" textRotation="90" wrapText="1"/>
    </xf>
    <xf numFmtId="0" fontId="22" fillId="6" borderId="21" xfId="0" applyFont="1" applyFill="1" applyBorder="1" applyAlignment="1">
      <alignment horizontal="center" vertical="center" textRotation="90" wrapText="1"/>
    </xf>
    <xf numFmtId="0" fontId="22" fillId="6" borderId="13" xfId="0" applyFont="1" applyFill="1" applyBorder="1" applyAlignment="1">
      <alignment horizontal="center" vertical="center" textRotation="90" wrapText="1"/>
    </xf>
    <xf numFmtId="0" fontId="22" fillId="6" borderId="19" xfId="0" applyFont="1" applyFill="1" applyBorder="1" applyAlignment="1">
      <alignment horizontal="center" vertical="center" textRotation="90" wrapText="1"/>
    </xf>
    <xf numFmtId="0" fontId="22" fillId="6" borderId="12" xfId="0" applyFont="1" applyFill="1" applyBorder="1" applyAlignment="1">
      <alignment horizontal="center" vertical="center" textRotation="90" wrapText="1"/>
    </xf>
    <xf numFmtId="178" fontId="22" fillId="6" borderId="20" xfId="0" applyNumberFormat="1" applyFont="1" applyFill="1" applyBorder="1" applyAlignment="1">
      <alignment horizontal="center" vertical="center" wrapText="1"/>
    </xf>
    <xf numFmtId="178" fontId="22" fillId="6" borderId="22" xfId="0" applyNumberFormat="1" applyFont="1" applyFill="1" applyBorder="1" applyAlignment="1">
      <alignment horizontal="center" vertical="center" wrapText="1"/>
    </xf>
    <xf numFmtId="178" fontId="22" fillId="6" borderId="27" xfId="0" applyNumberFormat="1" applyFont="1" applyFill="1" applyBorder="1" applyAlignment="1">
      <alignment horizontal="center" vertical="center" wrapText="1"/>
    </xf>
    <xf numFmtId="0" fontId="22" fillId="6" borderId="22" xfId="0" applyFont="1" applyFill="1" applyBorder="1" applyAlignment="1">
      <alignment horizontal="justify" vertical="center" wrapText="1"/>
    </xf>
    <xf numFmtId="178" fontId="24" fillId="6" borderId="20" xfId="0" applyNumberFormat="1" applyFont="1" applyFill="1" applyBorder="1" applyAlignment="1">
      <alignment horizontal="center" vertical="center" wrapText="1"/>
    </xf>
    <xf numFmtId="178" fontId="24" fillId="6" borderId="22" xfId="0" applyNumberFormat="1" applyFont="1" applyFill="1" applyBorder="1" applyAlignment="1">
      <alignment horizontal="center" vertical="center" wrapText="1"/>
    </xf>
    <xf numFmtId="178" fontId="24" fillId="6" borderId="27" xfId="0" applyNumberFormat="1" applyFont="1" applyFill="1" applyBorder="1" applyAlignment="1">
      <alignment horizontal="center" vertical="center" wrapText="1"/>
    </xf>
    <xf numFmtId="4" fontId="22" fillId="6" borderId="20" xfId="0" applyNumberFormat="1" applyFont="1" applyFill="1" applyBorder="1" applyAlignment="1">
      <alignment horizontal="right" vertical="center" wrapText="1"/>
    </xf>
    <xf numFmtId="4" fontId="22" fillId="6" borderId="22" xfId="0" applyNumberFormat="1" applyFont="1" applyFill="1" applyBorder="1" applyAlignment="1">
      <alignment horizontal="right" vertical="center" wrapText="1"/>
    </xf>
    <xf numFmtId="4" fontId="22" fillId="6" borderId="27" xfId="0" applyNumberFormat="1" applyFont="1" applyFill="1" applyBorder="1" applyAlignment="1">
      <alignment horizontal="right" vertical="center" wrapText="1"/>
    </xf>
    <xf numFmtId="168" fontId="22" fillId="6" borderId="20" xfId="0" applyNumberFormat="1" applyFont="1" applyFill="1" applyBorder="1" applyAlignment="1">
      <alignment horizontal="center" vertical="center" wrapText="1"/>
    </xf>
    <xf numFmtId="168" fontId="22" fillId="6" borderId="22" xfId="0" applyNumberFormat="1" applyFont="1" applyFill="1" applyBorder="1" applyAlignment="1">
      <alignment horizontal="center" vertical="center" wrapText="1"/>
    </xf>
    <xf numFmtId="168" fontId="22" fillId="6" borderId="27" xfId="0" applyNumberFormat="1" applyFont="1" applyFill="1" applyBorder="1" applyAlignment="1">
      <alignment horizontal="center" vertical="center" wrapText="1"/>
    </xf>
    <xf numFmtId="0" fontId="22" fillId="6" borderId="21" xfId="0" applyFont="1" applyFill="1" applyBorder="1" applyAlignment="1">
      <alignment horizontal="justify" vertical="center" wrapText="1"/>
    </xf>
    <xf numFmtId="0" fontId="6" fillId="19" borderId="14" xfId="0" applyFont="1" applyFill="1" applyBorder="1" applyAlignment="1">
      <alignment horizontal="left" vertical="center" wrapText="1"/>
    </xf>
    <xf numFmtId="0" fontId="6" fillId="19" borderId="15" xfId="0" applyFont="1" applyFill="1" applyBorder="1" applyAlignment="1">
      <alignment horizontal="left" vertical="center" wrapText="1"/>
    </xf>
    <xf numFmtId="0" fontId="6" fillId="19" borderId="15" xfId="0" applyFont="1" applyFill="1" applyBorder="1" applyAlignment="1">
      <alignment horizontal="center" vertical="center" wrapText="1"/>
    </xf>
    <xf numFmtId="0" fontId="6" fillId="19" borderId="17" xfId="0" applyFont="1" applyFill="1" applyBorder="1" applyAlignment="1">
      <alignment horizontal="center" vertical="center" wrapText="1"/>
    </xf>
    <xf numFmtId="0" fontId="6" fillId="15" borderId="14" xfId="0" applyFont="1" applyFill="1" applyBorder="1" applyAlignment="1">
      <alignment horizontal="left" vertical="center" wrapText="1"/>
    </xf>
    <xf numFmtId="0" fontId="6" fillId="15" borderId="15" xfId="0" applyFont="1" applyFill="1" applyBorder="1" applyAlignment="1">
      <alignment horizontal="left" vertical="center" wrapText="1"/>
    </xf>
    <xf numFmtId="0" fontId="4" fillId="15" borderId="15" xfId="0" applyFont="1" applyFill="1" applyBorder="1" applyAlignment="1">
      <alignment horizontal="center" vertical="center" wrapText="1"/>
    </xf>
    <xf numFmtId="0" fontId="4" fillId="15" borderId="17" xfId="0" applyFont="1" applyFill="1" applyBorder="1" applyAlignment="1">
      <alignment horizontal="center" vertical="center" wrapText="1"/>
    </xf>
    <xf numFmtId="9" fontId="22" fillId="6" borderId="20" xfId="0" applyNumberFormat="1" applyFont="1" applyFill="1" applyBorder="1" applyAlignment="1">
      <alignment horizontal="center" vertical="center" wrapText="1"/>
    </xf>
    <xf numFmtId="9" fontId="22" fillId="6" borderId="22" xfId="0" applyNumberFormat="1" applyFont="1" applyFill="1" applyBorder="1" applyAlignment="1">
      <alignment horizontal="center" vertical="center" wrapText="1"/>
    </xf>
    <xf numFmtId="9" fontId="22" fillId="6" borderId="27" xfId="0" applyNumberFormat="1" applyFont="1" applyFill="1" applyBorder="1" applyAlignment="1">
      <alignment horizontal="center" vertical="center" wrapText="1"/>
    </xf>
    <xf numFmtId="3" fontId="22" fillId="6" borderId="20" xfId="0" applyNumberFormat="1" applyFont="1" applyFill="1" applyBorder="1" applyAlignment="1">
      <alignment horizontal="left" vertical="center" wrapText="1"/>
    </xf>
    <xf numFmtId="3" fontId="22" fillId="6" borderId="22" xfId="0" applyNumberFormat="1" applyFont="1" applyFill="1" applyBorder="1" applyAlignment="1">
      <alignment horizontal="left" vertical="center" wrapText="1"/>
    </xf>
    <xf numFmtId="3" fontId="22" fillId="6" borderId="27" xfId="0" applyNumberFormat="1" applyFont="1" applyFill="1" applyBorder="1" applyAlignment="1">
      <alignment horizontal="left" vertical="center" wrapText="1"/>
    </xf>
    <xf numFmtId="168" fontId="6" fillId="12" borderId="19" xfId="0" applyNumberFormat="1" applyFont="1" applyFill="1" applyBorder="1" applyAlignment="1">
      <alignment horizontal="center" vertical="center" wrapText="1"/>
    </xf>
    <xf numFmtId="168" fontId="6" fillId="12" borderId="21" xfId="0" applyNumberFormat="1" applyFont="1" applyFill="1" applyBorder="1" applyAlignment="1">
      <alignment horizontal="center" vertical="center" wrapText="1"/>
    </xf>
    <xf numFmtId="41" fontId="6" fillId="12" borderId="11" xfId="8" applyFont="1" applyFill="1" applyBorder="1" applyAlignment="1">
      <alignment horizontal="center" vertical="center" wrapText="1"/>
    </xf>
    <xf numFmtId="41" fontId="6" fillId="12" borderId="9" xfId="8"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12" borderId="11" xfId="0" applyFont="1" applyFill="1" applyBorder="1" applyAlignment="1">
      <alignment horizontal="center" vertical="center" wrapText="1"/>
    </xf>
    <xf numFmtId="0" fontId="6" fillId="12" borderId="0" xfId="0" applyFont="1" applyFill="1" applyAlignment="1">
      <alignment horizontal="center" vertical="center" wrapText="1"/>
    </xf>
    <xf numFmtId="2" fontId="6" fillId="12" borderId="6" xfId="0" applyNumberFormat="1" applyFont="1" applyFill="1" applyBorder="1" applyAlignment="1">
      <alignment horizontal="center" vertical="center" wrapText="1"/>
    </xf>
    <xf numFmtId="0" fontId="6" fillId="13" borderId="14" xfId="0" applyFont="1" applyFill="1" applyBorder="1" applyAlignment="1">
      <alignment horizontal="left" vertical="center" wrapText="1"/>
    </xf>
    <xf numFmtId="0" fontId="6" fillId="13" borderId="15" xfId="0" applyFont="1" applyFill="1" applyBorder="1" applyAlignment="1">
      <alignment horizontal="left" vertical="center" wrapText="1"/>
    </xf>
    <xf numFmtId="0" fontId="22" fillId="0" borderId="20" xfId="0" applyFont="1" applyBorder="1" applyAlignment="1">
      <alignment horizontal="justify" vertical="center" wrapText="1"/>
    </xf>
    <xf numFmtId="0" fontId="22" fillId="0" borderId="22" xfId="0" applyFont="1" applyBorder="1" applyAlignment="1">
      <alignment horizontal="justify" vertical="center" wrapText="1"/>
    </xf>
    <xf numFmtId="0" fontId="22" fillId="0" borderId="27" xfId="0" applyFont="1" applyBorder="1" applyAlignment="1">
      <alignment horizontal="justify" vertical="center" wrapText="1"/>
    </xf>
    <xf numFmtId="4" fontId="22" fillId="6" borderId="20" xfId="0" applyNumberFormat="1" applyFont="1" applyFill="1" applyBorder="1" applyAlignment="1">
      <alignment horizontal="center" vertical="center" wrapText="1"/>
    </xf>
    <xf numFmtId="4" fontId="22" fillId="6" borderId="22" xfId="0" applyNumberFormat="1" applyFont="1" applyFill="1" applyBorder="1" applyAlignment="1">
      <alignment horizontal="center" vertical="center" wrapText="1"/>
    </xf>
    <xf numFmtId="4" fontId="22" fillId="6" borderId="27" xfId="0" applyNumberFormat="1" applyFont="1" applyFill="1" applyBorder="1" applyAlignment="1">
      <alignment horizontal="center" vertical="center" wrapText="1"/>
    </xf>
    <xf numFmtId="0" fontId="22" fillId="0" borderId="19" xfId="0" applyFont="1" applyBorder="1" applyAlignment="1">
      <alignment horizontal="justify" vertical="center" wrapText="1"/>
    </xf>
    <xf numFmtId="0" fontId="22" fillId="6" borderId="25"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6" xfId="0" applyFont="1" applyFill="1" applyBorder="1" applyAlignment="1">
      <alignment horizontal="justify" vertical="center" wrapText="1"/>
    </xf>
    <xf numFmtId="1" fontId="22" fillId="6" borderId="6" xfId="0" applyNumberFormat="1" applyFont="1" applyFill="1" applyBorder="1" applyAlignment="1">
      <alignment horizontal="center" vertical="center" wrapText="1"/>
    </xf>
    <xf numFmtId="43" fontId="22" fillId="0" borderId="6" xfId="1" applyFont="1" applyFill="1" applyBorder="1" applyAlignment="1">
      <alignment horizontal="right" vertical="center" wrapText="1"/>
    </xf>
    <xf numFmtId="0" fontId="22" fillId="6" borderId="20" xfId="0" applyFont="1" applyFill="1" applyBorder="1" applyAlignment="1">
      <alignment horizontal="left" vertical="center" wrapText="1"/>
    </xf>
    <xf numFmtId="3" fontId="6" fillId="12" borderId="26" xfId="0" applyNumberFormat="1" applyFont="1" applyFill="1" applyBorder="1" applyAlignment="1">
      <alignment horizontal="center" vertical="center" wrapText="1"/>
    </xf>
    <xf numFmtId="3" fontId="6" fillId="12" borderId="28" xfId="0" applyNumberFormat="1" applyFont="1" applyFill="1" applyBorder="1" applyAlignment="1">
      <alignment horizontal="center" vertical="center" wrapText="1"/>
    </xf>
    <xf numFmtId="1" fontId="6" fillId="6" borderId="10" xfId="0" applyNumberFormat="1" applyFont="1" applyFill="1" applyBorder="1" applyAlignment="1">
      <alignment horizontal="center" vertical="center" wrapText="1"/>
    </xf>
    <xf numFmtId="1" fontId="6" fillId="6" borderId="11" xfId="0" applyNumberFormat="1" applyFont="1" applyFill="1" applyBorder="1" applyAlignment="1">
      <alignment horizontal="center" vertical="center" wrapText="1"/>
    </xf>
    <xf numFmtId="1" fontId="6" fillId="6" borderId="12" xfId="0" applyNumberFormat="1" applyFont="1" applyFill="1" applyBorder="1" applyAlignment="1">
      <alignment horizontal="center" vertical="center" wrapText="1"/>
    </xf>
    <xf numFmtId="1" fontId="6" fillId="6" borderId="5" xfId="0" applyNumberFormat="1" applyFont="1" applyFill="1" applyBorder="1" applyAlignment="1">
      <alignment horizontal="center" vertical="center" wrapText="1"/>
    </xf>
    <xf numFmtId="1" fontId="6" fillId="6" borderId="0" xfId="0" applyNumberFormat="1" applyFont="1" applyFill="1" applyAlignment="1">
      <alignment horizontal="center" vertical="center" wrapText="1"/>
    </xf>
    <xf numFmtId="1" fontId="6" fillId="6" borderId="25" xfId="0" applyNumberFormat="1"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2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4" fillId="6" borderId="20" xfId="0" applyFont="1" applyFill="1" applyBorder="1" applyAlignment="1">
      <alignment horizontal="justify" vertical="center" wrapText="1"/>
    </xf>
    <xf numFmtId="170" fontId="6" fillId="12" borderId="19" xfId="0" applyNumberFormat="1" applyFont="1" applyFill="1" applyBorder="1" applyAlignment="1">
      <alignment horizontal="center" vertical="center" wrapText="1"/>
    </xf>
    <xf numFmtId="170" fontId="6" fillId="12" borderId="23" xfId="0" applyNumberFormat="1" applyFont="1" applyFill="1" applyBorder="1" applyAlignment="1">
      <alignment horizontal="center" vertical="center" wrapText="1"/>
    </xf>
    <xf numFmtId="1" fontId="6" fillId="12" borderId="27"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43" fontId="6" fillId="12" borderId="19" xfId="1" applyFont="1" applyFill="1" applyBorder="1" applyAlignment="1">
      <alignment horizontal="center" vertical="center" wrapText="1"/>
    </xf>
    <xf numFmtId="43" fontId="6" fillId="12" borderId="23" xfId="1" applyFont="1" applyFill="1" applyBorder="1" applyAlignment="1">
      <alignment horizontal="center" vertical="center" wrapText="1"/>
    </xf>
    <xf numFmtId="3" fontId="4" fillId="6" borderId="22" xfId="0" applyNumberFormat="1"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4" fillId="0" borderId="27" xfId="0" applyFont="1" applyFill="1" applyBorder="1" applyAlignment="1">
      <alignment horizontal="justify" vertical="center" wrapText="1"/>
    </xf>
    <xf numFmtId="173" fontId="4" fillId="0" borderId="20" xfId="1" applyNumberFormat="1" applyFont="1" applyBorder="1" applyAlignment="1">
      <alignment horizontal="center" vertical="center" wrapText="1"/>
    </xf>
    <xf numFmtId="173" fontId="4" fillId="0" borderId="25" xfId="1" applyNumberFormat="1" applyFont="1" applyBorder="1" applyAlignment="1">
      <alignment horizontal="center" vertical="center" wrapText="1"/>
    </xf>
    <xf numFmtId="173" fontId="4" fillId="0" borderId="22" xfId="1" applyNumberFormat="1" applyFont="1" applyBorder="1" applyAlignment="1">
      <alignment horizontal="center" vertical="center" wrapText="1"/>
    </xf>
    <xf numFmtId="173" fontId="4" fillId="0" borderId="27" xfId="1" applyNumberFormat="1" applyFont="1" applyBorder="1" applyAlignment="1">
      <alignment horizontal="center" vertical="center" wrapText="1"/>
    </xf>
    <xf numFmtId="9" fontId="4" fillId="6" borderId="20" xfId="0" applyNumberFormat="1" applyFont="1" applyFill="1" applyBorder="1" applyAlignment="1">
      <alignment horizontal="center" vertical="center" wrapText="1"/>
    </xf>
    <xf numFmtId="9" fontId="4" fillId="6" borderId="22" xfId="0" applyNumberFormat="1" applyFont="1" applyFill="1" applyBorder="1" applyAlignment="1">
      <alignment horizontal="center" vertical="center" wrapText="1"/>
    </xf>
    <xf numFmtId="0" fontId="4" fillId="6" borderId="12" xfId="0" applyFont="1" applyFill="1" applyBorder="1" applyAlignment="1">
      <alignment horizontal="justify" vertical="center" wrapText="1"/>
    </xf>
    <xf numFmtId="0" fontId="4" fillId="6" borderId="25" xfId="0" applyFont="1" applyFill="1" applyBorder="1" applyAlignment="1">
      <alignment horizontal="justify" vertical="center" wrapText="1"/>
    </xf>
    <xf numFmtId="0" fontId="4" fillId="6" borderId="23" xfId="0" applyFont="1" applyFill="1" applyBorder="1" applyAlignment="1">
      <alignment horizontal="center" vertical="center" wrapText="1"/>
    </xf>
    <xf numFmtId="0" fontId="4" fillId="0" borderId="22" xfId="0" applyFont="1" applyFill="1" applyBorder="1" applyAlignment="1">
      <alignment horizontal="justify" vertical="center" wrapText="1"/>
    </xf>
    <xf numFmtId="43" fontId="4" fillId="0" borderId="20" xfId="1" applyFont="1" applyBorder="1" applyAlignment="1">
      <alignment horizontal="center" vertical="center" wrapText="1"/>
    </xf>
    <xf numFmtId="43" fontId="4" fillId="0" borderId="22" xfId="1" applyFont="1" applyBorder="1" applyAlignment="1">
      <alignment horizontal="center" vertical="center" wrapText="1"/>
    </xf>
    <xf numFmtId="14" fontId="4" fillId="6" borderId="20"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7" xfId="0" applyNumberFormat="1" applyFont="1" applyFill="1" applyBorder="1" applyAlignment="1">
      <alignment horizontal="center" vertical="center" wrapText="1"/>
    </xf>
    <xf numFmtId="3" fontId="10" fillId="6" borderId="26" xfId="0" applyNumberFormat="1" applyFont="1" applyFill="1" applyBorder="1" applyAlignment="1">
      <alignment horizontal="justify" vertical="center" wrapText="1"/>
    </xf>
    <xf numFmtId="3" fontId="4" fillId="6" borderId="28" xfId="0" applyNumberFormat="1" applyFont="1" applyFill="1" applyBorder="1" applyAlignment="1">
      <alignment horizontal="justify" vertical="center" wrapText="1"/>
    </xf>
    <xf numFmtId="3" fontId="4" fillId="6" borderId="34" xfId="0" applyNumberFormat="1" applyFont="1" applyFill="1" applyBorder="1" applyAlignment="1">
      <alignment horizontal="justify" vertical="center" wrapText="1"/>
    </xf>
    <xf numFmtId="0" fontId="4" fillId="0" borderId="14" xfId="0" applyFont="1" applyFill="1" applyBorder="1" applyAlignment="1">
      <alignment horizontal="justify" vertical="center" wrapText="1"/>
    </xf>
    <xf numFmtId="43" fontId="4" fillId="0" borderId="6" xfId="1" applyFont="1" applyFill="1" applyBorder="1" applyAlignment="1">
      <alignment horizontal="center" vertical="center" wrapText="1"/>
    </xf>
    <xf numFmtId="1" fontId="4" fillId="0"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7" xfId="0" applyFont="1" applyFill="1" applyBorder="1" applyAlignment="1">
      <alignment horizontal="center" vertical="center" wrapText="1"/>
    </xf>
    <xf numFmtId="43" fontId="4" fillId="0" borderId="20" xfId="1" applyFont="1" applyFill="1" applyBorder="1" applyAlignment="1">
      <alignment horizontal="center" vertical="center"/>
    </xf>
    <xf numFmtId="43" fontId="4" fillId="0" borderId="22" xfId="1" applyFont="1" applyFill="1" applyBorder="1" applyAlignment="1">
      <alignment horizontal="center" vertical="center"/>
    </xf>
    <xf numFmtId="1" fontId="4"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3" fontId="4" fillId="6" borderId="20" xfId="0" applyNumberFormat="1" applyFont="1" applyFill="1" applyBorder="1" applyAlignment="1">
      <alignment horizontal="center" vertical="center" wrapText="1"/>
    </xf>
    <xf numFmtId="3" fontId="4" fillId="6" borderId="22" xfId="0" applyNumberFormat="1" applyFont="1" applyFill="1" applyBorder="1" applyAlignment="1">
      <alignment horizontal="center" vertical="center" wrapText="1"/>
    </xf>
    <xf numFmtId="3" fontId="4" fillId="6" borderId="27" xfId="0" applyNumberFormat="1" applyFont="1" applyFill="1" applyBorder="1" applyAlignment="1">
      <alignment horizontal="center" vertical="center" wrapText="1"/>
    </xf>
    <xf numFmtId="173" fontId="4" fillId="6" borderId="20" xfId="1" applyNumberFormat="1" applyFont="1" applyFill="1" applyBorder="1" applyAlignment="1">
      <alignment horizontal="center" vertical="center" wrapText="1"/>
    </xf>
    <xf numFmtId="173" fontId="4" fillId="6" borderId="22" xfId="1" applyNumberFormat="1" applyFont="1" applyFill="1" applyBorder="1" applyAlignment="1">
      <alignment horizontal="center" vertical="center" wrapText="1"/>
    </xf>
    <xf numFmtId="173" fontId="4" fillId="6" borderId="27" xfId="1" applyNumberFormat="1" applyFont="1" applyFill="1" applyBorder="1" applyAlignment="1">
      <alignment horizontal="center" vertical="center" wrapText="1"/>
    </xf>
    <xf numFmtId="2" fontId="4" fillId="6" borderId="20" xfId="0" applyNumberFormat="1" applyFont="1" applyFill="1" applyBorder="1" applyAlignment="1">
      <alignment horizontal="center" vertical="center" wrapText="1"/>
    </xf>
    <xf numFmtId="2" fontId="4" fillId="6" borderId="22" xfId="0" applyNumberFormat="1" applyFont="1" applyFill="1" applyBorder="1" applyAlignment="1">
      <alignment horizontal="center" vertical="center" wrapText="1"/>
    </xf>
    <xf numFmtId="173" fontId="4" fillId="6" borderId="12" xfId="1" applyNumberFormat="1" applyFont="1" applyFill="1" applyBorder="1" applyAlignment="1">
      <alignment horizontal="center" vertical="center" wrapText="1"/>
    </xf>
    <xf numFmtId="173" fontId="4" fillId="6" borderId="25" xfId="1" applyNumberFormat="1" applyFont="1" applyFill="1" applyBorder="1" applyAlignment="1">
      <alignment horizontal="center" vertical="center" wrapText="1"/>
    </xf>
    <xf numFmtId="0" fontId="4" fillId="0" borderId="19"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21" xfId="0" applyFont="1" applyFill="1" applyBorder="1" applyAlignment="1">
      <alignment horizontal="justify" vertical="center" wrapText="1"/>
    </xf>
    <xf numFmtId="43" fontId="4" fillId="0" borderId="50" xfId="1" applyFont="1" applyFill="1" applyBorder="1" applyAlignment="1">
      <alignment horizontal="center" vertical="center" wrapText="1"/>
    </xf>
    <xf numFmtId="1" fontId="4" fillId="0" borderId="50" xfId="0" applyNumberFormat="1" applyFont="1" applyFill="1" applyBorder="1" applyAlignment="1">
      <alignment horizontal="center" vertical="center" wrapText="1"/>
    </xf>
    <xf numFmtId="0" fontId="4" fillId="0" borderId="50" xfId="0" applyFont="1" applyFill="1" applyBorder="1" applyAlignment="1">
      <alignment horizontal="center" vertical="center" wrapText="1"/>
    </xf>
    <xf numFmtId="43" fontId="4" fillId="0" borderId="27" xfId="1" applyFont="1" applyFill="1" applyBorder="1" applyAlignment="1">
      <alignment horizontal="center" vertical="center" wrapText="1"/>
    </xf>
    <xf numFmtId="1" fontId="4" fillId="0" borderId="27" xfId="0" applyNumberFormat="1" applyFont="1" applyFill="1" applyBorder="1" applyAlignment="1">
      <alignment horizontal="center" vertical="center" wrapText="1"/>
    </xf>
    <xf numFmtId="1" fontId="4" fillId="6" borderId="20" xfId="0" applyNumberFormat="1" applyFont="1" applyFill="1" applyBorder="1" applyAlignment="1">
      <alignment horizontal="center" vertical="center" wrapText="1"/>
    </xf>
    <xf numFmtId="1" fontId="4" fillId="6" borderId="27" xfId="0" applyNumberFormat="1" applyFont="1" applyFill="1" applyBorder="1" applyAlignment="1">
      <alignment horizontal="center" vertical="center" wrapText="1"/>
    </xf>
    <xf numFmtId="1" fontId="6" fillId="6" borderId="20" xfId="0" applyNumberFormat="1" applyFont="1" applyFill="1" applyBorder="1" applyAlignment="1">
      <alignment horizontal="center" vertical="center" wrapText="1"/>
    </xf>
    <xf numFmtId="1" fontId="6" fillId="6" borderId="22" xfId="0" applyNumberFormat="1" applyFont="1" applyFill="1" applyBorder="1" applyAlignment="1">
      <alignment horizontal="center" vertical="center" wrapText="1"/>
    </xf>
    <xf numFmtId="1" fontId="6" fillId="6" borderId="27" xfId="0" applyNumberFormat="1"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4" fillId="6" borderId="23" xfId="0" applyFont="1" applyFill="1" applyBorder="1" applyAlignment="1">
      <alignment horizontal="justify" vertical="center" wrapText="1"/>
    </xf>
    <xf numFmtId="10" fontId="4" fillId="6" borderId="50" xfId="0" applyNumberFormat="1" applyFont="1" applyFill="1" applyBorder="1" applyAlignment="1">
      <alignment horizontal="center" vertical="center" wrapText="1"/>
    </xf>
    <xf numFmtId="173" fontId="4" fillId="6" borderId="13" xfId="1" applyNumberFormat="1" applyFont="1" applyFill="1" applyBorder="1" applyAlignment="1">
      <alignment horizontal="center" vertical="center" wrapText="1"/>
    </xf>
    <xf numFmtId="0" fontId="4" fillId="0" borderId="58" xfId="0" applyFont="1" applyFill="1" applyBorder="1" applyAlignment="1">
      <alignment horizontal="justify" vertical="center" wrapText="1"/>
    </xf>
    <xf numFmtId="1" fontId="4" fillId="0" borderId="51" xfId="0" applyNumberFormat="1" applyFont="1" applyFill="1" applyBorder="1" applyAlignment="1">
      <alignment horizontal="center" vertical="center" wrapText="1"/>
    </xf>
    <xf numFmtId="3" fontId="4" fillId="0" borderId="21" xfId="0" applyNumberFormat="1" applyFont="1" applyFill="1" applyBorder="1" applyAlignment="1">
      <alignment horizontal="justify" vertical="center" wrapText="1"/>
    </xf>
    <xf numFmtId="3" fontId="4" fillId="0" borderId="14" xfId="0" applyNumberFormat="1" applyFont="1" applyFill="1" applyBorder="1" applyAlignment="1">
      <alignment horizontal="justify" vertical="center" wrapText="1"/>
    </xf>
    <xf numFmtId="3" fontId="10" fillId="6" borderId="28" xfId="0" applyNumberFormat="1" applyFont="1" applyFill="1" applyBorder="1" applyAlignment="1">
      <alignment horizontal="justify" vertical="center" wrapText="1"/>
    </xf>
    <xf numFmtId="1" fontId="4" fillId="0" borderId="57"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1" fontId="21" fillId="6" borderId="20" xfId="0" applyNumberFormat="1" applyFont="1" applyFill="1" applyBorder="1" applyAlignment="1">
      <alignment horizontal="center" vertical="center" wrapText="1"/>
    </xf>
    <xf numFmtId="1" fontId="21" fillId="6" borderId="22" xfId="0" applyNumberFormat="1" applyFont="1" applyFill="1" applyBorder="1" applyAlignment="1">
      <alignment horizontal="center" vertical="center" wrapText="1"/>
    </xf>
    <xf numFmtId="1" fontId="21" fillId="6" borderId="27"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3" fontId="4" fillId="6" borderId="14" xfId="0" applyNumberFormat="1" applyFont="1" applyFill="1" applyBorder="1" applyAlignment="1">
      <alignment horizontal="justify" vertical="center" wrapText="1"/>
    </xf>
    <xf numFmtId="3" fontId="4" fillId="6" borderId="6" xfId="0" applyNumberFormat="1" applyFont="1" applyFill="1" applyBorder="1" applyAlignment="1">
      <alignment horizontal="justify" vertical="center" wrapText="1"/>
    </xf>
    <xf numFmtId="0" fontId="4" fillId="0" borderId="6" xfId="0" applyFont="1" applyFill="1" applyBorder="1" applyAlignment="1">
      <alignment horizontal="center" vertical="center" wrapText="1"/>
    </xf>
    <xf numFmtId="43" fontId="4" fillId="0" borderId="25" xfId="1" applyFont="1" applyBorder="1" applyAlignment="1">
      <alignment horizontal="center" vertical="center" wrapText="1"/>
    </xf>
    <xf numFmtId="3" fontId="4" fillId="6" borderId="23" xfId="0" applyNumberFormat="1" applyFont="1" applyFill="1" applyBorder="1" applyAlignment="1">
      <alignment horizontal="justify" vertical="center" wrapText="1"/>
    </xf>
    <xf numFmtId="0" fontId="4" fillId="6" borderId="19" xfId="0" applyFont="1" applyFill="1" applyBorder="1" applyAlignment="1">
      <alignment horizontal="center"/>
    </xf>
    <xf numFmtId="0" fontId="4" fillId="6" borderId="11" xfId="0" applyFont="1" applyFill="1" applyBorder="1" applyAlignment="1">
      <alignment horizontal="center"/>
    </xf>
    <xf numFmtId="0" fontId="4" fillId="6" borderId="12" xfId="0" applyFont="1" applyFill="1" applyBorder="1" applyAlignment="1">
      <alignment horizontal="center"/>
    </xf>
    <xf numFmtId="0" fontId="4" fillId="6" borderId="23" xfId="0" applyFont="1" applyFill="1" applyBorder="1" applyAlignment="1">
      <alignment horizontal="center"/>
    </xf>
    <xf numFmtId="0" fontId="4" fillId="6" borderId="0" xfId="0" applyFont="1" applyFill="1" applyAlignment="1">
      <alignment horizontal="center"/>
    </xf>
    <xf numFmtId="0" fontId="4" fillId="6" borderId="25" xfId="0" applyFont="1" applyFill="1" applyBorder="1" applyAlignment="1">
      <alignment horizontal="center"/>
    </xf>
    <xf numFmtId="0" fontId="4" fillId="6" borderId="27" xfId="0" applyFont="1" applyFill="1" applyBorder="1" applyAlignment="1">
      <alignment horizontal="justify" vertical="center" wrapText="1"/>
    </xf>
    <xf numFmtId="9" fontId="4" fillId="6" borderId="27" xfId="0" applyNumberFormat="1" applyFont="1" applyFill="1" applyBorder="1" applyAlignment="1">
      <alignment horizontal="center" vertical="center" wrapText="1"/>
    </xf>
    <xf numFmtId="43" fontId="4" fillId="0" borderId="27" xfId="1" applyFont="1" applyBorder="1" applyAlignment="1">
      <alignment horizontal="center" vertical="center" wrapText="1"/>
    </xf>
    <xf numFmtId="3" fontId="4" fillId="6" borderId="19" xfId="0" applyNumberFormat="1" applyFont="1" applyFill="1" applyBorder="1" applyAlignment="1">
      <alignment horizontal="justify" vertical="center" wrapText="1"/>
    </xf>
    <xf numFmtId="0" fontId="4" fillId="0" borderId="50" xfId="0" applyFont="1" applyFill="1" applyBorder="1" applyAlignment="1">
      <alignment horizontal="justify" vertical="center" wrapText="1"/>
    </xf>
    <xf numFmtId="43" fontId="4" fillId="6" borderId="22" xfId="1" applyFont="1" applyFill="1" applyBorder="1" applyAlignment="1">
      <alignment horizontal="center" vertical="center" wrapText="1"/>
    </xf>
    <xf numFmtId="0" fontId="4" fillId="0" borderId="19"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23" xfId="0" applyFont="1" applyBorder="1" applyAlignment="1">
      <alignment horizontal="center"/>
    </xf>
    <xf numFmtId="0" fontId="4" fillId="0" borderId="0" xfId="0" applyFont="1" applyAlignment="1">
      <alignment horizontal="center"/>
    </xf>
    <xf numFmtId="0" fontId="4" fillId="0" borderId="25" xfId="0" applyFont="1" applyBorder="1" applyAlignment="1">
      <alignment horizontal="center"/>
    </xf>
    <xf numFmtId="0" fontId="4" fillId="0" borderId="9" xfId="0" applyFont="1" applyBorder="1" applyAlignment="1">
      <alignment horizontal="center"/>
    </xf>
    <xf numFmtId="0" fontId="4" fillId="0" borderId="13" xfId="0" applyFont="1" applyBorder="1" applyAlignment="1">
      <alignment horizontal="center"/>
    </xf>
    <xf numFmtId="1" fontId="4" fillId="0" borderId="6" xfId="0" applyNumberFormat="1"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6" fillId="0" borderId="0" xfId="0" applyFont="1" applyBorder="1" applyAlignment="1">
      <alignment horizontal="center"/>
    </xf>
    <xf numFmtId="43" fontId="8" fillId="0" borderId="21" xfId="1" applyFont="1" applyFill="1" applyBorder="1" applyAlignment="1">
      <alignment horizontal="center" vertical="center" wrapText="1"/>
    </xf>
    <xf numFmtId="43" fontId="8" fillId="0" borderId="14" xfId="1" applyFont="1" applyFill="1" applyBorder="1" applyAlignment="1">
      <alignment horizontal="center" vertical="center" wrapText="1"/>
    </xf>
    <xf numFmtId="1" fontId="8" fillId="0" borderId="53" xfId="0" applyNumberFormat="1" applyFont="1" applyFill="1" applyBorder="1" applyAlignment="1">
      <alignment horizontal="center" vertical="center" wrapText="1"/>
    </xf>
    <xf numFmtId="1" fontId="8" fillId="0" borderId="50" xfId="0" applyNumberFormat="1" applyFont="1" applyFill="1" applyBorder="1" applyAlignment="1">
      <alignment horizontal="center" vertical="center" wrapText="1"/>
    </xf>
    <xf numFmtId="0" fontId="4" fillId="0" borderId="53" xfId="0" applyFont="1" applyFill="1" applyBorder="1" applyAlignment="1">
      <alignment horizontal="center" vertical="center" wrapText="1"/>
    </xf>
    <xf numFmtId="0" fontId="22" fillId="0" borderId="20" xfId="0" applyFont="1" applyBorder="1" applyAlignment="1">
      <alignment horizontal="center" vertical="center" textRotation="3"/>
    </xf>
    <xf numFmtId="0" fontId="22" fillId="0" borderId="22" xfId="0" applyFont="1" applyBorder="1" applyAlignment="1">
      <alignment horizontal="center" vertical="center" textRotation="3"/>
    </xf>
    <xf numFmtId="0" fontId="22" fillId="0" borderId="27" xfId="0" applyFont="1" applyBorder="1" applyAlignment="1">
      <alignment horizontal="center" vertical="center" textRotation="3"/>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22" fillId="0" borderId="27" xfId="0" applyFont="1" applyBorder="1" applyAlignment="1">
      <alignment horizontal="center" vertical="center"/>
    </xf>
    <xf numFmtId="0" fontId="22" fillId="6" borderId="20" xfId="0" applyFont="1" applyFill="1" applyBorder="1" applyAlignment="1">
      <alignment horizontal="center" vertical="center"/>
    </xf>
    <xf numFmtId="0" fontId="22" fillId="6" borderId="22" xfId="0" applyFont="1" applyFill="1" applyBorder="1" applyAlignment="1">
      <alignment horizontal="center" vertical="center"/>
    </xf>
    <xf numFmtId="0" fontId="22" fillId="6" borderId="27" xfId="0" applyFont="1" applyFill="1" applyBorder="1" applyAlignment="1">
      <alignment horizontal="center" vertical="center"/>
    </xf>
    <xf numFmtId="10" fontId="22" fillId="6" borderId="20" xfId="0" applyNumberFormat="1" applyFont="1" applyFill="1" applyBorder="1" applyAlignment="1">
      <alignment horizontal="center" vertical="center"/>
    </xf>
    <xf numFmtId="10" fontId="22" fillId="6" borderId="22" xfId="0" applyNumberFormat="1" applyFont="1" applyFill="1" applyBorder="1" applyAlignment="1">
      <alignment horizontal="center" vertical="center"/>
    </xf>
    <xf numFmtId="10" fontId="22" fillId="6" borderId="27" xfId="0" applyNumberFormat="1" applyFont="1" applyFill="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7" xfId="0" applyFont="1" applyBorder="1" applyAlignment="1">
      <alignment horizontal="center" vertical="center" wrapText="1"/>
    </xf>
    <xf numFmtId="3" fontId="24" fillId="0" borderId="20" xfId="0" applyNumberFormat="1" applyFont="1" applyBorder="1" applyAlignment="1">
      <alignment horizontal="center" vertical="center" wrapText="1"/>
    </xf>
    <xf numFmtId="3" fontId="24" fillId="0" borderId="27" xfId="0" applyNumberFormat="1" applyFont="1" applyBorder="1" applyAlignment="1">
      <alignment horizontal="center" vertical="center" wrapText="1"/>
    </xf>
    <xf numFmtId="0" fontId="22" fillId="0" borderId="22" xfId="0" applyFont="1" applyBorder="1" applyAlignment="1">
      <alignment horizontal="left" vertical="center" wrapText="1"/>
    </xf>
    <xf numFmtId="10" fontId="22" fillId="6" borderId="6" xfId="0" applyNumberFormat="1" applyFont="1" applyFill="1" applyBorder="1" applyAlignment="1">
      <alignment horizontal="center" vertical="center"/>
    </xf>
    <xf numFmtId="0" fontId="24" fillId="6" borderId="22" xfId="0" applyFont="1" applyFill="1" applyBorder="1" applyAlignment="1">
      <alignment horizontal="justify" vertical="center" wrapText="1"/>
    </xf>
    <xf numFmtId="0" fontId="24" fillId="6" borderId="27" xfId="0" applyFont="1" applyFill="1" applyBorder="1" applyAlignment="1">
      <alignment horizontal="justify" vertical="center" wrapText="1"/>
    </xf>
    <xf numFmtId="10" fontId="22" fillId="0" borderId="20" xfId="0" applyNumberFormat="1" applyFont="1" applyBorder="1" applyAlignment="1">
      <alignment horizontal="center" vertical="center"/>
    </xf>
    <xf numFmtId="10" fontId="22" fillId="0" borderId="27" xfId="0" applyNumberFormat="1" applyFont="1" applyBorder="1" applyAlignment="1">
      <alignment horizontal="center" vertical="center"/>
    </xf>
    <xf numFmtId="43" fontId="22" fillId="0" borderId="20" xfId="1" applyFont="1" applyBorder="1" applyAlignment="1">
      <alignment horizontal="center" vertical="center"/>
    </xf>
    <xf numFmtId="43" fontId="22" fillId="0" borderId="22" xfId="1" applyFont="1" applyBorder="1" applyAlignment="1">
      <alignment horizontal="center" vertical="center"/>
    </xf>
    <xf numFmtId="43" fontId="22" fillId="0" borderId="27" xfId="1" applyFont="1" applyBorder="1" applyAlignment="1">
      <alignment horizontal="center" vertical="center"/>
    </xf>
    <xf numFmtId="0" fontId="23" fillId="15" borderId="16" xfId="0" applyFont="1" applyFill="1" applyBorder="1" applyAlignment="1">
      <alignment horizontal="left" vertical="center" wrapText="1"/>
    </xf>
    <xf numFmtId="0" fontId="22" fillId="6" borderId="6" xfId="0" applyFont="1" applyFill="1" applyBorder="1" applyAlignment="1">
      <alignment horizontal="center" vertical="center" wrapText="1"/>
    </xf>
    <xf numFmtId="171" fontId="22" fillId="6" borderId="20" xfId="0" applyNumberFormat="1" applyFont="1" applyFill="1" applyBorder="1" applyAlignment="1">
      <alignment horizontal="center" vertical="center" wrapText="1"/>
    </xf>
    <xf numFmtId="171" fontId="22" fillId="6" borderId="22" xfId="0" applyNumberFormat="1" applyFont="1" applyFill="1" applyBorder="1" applyAlignment="1">
      <alignment horizontal="center" vertical="center" wrapText="1"/>
    </xf>
    <xf numFmtId="171" fontId="22" fillId="6" borderId="27" xfId="0" applyNumberFormat="1"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7" xfId="0" applyFont="1" applyFill="1" applyBorder="1" applyAlignment="1">
      <alignment horizontal="center" vertical="center"/>
    </xf>
    <xf numFmtId="43" fontId="22" fillId="6" borderId="20" xfId="1" applyFont="1" applyFill="1" applyBorder="1" applyAlignment="1">
      <alignment horizontal="center" vertical="center" wrapText="1"/>
    </xf>
    <xf numFmtId="43" fontId="22" fillId="6" borderId="27" xfId="1" applyFont="1" applyFill="1" applyBorder="1" applyAlignment="1">
      <alignment horizontal="center" vertical="center" wrapText="1"/>
    </xf>
    <xf numFmtId="0" fontId="32" fillId="0" borderId="20" xfId="0" applyFont="1" applyBorder="1" applyAlignment="1">
      <alignment horizontal="justify" vertical="center" wrapText="1"/>
    </xf>
    <xf numFmtId="0" fontId="32" fillId="0" borderId="27" xfId="0" applyFont="1" applyBorder="1" applyAlignment="1">
      <alignment horizontal="justify" vertical="center" wrapText="1"/>
    </xf>
    <xf numFmtId="0" fontId="23" fillId="0" borderId="19" xfId="0" applyFont="1" applyBorder="1" applyAlignment="1">
      <alignment horizontal="center" vertical="center"/>
    </xf>
    <xf numFmtId="0" fontId="23" fillId="0" borderId="12" xfId="0" applyFont="1" applyBorder="1" applyAlignment="1">
      <alignment horizontal="center" vertical="center"/>
    </xf>
    <xf numFmtId="0" fontId="23" fillId="0" borderId="23" xfId="0" applyFont="1" applyBorder="1" applyAlignment="1">
      <alignment horizontal="center" vertical="center"/>
    </xf>
    <xf numFmtId="0" fontId="23" fillId="0" borderId="25" xfId="0" applyFont="1" applyBorder="1" applyAlignment="1">
      <alignment horizontal="center" vertical="center"/>
    </xf>
    <xf numFmtId="0" fontId="22" fillId="0" borderId="6" xfId="0" applyFont="1" applyBorder="1" applyAlignment="1">
      <alignment horizontal="center" vertical="center"/>
    </xf>
    <xf numFmtId="3" fontId="24" fillId="0" borderId="22" xfId="0" applyNumberFormat="1" applyFont="1" applyBorder="1" applyAlignment="1">
      <alignment horizontal="center" vertical="center" wrapText="1"/>
    </xf>
    <xf numFmtId="10" fontId="22" fillId="0" borderId="6" xfId="0" applyNumberFormat="1" applyFont="1" applyBorder="1" applyAlignment="1">
      <alignment horizontal="center" vertical="center"/>
    </xf>
    <xf numFmtId="0" fontId="23" fillId="12" borderId="21" xfId="0" applyFont="1" applyFill="1" applyBorder="1" applyAlignment="1">
      <alignment horizontal="center" vertical="center" wrapText="1"/>
    </xf>
    <xf numFmtId="0" fontId="23" fillId="12" borderId="6" xfId="0" applyFont="1" applyFill="1" applyBorder="1" applyAlignment="1">
      <alignment horizontal="center" vertical="center" wrapText="1"/>
    </xf>
    <xf numFmtId="10" fontId="23" fillId="12" borderId="19" xfId="0" applyNumberFormat="1" applyFont="1" applyFill="1" applyBorder="1" applyAlignment="1">
      <alignment horizontal="center" vertical="center" wrapText="1"/>
    </xf>
    <xf numFmtId="10" fontId="23" fillId="12" borderId="23" xfId="0" applyNumberFormat="1" applyFont="1" applyFill="1" applyBorder="1" applyAlignment="1">
      <alignment horizontal="center" vertical="center" wrapText="1"/>
    </xf>
    <xf numFmtId="170" fontId="23" fillId="12" borderId="20" xfId="0" applyNumberFormat="1" applyFont="1" applyFill="1" applyBorder="1" applyAlignment="1">
      <alignment horizontal="center" vertical="center" wrapText="1"/>
    </xf>
    <xf numFmtId="170" fontId="23" fillId="12" borderId="22" xfId="0" applyNumberFormat="1" applyFont="1" applyFill="1" applyBorder="1" applyAlignment="1">
      <alignment horizontal="center" vertical="center" wrapText="1"/>
    </xf>
    <xf numFmtId="1" fontId="22" fillId="6" borderId="20" xfId="0" applyNumberFormat="1" applyFont="1" applyFill="1" applyBorder="1" applyAlignment="1">
      <alignment horizontal="center" vertical="center" wrapText="1"/>
    </xf>
    <xf numFmtId="171" fontId="22" fillId="6" borderId="6" xfId="0" applyNumberFormat="1" applyFont="1" applyFill="1" applyBorder="1" applyAlignment="1">
      <alignment horizontal="center" vertical="center" wrapText="1"/>
    </xf>
    <xf numFmtId="1" fontId="22" fillId="6" borderId="20" xfId="0" applyNumberFormat="1" applyFont="1" applyFill="1" applyBorder="1" applyAlignment="1">
      <alignment horizontal="center" vertical="center" wrapText="1" readingOrder="2"/>
    </xf>
    <xf numFmtId="1" fontId="22" fillId="6" borderId="27" xfId="0" applyNumberFormat="1" applyFont="1" applyFill="1" applyBorder="1" applyAlignment="1">
      <alignment horizontal="center" vertical="center" wrapText="1" readingOrder="2"/>
    </xf>
    <xf numFmtId="1" fontId="22" fillId="6" borderId="27" xfId="0" applyNumberFormat="1" applyFont="1" applyFill="1" applyBorder="1" applyAlignment="1">
      <alignment horizontal="center" vertical="center" wrapText="1"/>
    </xf>
    <xf numFmtId="0" fontId="23" fillId="15" borderId="14" xfId="0" applyFont="1" applyFill="1" applyBorder="1" applyAlignment="1">
      <alignment horizontal="left" vertical="center"/>
    </xf>
    <xf numFmtId="0" fontId="23" fillId="15" borderId="15" xfId="0" applyFont="1" applyFill="1" applyBorder="1" applyAlignment="1">
      <alignment horizontal="left" vertical="center"/>
    </xf>
    <xf numFmtId="0" fontId="23" fillId="15" borderId="16" xfId="0" applyFont="1" applyFill="1" applyBorder="1" applyAlignment="1">
      <alignment horizontal="left" vertical="center"/>
    </xf>
    <xf numFmtId="0" fontId="22" fillId="6" borderId="22" xfId="0" applyFont="1" applyFill="1" applyBorder="1" applyAlignment="1">
      <alignment horizontal="left" vertical="center" wrapText="1"/>
    </xf>
    <xf numFmtId="0" fontId="22" fillId="6" borderId="27" xfId="0" applyFont="1" applyFill="1" applyBorder="1" applyAlignment="1">
      <alignment horizontal="left" vertical="center" wrapText="1"/>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2" fillId="0" borderId="20" xfId="0" applyFont="1" applyBorder="1" applyAlignment="1">
      <alignment horizontal="center" vertical="center" textRotation="4"/>
    </xf>
    <xf numFmtId="0" fontId="22" fillId="0" borderId="22" xfId="0" applyFont="1" applyBorder="1" applyAlignment="1">
      <alignment horizontal="center" vertical="center" textRotation="4"/>
    </xf>
    <xf numFmtId="0" fontId="22" fillId="6" borderId="23" xfId="0" applyFont="1" applyFill="1" applyBorder="1" applyAlignment="1">
      <alignment horizontal="justify" vertical="center" wrapText="1"/>
    </xf>
    <xf numFmtId="1" fontId="23" fillId="13" borderId="15" xfId="0" applyNumberFormat="1" applyFont="1" applyFill="1" applyBorder="1" applyAlignment="1">
      <alignment horizontal="left" vertical="center" wrapText="1"/>
    </xf>
    <xf numFmtId="1" fontId="23" fillId="13" borderId="11" xfId="0" applyNumberFormat="1" applyFont="1" applyFill="1" applyBorder="1" applyAlignment="1">
      <alignment horizontal="left" vertical="center" wrapText="1"/>
    </xf>
    <xf numFmtId="1" fontId="23" fillId="6" borderId="11" xfId="0" applyNumberFormat="1" applyFont="1" applyFill="1" applyBorder="1" applyAlignment="1">
      <alignment horizontal="center" vertical="center" wrapText="1"/>
    </xf>
    <xf numFmtId="1" fontId="23" fillId="6" borderId="0" xfId="0" applyNumberFormat="1" applyFont="1" applyFill="1" applyAlignment="1">
      <alignment horizontal="center" vertical="center" wrapText="1"/>
    </xf>
    <xf numFmtId="0" fontId="23" fillId="6" borderId="11"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25"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1" xfId="0" applyFont="1" applyFill="1" applyBorder="1" applyAlignment="1">
      <alignment horizontal="center" vertical="center" wrapText="1"/>
    </xf>
    <xf numFmtId="10" fontId="22" fillId="6" borderId="20" xfId="0" applyNumberFormat="1" applyFont="1" applyFill="1" applyBorder="1" applyAlignment="1">
      <alignment horizontal="center" vertical="center" wrapText="1"/>
    </xf>
    <xf numFmtId="10" fontId="22" fillId="6" borderId="27" xfId="0" applyNumberFormat="1" applyFont="1" applyFill="1" applyBorder="1" applyAlignment="1">
      <alignment horizontal="center" vertical="center" wrapText="1"/>
    </xf>
    <xf numFmtId="43" fontId="22" fillId="6" borderId="6" xfId="1" applyFont="1" applyFill="1" applyBorder="1" applyAlignment="1">
      <alignment horizontal="center" vertical="center" wrapText="1"/>
    </xf>
    <xf numFmtId="1" fontId="22" fillId="6" borderId="6" xfId="0" applyNumberFormat="1" applyFont="1" applyFill="1" applyBorder="1" applyAlignment="1">
      <alignment horizontal="center" vertical="center" wrapText="1" readingOrder="2"/>
    </xf>
    <xf numFmtId="43" fontId="22" fillId="0" borderId="6" xfId="1" applyFont="1" applyBorder="1" applyAlignment="1">
      <alignment horizontal="center" vertical="center"/>
    </xf>
    <xf numFmtId="0" fontId="24" fillId="0" borderId="19" xfId="0" applyFont="1" applyBorder="1" applyAlignment="1">
      <alignment horizontal="justify" vertical="center" wrapText="1"/>
    </xf>
    <xf numFmtId="0" fontId="22" fillId="0" borderId="16" xfId="0" applyFont="1" applyBorder="1" applyAlignment="1">
      <alignment horizontal="center" vertical="center"/>
    </xf>
    <xf numFmtId="1" fontId="22" fillId="0" borderId="11" xfId="0" applyNumberFormat="1" applyFont="1" applyBorder="1" applyAlignment="1">
      <alignment horizontal="center" vertical="center"/>
    </xf>
    <xf numFmtId="1" fontId="22" fillId="0" borderId="12" xfId="0" applyNumberFormat="1" applyFont="1" applyBorder="1" applyAlignment="1">
      <alignment horizontal="center" vertical="center"/>
    </xf>
    <xf numFmtId="1" fontId="22" fillId="0" borderId="0" xfId="0" applyNumberFormat="1" applyFont="1" applyAlignment="1">
      <alignment horizontal="center" vertical="center"/>
    </xf>
    <xf numFmtId="1" fontId="22" fillId="0" borderId="25" xfId="0" applyNumberFormat="1" applyFont="1" applyBorder="1" applyAlignment="1">
      <alignment horizontal="center" vertical="center"/>
    </xf>
    <xf numFmtId="1" fontId="22" fillId="0" borderId="9" xfId="0" applyNumberFormat="1" applyFont="1" applyBorder="1" applyAlignment="1">
      <alignment horizontal="center" vertical="center"/>
    </xf>
    <xf numFmtId="1" fontId="22" fillId="0" borderId="13" xfId="0" applyNumberFormat="1" applyFont="1" applyBorder="1" applyAlignment="1">
      <alignment horizontal="center" vertical="center"/>
    </xf>
    <xf numFmtId="1" fontId="22" fillId="0" borderId="6" xfId="0" applyNumberFormat="1" applyFont="1" applyBorder="1" applyAlignment="1">
      <alignment horizontal="center" vertical="center"/>
    </xf>
    <xf numFmtId="43" fontId="22" fillId="6" borderId="20" xfId="1" applyFont="1" applyFill="1" applyBorder="1" applyAlignment="1">
      <alignment horizontal="right" vertical="center"/>
    </xf>
    <xf numFmtId="43" fontId="22" fillId="6" borderId="22" xfId="1" applyFont="1" applyFill="1" applyBorder="1" applyAlignment="1">
      <alignment horizontal="right" vertical="center"/>
    </xf>
    <xf numFmtId="1" fontId="22" fillId="6" borderId="20" xfId="0" applyNumberFormat="1" applyFont="1" applyFill="1" applyBorder="1" applyAlignment="1">
      <alignment horizontal="center" vertical="center"/>
    </xf>
    <xf numFmtId="1" fontId="22" fillId="6" borderId="22" xfId="0" applyNumberFormat="1" applyFont="1" applyFill="1" applyBorder="1" applyAlignment="1">
      <alignment horizontal="center" vertical="center"/>
    </xf>
    <xf numFmtId="0" fontId="22" fillId="6" borderId="50" xfId="0" applyFont="1" applyFill="1" applyBorder="1" applyAlignment="1">
      <alignment horizontal="center" vertical="center" wrapText="1"/>
    </xf>
    <xf numFmtId="0" fontId="22" fillId="0" borderId="19" xfId="0" applyFont="1" applyBorder="1" applyAlignment="1">
      <alignment horizontal="center" vertical="center"/>
    </xf>
    <xf numFmtId="0" fontId="22" fillId="0" borderId="12" xfId="0" applyFont="1" applyBorder="1" applyAlignment="1">
      <alignment horizontal="center" vertical="center"/>
    </xf>
    <xf numFmtId="0" fontId="22" fillId="0" borderId="21" xfId="0" applyFont="1" applyBorder="1" applyAlignment="1">
      <alignment horizontal="center" vertical="center"/>
    </xf>
    <xf numFmtId="0" fontId="22" fillId="0" borderId="13" xfId="0" applyFont="1" applyBorder="1" applyAlignment="1">
      <alignment horizontal="center" vertical="center"/>
    </xf>
    <xf numFmtId="0" fontId="22" fillId="0" borderId="20" xfId="0" applyFont="1" applyBorder="1" applyAlignment="1">
      <alignment horizontal="center" vertical="center" textRotation="92"/>
    </xf>
    <xf numFmtId="0" fontId="22" fillId="0" borderId="27" xfId="0" applyFont="1" applyBorder="1" applyAlignment="1">
      <alignment horizontal="center" vertical="center" textRotation="92"/>
    </xf>
    <xf numFmtId="0" fontId="23" fillId="6" borderId="0" xfId="0" applyFont="1" applyFill="1" applyAlignment="1">
      <alignment horizontal="center" vertical="center"/>
    </xf>
    <xf numFmtId="0" fontId="6" fillId="0" borderId="19" xfId="0" applyFont="1" applyBorder="1" applyAlignment="1">
      <alignment horizontal="center" vertical="center"/>
    </xf>
    <xf numFmtId="1" fontId="6" fillId="15" borderId="6" xfId="0" applyNumberFormat="1" applyFont="1" applyFill="1" applyBorder="1" applyAlignment="1">
      <alignment horizontal="left" vertical="center" wrapText="1"/>
    </xf>
    <xf numFmtId="3" fontId="6" fillId="12" borderId="6" xfId="0" applyNumberFormat="1" applyFont="1" applyFill="1" applyBorder="1" applyAlignment="1">
      <alignment horizontal="center" vertical="center" wrapText="1"/>
    </xf>
    <xf numFmtId="171" fontId="4" fillId="6" borderId="6" xfId="0" applyNumberFormat="1" applyFont="1" applyFill="1" applyBorder="1" applyAlignment="1">
      <alignment horizontal="center" vertical="center" wrapText="1"/>
    </xf>
    <xf numFmtId="173" fontId="8" fillId="0" borderId="6" xfId="0" applyNumberFormat="1" applyFont="1" applyBorder="1" applyAlignment="1">
      <alignment horizontal="center" vertical="center"/>
    </xf>
    <xf numFmtId="49" fontId="8" fillId="0" borderId="6" xfId="0" applyNumberFormat="1" applyFont="1" applyBorder="1" applyAlignment="1">
      <alignment horizontal="center" vertical="center"/>
    </xf>
    <xf numFmtId="173" fontId="8" fillId="0" borderId="16" xfId="0" applyNumberFormat="1" applyFont="1" applyBorder="1" applyAlignment="1">
      <alignment horizontal="center" vertical="center"/>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45" xfId="0" applyFont="1" applyFill="1" applyBorder="1" applyAlignment="1">
      <alignment horizontal="center" vertical="center" wrapText="1"/>
    </xf>
    <xf numFmtId="1" fontId="6" fillId="6" borderId="19" xfId="0" applyNumberFormat="1" applyFont="1" applyFill="1" applyBorder="1" applyAlignment="1">
      <alignment horizontal="center" vertical="top"/>
    </xf>
    <xf numFmtId="1" fontId="6" fillId="6" borderId="23" xfId="0" applyNumberFormat="1" applyFont="1" applyFill="1" applyBorder="1" applyAlignment="1">
      <alignment horizontal="center" vertical="top"/>
    </xf>
    <xf numFmtId="1" fontId="6" fillId="6" borderId="21" xfId="0" applyNumberFormat="1" applyFont="1" applyFill="1" applyBorder="1" applyAlignment="1">
      <alignment horizontal="center" vertical="top"/>
    </xf>
    <xf numFmtId="1" fontId="6" fillId="6" borderId="14" xfId="0" applyNumberFormat="1" applyFont="1" applyFill="1" applyBorder="1" applyAlignment="1">
      <alignment horizontal="center" vertical="center" wrapText="1"/>
    </xf>
    <xf numFmtId="1" fontId="6" fillId="6" borderId="16" xfId="0" applyNumberFormat="1" applyFont="1" applyFill="1" applyBorder="1" applyAlignment="1">
      <alignment horizontal="center" vertical="center"/>
    </xf>
    <xf numFmtId="9" fontId="4" fillId="6" borderId="6" xfId="19" applyFont="1" applyFill="1" applyBorder="1" applyAlignment="1">
      <alignment horizontal="center" vertical="center" wrapText="1"/>
    </xf>
    <xf numFmtId="3" fontId="4" fillId="6" borderId="6" xfId="0" applyNumberFormat="1" applyFont="1" applyFill="1" applyBorder="1" applyAlignment="1">
      <alignment horizontal="center" vertical="center" wrapText="1"/>
    </xf>
    <xf numFmtId="0" fontId="4" fillId="6" borderId="19" xfId="0" applyFont="1" applyFill="1" applyBorder="1" applyAlignment="1">
      <alignment horizontal="justify" vertical="center" wrapText="1"/>
    </xf>
    <xf numFmtId="0" fontId="4" fillId="6" borderId="21" xfId="0" applyFont="1" applyFill="1" applyBorder="1" applyAlignment="1">
      <alignment horizontal="justify" vertical="center" wrapText="1"/>
    </xf>
    <xf numFmtId="1" fontId="6" fillId="6" borderId="19" xfId="0" applyNumberFormat="1" applyFont="1" applyFill="1" applyBorder="1" applyAlignment="1">
      <alignment horizontal="center" vertical="center"/>
    </xf>
    <xf numFmtId="1" fontId="6" fillId="6" borderId="23" xfId="0" applyNumberFormat="1" applyFont="1" applyFill="1" applyBorder="1" applyAlignment="1">
      <alignment horizontal="center" vertical="center"/>
    </xf>
    <xf numFmtId="1" fontId="6" fillId="6" borderId="43" xfId="0" applyNumberFormat="1" applyFont="1" applyFill="1" applyBorder="1" applyAlignment="1">
      <alignment horizontal="center" vertical="center"/>
    </xf>
    <xf numFmtId="1" fontId="6" fillId="6" borderId="12" xfId="0" applyNumberFormat="1" applyFont="1" applyFill="1" applyBorder="1" applyAlignment="1">
      <alignment horizontal="center" vertical="center"/>
    </xf>
    <xf numFmtId="1" fontId="6" fillId="6" borderId="25" xfId="0" applyNumberFormat="1" applyFont="1" applyFill="1" applyBorder="1" applyAlignment="1">
      <alignment horizontal="center" vertical="center"/>
    </xf>
    <xf numFmtId="1" fontId="6" fillId="6" borderId="46" xfId="0" applyNumberFormat="1" applyFont="1" applyFill="1" applyBorder="1" applyAlignment="1">
      <alignment horizontal="center" vertical="center"/>
    </xf>
    <xf numFmtId="1" fontId="6" fillId="15" borderId="15" xfId="0" applyNumberFormat="1" applyFont="1" applyFill="1" applyBorder="1" applyAlignment="1">
      <alignment horizontal="left" vertical="center" wrapText="1"/>
    </xf>
    <xf numFmtId="0" fontId="16" fillId="18" borderId="6" xfId="0" applyFont="1" applyFill="1" applyBorder="1" applyAlignment="1">
      <alignment horizontal="justify" vertical="center" wrapText="1"/>
    </xf>
    <xf numFmtId="0" fontId="6" fillId="6" borderId="6" xfId="0" applyFont="1" applyFill="1" applyBorder="1" applyAlignment="1">
      <alignment horizontal="center" vertical="center"/>
    </xf>
    <xf numFmtId="0" fontId="6" fillId="6" borderId="20" xfId="0" applyFont="1" applyFill="1" applyBorder="1" applyAlignment="1">
      <alignment horizontal="center" vertical="center"/>
    </xf>
    <xf numFmtId="14" fontId="4" fillId="6" borderId="6" xfId="0" applyNumberFormat="1" applyFont="1" applyFill="1" applyBorder="1" applyAlignment="1">
      <alignment horizontal="center" vertical="center"/>
    </xf>
    <xf numFmtId="0" fontId="4" fillId="6" borderId="6" xfId="0" applyFont="1" applyFill="1" applyBorder="1" applyAlignment="1">
      <alignment horizontal="center" vertical="center"/>
    </xf>
    <xf numFmtId="0" fontId="4" fillId="6" borderId="20" xfId="0" applyFont="1" applyFill="1" applyBorder="1" applyAlignment="1">
      <alignment horizontal="center" vertical="center"/>
    </xf>
    <xf numFmtId="14" fontId="4" fillId="6" borderId="20"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0" fontId="16" fillId="18" borderId="20" xfId="0" applyFont="1" applyFill="1" applyBorder="1" applyAlignment="1">
      <alignment horizontal="left" vertical="center" wrapText="1"/>
    </xf>
    <xf numFmtId="0" fontId="16" fillId="18" borderId="27" xfId="0" applyFont="1" applyFill="1" applyBorder="1" applyAlignment="1">
      <alignment horizontal="left" vertical="center" wrapText="1"/>
    </xf>
    <xf numFmtId="0" fontId="16" fillId="18" borderId="29"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43" xfId="0" applyFont="1" applyBorder="1" applyAlignment="1">
      <alignment horizontal="left" vertical="center" wrapText="1"/>
    </xf>
    <xf numFmtId="1" fontId="6" fillId="15" borderId="20" xfId="0" applyNumberFormat="1" applyFont="1" applyFill="1" applyBorder="1" applyAlignment="1">
      <alignment horizontal="left" vertical="center" wrapText="1"/>
    </xf>
    <xf numFmtId="0" fontId="16" fillId="18" borderId="19" xfId="0" applyFont="1" applyFill="1" applyBorder="1" applyAlignment="1">
      <alignment horizontal="left" vertical="center" wrapText="1"/>
    </xf>
    <xf numFmtId="0" fontId="16" fillId="18" borderId="21" xfId="0" applyFont="1" applyFill="1" applyBorder="1" applyAlignment="1">
      <alignment horizontal="left" vertical="center" wrapText="1"/>
    </xf>
    <xf numFmtId="0" fontId="13" fillId="6" borderId="23" xfId="0" applyFont="1" applyFill="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49" fontId="4" fillId="6" borderId="20" xfId="0" applyNumberFormat="1" applyFont="1" applyFill="1" applyBorder="1" applyAlignment="1">
      <alignment horizontal="center" vertical="center"/>
    </xf>
    <xf numFmtId="49" fontId="4" fillId="6" borderId="22" xfId="0" applyNumberFormat="1" applyFont="1" applyFill="1" applyBorder="1" applyAlignment="1">
      <alignment horizontal="center" vertical="center"/>
    </xf>
    <xf numFmtId="173" fontId="8" fillId="6" borderId="6" xfId="0" applyNumberFormat="1" applyFont="1" applyFill="1" applyBorder="1" applyAlignment="1">
      <alignment horizontal="center" vertical="center"/>
    </xf>
    <xf numFmtId="173" fontId="8" fillId="6" borderId="20" xfId="0" applyNumberFormat="1" applyFont="1" applyFill="1" applyBorder="1" applyAlignment="1">
      <alignment horizontal="center" vertical="center"/>
    </xf>
    <xf numFmtId="49" fontId="8" fillId="6" borderId="6" xfId="0" applyNumberFormat="1" applyFont="1" applyFill="1" applyBorder="1" applyAlignment="1">
      <alignment horizontal="center" vertical="center"/>
    </xf>
    <xf numFmtId="49" fontId="8" fillId="6" borderId="20" xfId="0" applyNumberFormat="1" applyFont="1" applyFill="1" applyBorder="1" applyAlignment="1">
      <alignment horizontal="center" vertical="center"/>
    </xf>
    <xf numFmtId="173" fontId="8" fillId="6" borderId="16" xfId="0" applyNumberFormat="1" applyFont="1" applyFill="1" applyBorder="1" applyAlignment="1">
      <alignment horizontal="center" vertical="center"/>
    </xf>
    <xf numFmtId="173" fontId="8" fillId="6" borderId="12" xfId="0" applyNumberFormat="1" applyFont="1" applyFill="1" applyBorder="1" applyAlignment="1">
      <alignment horizontal="center" vertical="center"/>
    </xf>
    <xf numFmtId="9" fontId="4" fillId="6" borderId="20" xfId="19" applyFont="1" applyFill="1" applyBorder="1" applyAlignment="1">
      <alignment horizontal="center" vertical="center" wrapText="1"/>
    </xf>
    <xf numFmtId="9" fontId="4" fillId="6" borderId="22" xfId="19" applyFont="1" applyFill="1" applyBorder="1" applyAlignment="1">
      <alignment horizontal="center" vertical="center" wrapText="1"/>
    </xf>
    <xf numFmtId="0" fontId="4" fillId="6" borderId="50" xfId="0" applyFont="1" applyFill="1" applyBorder="1" applyAlignment="1">
      <alignment horizontal="left"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6" borderId="20"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4" fillId="6" borderId="50" xfId="0" applyFont="1" applyFill="1" applyBorder="1" applyAlignment="1">
      <alignment horizontal="left" vertical="center" wrapText="1"/>
    </xf>
    <xf numFmtId="9" fontId="4" fillId="6" borderId="50" xfId="4" applyFont="1" applyFill="1" applyBorder="1" applyAlignment="1">
      <alignment horizontal="center" vertical="center"/>
    </xf>
    <xf numFmtId="9" fontId="4" fillId="6" borderId="56" xfId="4" applyFont="1" applyFill="1" applyBorder="1" applyAlignment="1">
      <alignment horizontal="center" vertical="center"/>
    </xf>
    <xf numFmtId="9" fontId="4" fillId="6" borderId="27" xfId="4" applyFont="1" applyFill="1" applyBorder="1" applyAlignment="1">
      <alignment horizontal="center" vertical="center"/>
    </xf>
    <xf numFmtId="10" fontId="14" fillId="0" borderId="20" xfId="0" applyNumberFormat="1" applyFont="1" applyBorder="1" applyAlignment="1">
      <alignment horizontal="center" vertical="center"/>
    </xf>
    <xf numFmtId="10" fontId="14" fillId="0" borderId="27" xfId="0" applyNumberFormat="1" applyFont="1" applyBorder="1" applyAlignment="1">
      <alignment horizontal="center" vertical="center"/>
    </xf>
    <xf numFmtId="43" fontId="4" fillId="0" borderId="27" xfId="5" applyFont="1" applyBorder="1" applyAlignment="1">
      <alignment horizontal="center" vertical="center" wrapText="1"/>
    </xf>
    <xf numFmtId="43" fontId="8" fillId="0" borderId="57" xfId="5" applyFont="1" applyFill="1" applyBorder="1" applyAlignment="1">
      <alignment horizontal="center" vertical="center" wrapText="1"/>
    </xf>
    <xf numFmtId="43" fontId="8" fillId="0" borderId="65" xfId="5" applyFont="1" applyFill="1" applyBorder="1" applyAlignment="1">
      <alignment horizontal="center" vertical="center" wrapText="1"/>
    </xf>
    <xf numFmtId="43" fontId="8" fillId="0" borderId="60" xfId="5" applyFont="1" applyFill="1" applyBorder="1" applyAlignment="1">
      <alignment horizontal="center" vertical="center" wrapText="1"/>
    </xf>
    <xf numFmtId="0" fontId="8" fillId="0" borderId="50" xfId="0" applyFont="1" applyBorder="1" applyAlignment="1">
      <alignment horizontal="center" vertical="center" wrapText="1"/>
    </xf>
    <xf numFmtId="0" fontId="4" fillId="6" borderId="6" xfId="0" applyFont="1" applyFill="1" applyBorder="1" applyAlignment="1">
      <alignment horizontal="left" vertical="center" wrapText="1"/>
    </xf>
    <xf numFmtId="9" fontId="4" fillId="6" borderId="6" xfId="4" applyFont="1" applyFill="1" applyBorder="1" applyAlignment="1">
      <alignment horizontal="center" vertical="center" wrapText="1"/>
    </xf>
    <xf numFmtId="43" fontId="4" fillId="6" borderId="6" xfId="5" applyFont="1" applyFill="1" applyBorder="1" applyAlignment="1">
      <alignment vertical="center" wrapText="1"/>
    </xf>
    <xf numFmtId="0" fontId="4" fillId="6" borderId="6" xfId="0" applyFont="1" applyFill="1" applyBorder="1" applyAlignment="1">
      <alignment vertical="center"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3" fontId="4" fillId="0" borderId="6" xfId="0" applyNumberFormat="1" applyFont="1" applyBorder="1" applyAlignment="1">
      <alignment horizontal="center" vertical="center" wrapText="1"/>
    </xf>
    <xf numFmtId="14" fontId="14" fillId="0" borderId="20" xfId="0" applyNumberFormat="1" applyFont="1" applyBorder="1" applyAlignment="1">
      <alignment horizontal="right" vertical="center" wrapText="1"/>
    </xf>
    <xf numFmtId="14" fontId="14" fillId="0" borderId="22" xfId="0" applyNumberFormat="1" applyFont="1" applyBorder="1" applyAlignment="1">
      <alignment horizontal="right" vertical="center" wrapText="1"/>
    </xf>
    <xf numFmtId="14" fontId="14" fillId="0" borderId="27" xfId="0" applyNumberFormat="1" applyFont="1" applyBorder="1" applyAlignment="1">
      <alignment horizontal="right" vertical="center" wrapText="1"/>
    </xf>
    <xf numFmtId="0" fontId="4" fillId="6" borderId="27"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13" xfId="0" applyFont="1" applyFill="1" applyBorder="1" applyAlignment="1">
      <alignment horizontal="center" vertical="center"/>
    </xf>
    <xf numFmtId="9" fontId="4" fillId="0" borderId="20" xfId="4" applyFont="1" applyBorder="1" applyAlignment="1">
      <alignment horizontal="center" vertical="center" wrapText="1"/>
    </xf>
    <xf numFmtId="9" fontId="4" fillId="0" borderId="22" xfId="4" applyFont="1" applyBorder="1" applyAlignment="1">
      <alignment horizontal="center" vertical="center" wrapText="1"/>
    </xf>
    <xf numFmtId="9" fontId="4" fillId="0" borderId="27" xfId="4" applyFont="1" applyBorder="1" applyAlignment="1">
      <alignment horizontal="center" vertical="center" wrapText="1"/>
    </xf>
    <xf numFmtId="0" fontId="4" fillId="0" borderId="6" xfId="0" applyFont="1" applyBorder="1" applyAlignment="1">
      <alignment horizontal="left" vertical="center" wrapText="1"/>
    </xf>
    <xf numFmtId="0" fontId="4" fillId="0" borderId="6" xfId="0" applyFont="1" applyFill="1" applyBorder="1" applyAlignment="1">
      <alignment horizontal="center" vertical="center"/>
    </xf>
    <xf numFmtId="43" fontId="4" fillId="0" borderId="20" xfId="5" applyFont="1" applyBorder="1" applyAlignment="1">
      <alignment horizontal="center" vertical="center"/>
    </xf>
    <xf numFmtId="43" fontId="4" fillId="0" borderId="27" xfId="5" applyFont="1" applyBorder="1" applyAlignment="1">
      <alignment horizontal="center" vertical="center"/>
    </xf>
    <xf numFmtId="168" fontId="17" fillId="12" borderId="19" xfId="0" applyNumberFormat="1" applyFont="1" applyFill="1" applyBorder="1" applyAlignment="1">
      <alignment horizontal="center" vertical="center" wrapText="1"/>
    </xf>
    <xf numFmtId="168" fontId="17" fillId="12" borderId="21" xfId="0" applyNumberFormat="1" applyFont="1" applyFill="1" applyBorder="1" applyAlignment="1">
      <alignment horizontal="center" vertical="center" wrapText="1"/>
    </xf>
    <xf numFmtId="3" fontId="6" fillId="12" borderId="27" xfId="0" applyNumberFormat="1"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9" xfId="0" applyFont="1" applyFill="1" applyBorder="1" applyAlignment="1">
      <alignment horizontal="center" vertical="center" textRotation="90" wrapText="1"/>
    </xf>
    <xf numFmtId="0" fontId="18" fillId="4" borderId="21" xfId="0" applyFont="1" applyFill="1" applyBorder="1" applyAlignment="1">
      <alignment horizontal="center" vertical="center" textRotation="90" wrapText="1"/>
    </xf>
    <xf numFmtId="3" fontId="18" fillId="4" borderId="14" xfId="0" applyNumberFormat="1" applyFont="1" applyFill="1" applyBorder="1" applyAlignment="1">
      <alignment horizontal="center" vertical="center" wrapText="1"/>
    </xf>
    <xf numFmtId="3" fontId="18" fillId="4" borderId="15" xfId="0" applyNumberFormat="1" applyFont="1" applyFill="1" applyBorder="1" applyAlignment="1">
      <alignment horizontal="center" vertical="center" wrapText="1"/>
    </xf>
    <xf numFmtId="0" fontId="45" fillId="0" borderId="23" xfId="0" applyFont="1" applyBorder="1" applyAlignment="1">
      <alignment horizontal="left" vertical="center" wrapText="1"/>
    </xf>
    <xf numFmtId="0" fontId="45" fillId="0" borderId="21" xfId="0" applyFont="1" applyBorder="1" applyAlignment="1">
      <alignment horizontal="left" vertical="center" wrapText="1"/>
    </xf>
    <xf numFmtId="14" fontId="4" fillId="0" borderId="20" xfId="0" applyNumberFormat="1" applyFont="1" applyBorder="1" applyAlignment="1">
      <alignment horizontal="center" vertical="center" wrapText="1"/>
    </xf>
    <xf numFmtId="14" fontId="4" fillId="0" borderId="22" xfId="0" applyNumberFormat="1" applyFont="1" applyBorder="1" applyAlignment="1">
      <alignment horizontal="center" vertical="center" wrapText="1"/>
    </xf>
    <xf numFmtId="14" fontId="4" fillId="0" borderId="27" xfId="0" applyNumberFormat="1" applyFont="1" applyBorder="1" applyAlignment="1">
      <alignment horizontal="center" vertical="center" wrapText="1"/>
    </xf>
    <xf numFmtId="14" fontId="4" fillId="0" borderId="20" xfId="0" applyNumberFormat="1" applyFont="1" applyBorder="1" applyAlignment="1">
      <alignment horizontal="center" vertical="center"/>
    </xf>
    <xf numFmtId="14" fontId="4" fillId="0" borderId="22" xfId="0" applyNumberFormat="1" applyFont="1" applyBorder="1" applyAlignment="1">
      <alignment horizontal="center" vertical="center"/>
    </xf>
    <xf numFmtId="14" fontId="4" fillId="0" borderId="27" xfId="0" applyNumberFormat="1" applyFont="1" applyBorder="1" applyAlignment="1">
      <alignment horizontal="center" vertical="center"/>
    </xf>
    <xf numFmtId="0" fontId="4" fillId="6" borderId="22" xfId="0" applyFont="1" applyFill="1" applyBorder="1" applyAlignment="1">
      <alignment horizontal="left" vertical="center" wrapText="1"/>
    </xf>
    <xf numFmtId="180" fontId="4" fillId="6" borderId="22" xfId="0" applyNumberFormat="1" applyFont="1" applyFill="1" applyBorder="1" applyAlignment="1">
      <alignment horizontal="center" vertical="center"/>
    </xf>
    <xf numFmtId="180" fontId="4" fillId="6" borderId="27" xfId="0" applyNumberFormat="1" applyFont="1" applyFill="1" applyBorder="1" applyAlignment="1">
      <alignment horizontal="center" vertical="center"/>
    </xf>
    <xf numFmtId="43" fontId="4" fillId="6" borderId="22" xfId="5" applyFont="1" applyFill="1" applyBorder="1" applyAlignment="1">
      <alignment horizontal="center" vertical="center" wrapText="1"/>
    </xf>
    <xf numFmtId="4" fontId="4" fillId="0" borderId="50" xfId="5" applyNumberFormat="1" applyFont="1" applyFill="1" applyBorder="1" applyAlignment="1">
      <alignment horizontal="right" vertical="center"/>
    </xf>
    <xf numFmtId="180" fontId="4" fillId="6" borderId="20" xfId="0" applyNumberFormat="1" applyFont="1" applyFill="1" applyBorder="1" applyAlignment="1">
      <alignment horizontal="center" vertical="center"/>
    </xf>
    <xf numFmtId="0" fontId="4" fillId="0" borderId="50" xfId="0" applyFont="1" applyBorder="1" applyAlignment="1">
      <alignment horizontal="left" vertical="center" wrapText="1"/>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180" fontId="4" fillId="6" borderId="20" xfId="3" applyNumberFormat="1" applyFont="1" applyFill="1" applyBorder="1" applyAlignment="1">
      <alignment horizontal="center" vertical="center"/>
    </xf>
    <xf numFmtId="180" fontId="4" fillId="6" borderId="22" xfId="3"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Border="1" applyAlignment="1">
      <alignment horizontal="left" vertical="center" wrapText="1"/>
    </xf>
    <xf numFmtId="0" fontId="4" fillId="0" borderId="21" xfId="0" applyFont="1" applyBorder="1" applyAlignment="1">
      <alignment horizontal="left" vertical="center" wrapText="1"/>
    </xf>
    <xf numFmtId="0" fontId="4" fillId="6" borderId="19" xfId="0" applyFont="1" applyFill="1" applyBorder="1" applyAlignment="1">
      <alignment horizontal="left" vertical="center" wrapText="1"/>
    </xf>
    <xf numFmtId="0" fontId="4" fillId="6" borderId="21" xfId="0" applyFont="1" applyFill="1" applyBorder="1" applyAlignment="1">
      <alignment horizontal="left" vertical="center" wrapText="1"/>
    </xf>
    <xf numFmtId="0" fontId="4" fillId="0" borderId="25" xfId="0" applyFont="1" applyFill="1" applyBorder="1" applyAlignment="1">
      <alignment horizontal="center" vertical="center" wrapText="1"/>
    </xf>
    <xf numFmtId="180" fontId="4" fillId="6" borderId="20" xfId="0" applyNumberFormat="1" applyFont="1" applyFill="1" applyBorder="1" applyAlignment="1">
      <alignment horizontal="center" vertical="center" wrapText="1"/>
    </xf>
    <xf numFmtId="180" fontId="4" fillId="6" borderId="22" xfId="0" applyNumberFormat="1" applyFont="1" applyFill="1" applyBorder="1" applyAlignment="1">
      <alignment horizontal="center" vertical="center" wrapText="1"/>
    </xf>
    <xf numFmtId="180" fontId="4" fillId="6" borderId="27" xfId="0" applyNumberFormat="1" applyFont="1" applyFill="1" applyBorder="1" applyAlignment="1">
      <alignment horizontal="center" vertical="center" wrapText="1"/>
    </xf>
    <xf numFmtId="41" fontId="4" fillId="0" borderId="50" xfId="0" applyNumberFormat="1" applyFont="1" applyFill="1" applyBorder="1" applyAlignment="1">
      <alignment horizontal="left" vertical="center"/>
    </xf>
    <xf numFmtId="0" fontId="4" fillId="0" borderId="62" xfId="0" applyFont="1" applyBorder="1" applyAlignment="1">
      <alignment horizontal="center" vertical="center"/>
    </xf>
    <xf numFmtId="0" fontId="4" fillId="6" borderId="62" xfId="0" applyFont="1" applyFill="1" applyBorder="1" applyAlignment="1">
      <alignment horizontal="left" vertical="center" wrapText="1"/>
    </xf>
    <xf numFmtId="180" fontId="4" fillId="6" borderId="27" xfId="3" applyNumberFormat="1" applyFont="1" applyFill="1" applyBorder="1" applyAlignment="1">
      <alignment horizontal="center" vertical="center"/>
    </xf>
    <xf numFmtId="43" fontId="4" fillId="6" borderId="6" xfId="5" applyFont="1" applyFill="1" applyBorder="1" applyAlignment="1">
      <alignment horizontal="justify" vertical="center" wrapText="1"/>
    </xf>
    <xf numFmtId="43" fontId="4" fillId="0" borderId="22" xfId="5" applyFont="1" applyBorder="1" applyAlignment="1">
      <alignment horizontal="center" vertical="center"/>
    </xf>
    <xf numFmtId="43" fontId="4" fillId="6" borderId="22" xfId="5" applyFont="1" applyFill="1" applyBorder="1" applyAlignment="1">
      <alignment horizontal="center" vertical="center"/>
    </xf>
    <xf numFmtId="43" fontId="4" fillId="6" borderId="25" xfId="5" applyFont="1" applyFill="1" applyBorder="1" applyAlignment="1">
      <alignment horizontal="center" vertical="center"/>
    </xf>
    <xf numFmtId="10" fontId="4" fillId="0" borderId="20" xfId="4" applyNumberFormat="1" applyFont="1" applyBorder="1" applyAlignment="1">
      <alignment horizontal="center" vertical="center"/>
    </xf>
    <xf numFmtId="10" fontId="4" fillId="0" borderId="22" xfId="4" applyNumberFormat="1" applyFont="1" applyBorder="1" applyAlignment="1">
      <alignment horizontal="center" vertical="center"/>
    </xf>
    <xf numFmtId="10" fontId="4" fillId="0" borderId="27" xfId="4" applyNumberFormat="1" applyFont="1" applyBorder="1" applyAlignment="1">
      <alignment horizontal="center" vertical="center"/>
    </xf>
    <xf numFmtId="1" fontId="4" fillId="6" borderId="20" xfId="0" applyNumberFormat="1" applyFont="1" applyFill="1" applyBorder="1" applyAlignment="1">
      <alignment horizontal="center" vertical="center"/>
    </xf>
    <xf numFmtId="1" fontId="4" fillId="6" borderId="22" xfId="0" applyNumberFormat="1" applyFont="1" applyFill="1" applyBorder="1" applyAlignment="1">
      <alignment horizontal="center" vertical="center"/>
    </xf>
    <xf numFmtId="1" fontId="4" fillId="6" borderId="27" xfId="0" applyNumberFormat="1" applyFont="1" applyFill="1" applyBorder="1" applyAlignment="1">
      <alignment horizontal="center" vertical="center"/>
    </xf>
    <xf numFmtId="0" fontId="4" fillId="6" borderId="14" xfId="0" applyFont="1" applyFill="1" applyBorder="1" applyAlignment="1">
      <alignment horizontal="justify" vertical="center" wrapText="1"/>
    </xf>
    <xf numFmtId="9" fontId="4" fillId="6" borderId="20" xfId="4" applyFont="1" applyFill="1" applyBorder="1" applyAlignment="1">
      <alignment horizontal="center" vertical="center" wrapText="1"/>
    </xf>
    <xf numFmtId="9" fontId="4" fillId="6" borderId="22" xfId="4" applyFont="1" applyFill="1" applyBorder="1" applyAlignment="1">
      <alignment horizontal="center" vertical="center" wrapText="1"/>
    </xf>
    <xf numFmtId="9" fontId="4" fillId="6" borderId="27" xfId="4" applyFont="1" applyFill="1" applyBorder="1" applyAlignment="1">
      <alignment horizontal="center" vertical="center" wrapText="1"/>
    </xf>
    <xf numFmtId="1" fontId="14" fillId="0" borderId="22" xfId="0" applyNumberFormat="1" applyFont="1" applyBorder="1" applyAlignment="1">
      <alignment horizontal="center" vertical="center"/>
    </xf>
    <xf numFmtId="0" fontId="14" fillId="0" borderId="22" xfId="0" applyFont="1" applyBorder="1" applyAlignment="1">
      <alignment horizontal="center" vertical="center"/>
    </xf>
    <xf numFmtId="0" fontId="4" fillId="0" borderId="20" xfId="0" applyFont="1" applyBorder="1" applyAlignment="1">
      <alignment vertical="center" wrapText="1"/>
    </xf>
    <xf numFmtId="0" fontId="4" fillId="0" borderId="27" xfId="0" applyFont="1" applyBorder="1" applyAlignment="1">
      <alignment vertical="center" wrapText="1"/>
    </xf>
    <xf numFmtId="0" fontId="4" fillId="0" borderId="21" xfId="0" applyFont="1" applyBorder="1" applyAlignment="1">
      <alignment horizontal="justify" vertical="center" wrapText="1"/>
    </xf>
    <xf numFmtId="10" fontId="8" fillId="0" borderId="20" xfId="4" applyNumberFormat="1" applyFont="1" applyBorder="1" applyAlignment="1">
      <alignment horizontal="center" vertical="center"/>
    </xf>
    <xf numFmtId="10" fontId="8" fillId="0" borderId="22" xfId="4" applyNumberFormat="1" applyFont="1" applyBorder="1" applyAlignment="1">
      <alignment horizontal="center" vertical="center"/>
    </xf>
    <xf numFmtId="10" fontId="8" fillId="0" borderId="27" xfId="4" applyNumberFormat="1" applyFont="1" applyBorder="1" applyAlignment="1">
      <alignment horizontal="center" vertical="center"/>
    </xf>
    <xf numFmtId="0" fontId="4" fillId="0" borderId="67" xfId="0" applyFont="1" applyBorder="1" applyAlignment="1">
      <alignment horizontal="justify" vertical="center" wrapText="1"/>
    </xf>
    <xf numFmtId="0" fontId="4" fillId="0" borderId="68" xfId="0" applyFont="1" applyBorder="1" applyAlignment="1">
      <alignment horizontal="justify" vertical="center" wrapText="1"/>
    </xf>
    <xf numFmtId="0" fontId="4" fillId="6" borderId="25" xfId="0" applyFont="1" applyFill="1" applyBorder="1" applyAlignment="1">
      <alignment horizontal="center" vertical="center"/>
    </xf>
    <xf numFmtId="14" fontId="14" fillId="0" borderId="20" xfId="0" applyNumberFormat="1" applyFont="1" applyBorder="1" applyAlignment="1">
      <alignment horizontal="center" vertical="center" wrapText="1"/>
    </xf>
    <xf numFmtId="0" fontId="14" fillId="0" borderId="27" xfId="0" applyFont="1" applyBorder="1" applyAlignment="1">
      <alignment horizontal="center" vertical="center" wrapText="1"/>
    </xf>
    <xf numFmtId="14" fontId="14" fillId="0" borderId="20" xfId="0" applyNumberFormat="1" applyFont="1" applyBorder="1" applyAlignment="1">
      <alignment vertical="center" wrapText="1"/>
    </xf>
    <xf numFmtId="0" fontId="14" fillId="0" borderId="27" xfId="0" applyFont="1" applyBorder="1" applyAlignment="1">
      <alignment vertical="center" wrapText="1"/>
    </xf>
    <xf numFmtId="9" fontId="4" fillId="6" borderId="22" xfId="4" applyFont="1" applyFill="1" applyBorder="1" applyAlignment="1">
      <alignment horizontal="center" vertical="center"/>
    </xf>
    <xf numFmtId="14" fontId="14" fillId="0" borderId="22" xfId="0" applyNumberFormat="1" applyFont="1" applyBorder="1" applyAlignment="1">
      <alignment horizontal="center" vertical="center"/>
    </xf>
    <xf numFmtId="0" fontId="4" fillId="6" borderId="50" xfId="0" applyFont="1" applyFill="1" applyBorder="1" applyAlignment="1">
      <alignment horizontal="center" vertical="center"/>
    </xf>
    <xf numFmtId="0" fontId="4" fillId="0" borderId="0" xfId="0" applyFont="1" applyAlignment="1">
      <alignment horizontal="center" vertical="center" wrapText="1"/>
    </xf>
    <xf numFmtId="0" fontId="4" fillId="6" borderId="12" xfId="0" applyFont="1" applyFill="1" applyBorder="1" applyAlignment="1">
      <alignment horizontal="left" vertical="center"/>
    </xf>
    <xf numFmtId="0" fontId="4" fillId="6" borderId="25" xfId="0" applyFont="1" applyFill="1" applyBorder="1" applyAlignment="1">
      <alignment horizontal="left" vertical="center"/>
    </xf>
    <xf numFmtId="0" fontId="4" fillId="6" borderId="13" xfId="0" applyFont="1" applyFill="1" applyBorder="1" applyAlignment="1">
      <alignment horizontal="left" vertical="center"/>
    </xf>
    <xf numFmtId="1" fontId="4" fillId="6" borderId="6" xfId="0" applyNumberFormat="1" applyFont="1" applyFill="1" applyBorder="1" applyAlignment="1">
      <alignment horizontal="center" vertical="center"/>
    </xf>
    <xf numFmtId="1" fontId="14" fillId="0" borderId="6" xfId="0" applyNumberFormat="1" applyFont="1" applyBorder="1" applyAlignment="1">
      <alignment horizontal="center" vertical="center"/>
    </xf>
    <xf numFmtId="0" fontId="4" fillId="0" borderId="13" xfId="0" applyFont="1" applyFill="1" applyBorder="1" applyAlignment="1">
      <alignment horizontal="center" vertical="center" wrapText="1"/>
    </xf>
    <xf numFmtId="9" fontId="4" fillId="6" borderId="20" xfId="4" applyFont="1" applyFill="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43" fontId="4" fillId="6" borderId="20" xfId="5" applyFont="1" applyFill="1" applyBorder="1" applyAlignment="1">
      <alignment horizontal="center" vertical="center" wrapText="1"/>
    </xf>
    <xf numFmtId="43" fontId="4" fillId="6" borderId="27" xfId="5" applyFont="1" applyFill="1" applyBorder="1" applyAlignment="1">
      <alignment horizontal="center" vertical="center" wrapText="1"/>
    </xf>
    <xf numFmtId="0" fontId="14" fillId="0" borderId="6" xfId="0" applyFont="1" applyBorder="1" applyAlignment="1">
      <alignment horizontal="center" vertical="center" wrapText="1"/>
    </xf>
    <xf numFmtId="14" fontId="14" fillId="0" borderId="22" xfId="0" applyNumberFormat="1" applyFont="1" applyBorder="1" applyAlignment="1">
      <alignment horizontal="center" vertical="center" wrapText="1"/>
    </xf>
    <xf numFmtId="0" fontId="14" fillId="0" borderId="6" xfId="0" applyFont="1" applyBorder="1" applyAlignment="1">
      <alignment horizontal="center" vertical="center"/>
    </xf>
    <xf numFmtId="1" fontId="14" fillId="0" borderId="6" xfId="0" applyNumberFormat="1" applyFont="1" applyBorder="1" applyAlignment="1">
      <alignment horizontal="center" vertical="center" wrapText="1"/>
    </xf>
    <xf numFmtId="0" fontId="4" fillId="6" borderId="23" xfId="0" applyFont="1" applyFill="1" applyBorder="1" applyAlignment="1">
      <alignment horizontal="center" vertical="center"/>
    </xf>
    <xf numFmtId="14" fontId="14" fillId="0" borderId="12" xfId="0" applyNumberFormat="1" applyFont="1" applyBorder="1" applyAlignment="1">
      <alignment vertical="center"/>
    </xf>
    <xf numFmtId="14" fontId="14" fillId="0" borderId="13" xfId="0" applyNumberFormat="1" applyFont="1" applyBorder="1" applyAlignment="1">
      <alignment vertical="center"/>
    </xf>
    <xf numFmtId="1" fontId="6" fillId="6" borderId="14" xfId="0" applyNumberFormat="1" applyFont="1" applyFill="1" applyBorder="1" applyAlignment="1">
      <alignment horizontal="center" vertical="center"/>
    </xf>
    <xf numFmtId="1" fontId="6" fillId="6" borderId="15" xfId="0" applyNumberFormat="1" applyFont="1" applyFill="1" applyBorder="1" applyAlignment="1">
      <alignment horizontal="center" vertical="center"/>
    </xf>
    <xf numFmtId="0" fontId="6" fillId="0" borderId="0" xfId="0" applyFont="1" applyAlignment="1">
      <alignment horizontal="left" wrapText="1"/>
    </xf>
    <xf numFmtId="43" fontId="4" fillId="6" borderId="20" xfId="5" applyFont="1" applyFill="1" applyBorder="1" applyAlignment="1">
      <alignment horizontal="center" vertical="center"/>
    </xf>
    <xf numFmtId="43" fontId="4" fillId="6" borderId="27" xfId="5" applyFont="1" applyFill="1" applyBorder="1" applyAlignment="1">
      <alignment horizontal="center" vertical="center"/>
    </xf>
    <xf numFmtId="0" fontId="4" fillId="6" borderId="21" xfId="0" applyFont="1" applyFill="1" applyBorder="1" applyAlignment="1">
      <alignment horizontal="center" vertical="center"/>
    </xf>
    <xf numFmtId="0" fontId="4" fillId="6" borderId="0" xfId="0" applyFont="1" applyFill="1" applyAlignment="1">
      <alignment horizontal="center" vertical="center"/>
    </xf>
    <xf numFmtId="0" fontId="4" fillId="6" borderId="9" xfId="0" applyFont="1" applyFill="1" applyBorder="1" applyAlignment="1">
      <alignment horizontal="center" vertical="center"/>
    </xf>
    <xf numFmtId="0" fontId="4" fillId="0" borderId="50" xfId="0" applyFont="1" applyBorder="1" applyAlignment="1">
      <alignment horizontal="center" vertical="center"/>
    </xf>
    <xf numFmtId="0" fontId="4" fillId="6" borderId="50" xfId="0" applyFont="1" applyFill="1" applyBorder="1" applyAlignment="1">
      <alignment vertical="center" wrapText="1"/>
    </xf>
    <xf numFmtId="0" fontId="4" fillId="6" borderId="12" xfId="0" applyFont="1" applyFill="1" applyBorder="1" applyAlignment="1">
      <alignment vertical="center" wrapText="1"/>
    </xf>
    <xf numFmtId="0" fontId="4" fillId="6" borderId="25" xfId="0" applyFont="1" applyFill="1" applyBorder="1" applyAlignment="1">
      <alignment vertical="center" wrapText="1"/>
    </xf>
    <xf numFmtId="0" fontId="4" fillId="6" borderId="13" xfId="0" applyFont="1" applyFill="1" applyBorder="1" applyAlignment="1">
      <alignment vertical="center" wrapText="1"/>
    </xf>
    <xf numFmtId="0" fontId="4" fillId="6" borderId="12" xfId="0" applyFont="1" applyFill="1" applyBorder="1" applyAlignment="1">
      <alignment horizontal="center" vertical="center"/>
    </xf>
    <xf numFmtId="1" fontId="14" fillId="0" borderId="20" xfId="0" applyNumberFormat="1" applyFont="1" applyBorder="1" applyAlignment="1">
      <alignment horizontal="center" vertical="center"/>
    </xf>
    <xf numFmtId="1" fontId="14" fillId="0" borderId="27"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27" xfId="0" applyFont="1" applyBorder="1" applyAlignment="1">
      <alignment horizontal="center" vertical="center"/>
    </xf>
    <xf numFmtId="14" fontId="14" fillId="0" borderId="27" xfId="0" applyNumberFormat="1" applyFont="1" applyBorder="1" applyAlignment="1">
      <alignment horizontal="center" vertical="center" wrapText="1"/>
    </xf>
    <xf numFmtId="0" fontId="23" fillId="3" borderId="20"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7" xfId="0" applyFont="1" applyFill="1" applyBorder="1" applyAlignment="1">
      <alignment horizontal="center" vertical="center" wrapText="1"/>
    </xf>
    <xf numFmtId="183" fontId="22" fillId="0" borderId="22" xfId="0" applyNumberFormat="1"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3" borderId="12"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13" xfId="0" applyFont="1" applyFill="1" applyBorder="1" applyAlignment="1">
      <alignment horizontal="center" vertical="center" wrapText="1"/>
    </xf>
    <xf numFmtId="170" fontId="23" fillId="3" borderId="20" xfId="0" applyNumberFormat="1" applyFont="1" applyFill="1" applyBorder="1" applyAlignment="1">
      <alignment horizontal="center" vertical="center" wrapText="1"/>
    </xf>
    <xf numFmtId="170" fontId="23" fillId="3" borderId="22" xfId="0" applyNumberFormat="1" applyFont="1" applyFill="1" applyBorder="1" applyAlignment="1">
      <alignment horizontal="center" vertical="center" wrapText="1"/>
    </xf>
    <xf numFmtId="170" fontId="23" fillId="3" borderId="27" xfId="0" applyNumberFormat="1" applyFont="1" applyFill="1" applyBorder="1" applyAlignment="1">
      <alignment horizontal="center" vertical="center" wrapText="1"/>
    </xf>
    <xf numFmtId="0" fontId="23" fillId="23" borderId="20" xfId="0" applyFont="1" applyFill="1" applyBorder="1" applyAlignment="1">
      <alignment horizontal="center" vertical="center" wrapText="1"/>
    </xf>
    <xf numFmtId="0" fontId="23" fillId="23" borderId="22" xfId="0" applyFont="1" applyFill="1" applyBorder="1" applyAlignment="1">
      <alignment horizontal="center" vertical="center" wrapText="1"/>
    </xf>
    <xf numFmtId="0" fontId="23" fillId="23" borderId="27" xfId="0" applyFont="1" applyFill="1" applyBorder="1" applyAlignment="1">
      <alignment horizontal="center" vertical="center" wrapText="1"/>
    </xf>
    <xf numFmtId="0" fontId="35" fillId="4" borderId="6" xfId="0" applyFont="1" applyFill="1" applyBorder="1" applyAlignment="1">
      <alignment horizontal="center" vertical="center" wrapText="1"/>
    </xf>
    <xf numFmtId="170" fontId="23" fillId="3" borderId="19" xfId="0" applyNumberFormat="1" applyFont="1" applyFill="1" applyBorder="1" applyAlignment="1">
      <alignment horizontal="center" vertical="center" wrapText="1"/>
    </xf>
    <xf numFmtId="170" fontId="23" fillId="3" borderId="23" xfId="0" applyNumberFormat="1" applyFont="1" applyFill="1" applyBorder="1" applyAlignment="1">
      <alignment horizontal="center" vertical="center" wrapText="1"/>
    </xf>
    <xf numFmtId="0" fontId="22" fillId="6" borderId="6" xfId="0" applyFont="1" applyFill="1" applyBorder="1" applyAlignment="1">
      <alignment horizontal="center" vertical="center"/>
    </xf>
    <xf numFmtId="14" fontId="22" fillId="0" borderId="6" xfId="0" applyNumberFormat="1" applyFont="1" applyBorder="1" applyAlignment="1">
      <alignment horizontal="center" vertical="center"/>
    </xf>
    <xf numFmtId="0" fontId="33" fillId="6" borderId="22" xfId="0" applyFont="1" applyFill="1" applyBorder="1" applyAlignment="1">
      <alignment horizontal="justify" vertical="center" wrapText="1"/>
    </xf>
    <xf numFmtId="0" fontId="22" fillId="0" borderId="23" xfId="0" applyFont="1" applyBorder="1" applyAlignment="1">
      <alignment horizontal="justify" vertical="center" wrapText="1"/>
    </xf>
    <xf numFmtId="183" fontId="22" fillId="0" borderId="25" xfId="0" applyNumberFormat="1" applyFont="1" applyBorder="1" applyAlignment="1">
      <alignment horizontal="center" vertical="center"/>
    </xf>
    <xf numFmtId="183" fontId="22" fillId="0" borderId="6" xfId="0" applyNumberFormat="1" applyFont="1" applyBorder="1" applyAlignment="1">
      <alignment horizontal="center" vertical="center"/>
    </xf>
    <xf numFmtId="182" fontId="22" fillId="6" borderId="6" xfId="2" applyNumberFormat="1" applyFont="1" applyFill="1" applyBorder="1" applyAlignment="1">
      <alignment horizontal="center" vertical="center"/>
    </xf>
    <xf numFmtId="182" fontId="22" fillId="6" borderId="20" xfId="2" applyNumberFormat="1" applyFont="1" applyFill="1" applyBorder="1" applyAlignment="1">
      <alignment horizontal="center" vertical="center"/>
    </xf>
    <xf numFmtId="183" fontId="22" fillId="0" borderId="20" xfId="0" applyNumberFormat="1" applyFont="1" applyBorder="1" applyAlignment="1">
      <alignment horizontal="center" vertical="center"/>
    </xf>
    <xf numFmtId="0" fontId="33" fillId="0" borderId="20" xfId="0" applyFont="1" applyBorder="1" applyAlignment="1">
      <alignment horizontal="justify" vertical="center" wrapText="1"/>
    </xf>
    <xf numFmtId="0" fontId="33" fillId="0" borderId="22" xfId="0" applyFont="1" applyBorder="1" applyAlignment="1">
      <alignment horizontal="justify" vertical="center" wrapText="1"/>
    </xf>
    <xf numFmtId="181" fontId="22" fillId="6" borderId="20" xfId="0" applyNumberFormat="1" applyFont="1" applyFill="1" applyBorder="1" applyAlignment="1">
      <alignment horizontal="center" vertical="center" wrapText="1"/>
    </xf>
    <xf numFmtId="181" fontId="22" fillId="6" borderId="22" xfId="0" applyNumberFormat="1" applyFont="1" applyFill="1" applyBorder="1" applyAlignment="1">
      <alignment horizontal="center" vertical="center" wrapText="1"/>
    </xf>
    <xf numFmtId="182" fontId="22" fillId="6" borderId="20" xfId="0" applyNumberFormat="1" applyFont="1" applyFill="1" applyBorder="1" applyAlignment="1">
      <alignment horizontal="center" vertical="center" wrapText="1"/>
    </xf>
    <xf numFmtId="182" fontId="22" fillId="6" borderId="22" xfId="0" applyNumberFormat="1" applyFont="1" applyFill="1" applyBorder="1" applyAlignment="1">
      <alignment horizontal="center" vertical="center" wrapText="1"/>
    </xf>
    <xf numFmtId="0" fontId="22" fillId="0" borderId="20" xfId="0" applyFont="1" applyBorder="1" applyAlignment="1">
      <alignment horizontal="center"/>
    </xf>
    <xf numFmtId="0" fontId="22" fillId="0" borderId="22" xfId="0" applyFont="1" applyBorder="1" applyAlignment="1">
      <alignment horizontal="center"/>
    </xf>
    <xf numFmtId="0" fontId="33" fillId="6" borderId="20" xfId="0" applyFont="1" applyFill="1" applyBorder="1" applyAlignment="1">
      <alignment horizontal="justify" vertical="center" wrapText="1"/>
    </xf>
    <xf numFmtId="9" fontId="22" fillId="6" borderId="20" xfId="3" applyFont="1" applyFill="1" applyBorder="1" applyAlignment="1">
      <alignment horizontal="center" vertical="center"/>
    </xf>
    <xf numFmtId="170" fontId="22" fillId="6" borderId="20" xfId="0" applyNumberFormat="1" applyFont="1" applyFill="1" applyBorder="1" applyAlignment="1">
      <alignment horizontal="center" vertical="center"/>
    </xf>
    <xf numFmtId="170" fontId="22" fillId="6" borderId="22" xfId="0" applyNumberFormat="1" applyFont="1" applyFill="1" applyBorder="1" applyAlignment="1">
      <alignment horizontal="center" vertical="center"/>
    </xf>
    <xf numFmtId="43" fontId="24" fillId="6" borderId="20" xfId="7" applyFont="1" applyFill="1" applyBorder="1" applyAlignment="1">
      <alignment horizontal="justify" vertical="center" wrapText="1"/>
    </xf>
    <xf numFmtId="43" fontId="24" fillId="6" borderId="22" xfId="7" applyFont="1" applyFill="1" applyBorder="1" applyAlignment="1">
      <alignment horizontal="justify" vertical="center" wrapText="1"/>
    </xf>
    <xf numFmtId="173" fontId="22" fillId="0" borderId="20" xfId="0" applyNumberFormat="1" applyFont="1" applyBorder="1" applyAlignment="1">
      <alignment horizontal="center" vertical="center"/>
    </xf>
    <xf numFmtId="173" fontId="22" fillId="0" borderId="22" xfId="0" applyNumberFormat="1" applyFont="1" applyBorder="1" applyAlignment="1">
      <alignment horizontal="center" vertical="center"/>
    </xf>
    <xf numFmtId="14" fontId="22" fillId="0" borderId="20" xfId="0" applyNumberFormat="1" applyFont="1" applyBorder="1" applyAlignment="1">
      <alignment horizontal="center" vertical="center" wrapText="1"/>
    </xf>
    <xf numFmtId="14" fontId="22" fillId="0" borderId="22" xfId="0" applyNumberFormat="1" applyFont="1" applyBorder="1" applyAlignment="1">
      <alignment horizontal="center" vertical="center" wrapText="1"/>
    </xf>
    <xf numFmtId="14" fontId="22" fillId="0" borderId="27" xfId="0" applyNumberFormat="1" applyFont="1" applyBorder="1" applyAlignment="1">
      <alignment horizontal="center" vertical="center" wrapText="1"/>
    </xf>
    <xf numFmtId="3" fontId="24" fillId="0" borderId="20"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27" xfId="0" applyNumberFormat="1" applyFont="1" applyBorder="1" applyAlignment="1">
      <alignment horizontal="center" vertical="center"/>
    </xf>
    <xf numFmtId="173" fontId="22" fillId="0" borderId="27" xfId="0" applyNumberFormat="1" applyFont="1" applyBorder="1" applyAlignment="1">
      <alignment horizontal="center" vertical="center"/>
    </xf>
    <xf numFmtId="3" fontId="23" fillId="0" borderId="20" xfId="0" applyNumberFormat="1" applyFont="1" applyBorder="1" applyAlignment="1">
      <alignment horizontal="center" vertical="center"/>
    </xf>
    <xf numFmtId="3" fontId="23" fillId="0" borderId="22" xfId="0" applyNumberFormat="1" applyFont="1" applyBorder="1" applyAlignment="1">
      <alignment horizontal="center" vertical="center"/>
    </xf>
    <xf numFmtId="3" fontId="23" fillId="0" borderId="27" xfId="0" applyNumberFormat="1" applyFont="1" applyBorder="1" applyAlignment="1">
      <alignment horizontal="center" vertical="center"/>
    </xf>
    <xf numFmtId="0" fontId="22" fillId="0" borderId="0" xfId="0" applyFont="1" applyAlignment="1">
      <alignment horizontal="center" wrapText="1"/>
    </xf>
    <xf numFmtId="0" fontId="22" fillId="0" borderId="22" xfId="0" applyFont="1" applyFill="1" applyBorder="1" applyAlignment="1">
      <alignment horizontal="center"/>
    </xf>
    <xf numFmtId="0" fontId="22" fillId="0" borderId="27" xfId="0" applyFont="1" applyFill="1" applyBorder="1" applyAlignment="1">
      <alignment horizontal="center"/>
    </xf>
    <xf numFmtId="0" fontId="22" fillId="0" borderId="27" xfId="0" applyFont="1" applyBorder="1" applyAlignment="1">
      <alignment horizontal="center"/>
    </xf>
    <xf numFmtId="180" fontId="22" fillId="0" borderId="20" xfId="3" applyNumberFormat="1" applyFont="1" applyBorder="1" applyAlignment="1">
      <alignment horizontal="center" vertical="center"/>
    </xf>
    <xf numFmtId="180" fontId="22" fillId="0" borderId="27" xfId="3" applyNumberFormat="1" applyFont="1" applyBorder="1" applyAlignment="1">
      <alignment horizontal="center" vertical="center"/>
    </xf>
    <xf numFmtId="0" fontId="33" fillId="0" borderId="16" xfId="0" applyFont="1" applyBorder="1" applyAlignment="1">
      <alignment horizontal="center" vertical="center" wrapText="1"/>
    </xf>
    <xf numFmtId="0" fontId="33" fillId="6" borderId="27" xfId="0" applyFont="1" applyFill="1" applyBorder="1" applyAlignment="1">
      <alignment horizontal="justify" vertical="center" wrapText="1"/>
    </xf>
    <xf numFmtId="0" fontId="33" fillId="0" borderId="27" xfId="0" applyFont="1" applyBorder="1" applyAlignment="1">
      <alignment horizontal="justify" vertical="center" wrapText="1"/>
    </xf>
    <xf numFmtId="1" fontId="22" fillId="6" borderId="6" xfId="25" applyNumberFormat="1" applyFont="1" applyFill="1" applyBorder="1" applyAlignment="1">
      <alignment horizontal="center" vertical="center" wrapText="1"/>
    </xf>
    <xf numFmtId="181" fontId="22" fillId="6" borderId="27" xfId="0" applyNumberFormat="1" applyFont="1" applyFill="1" applyBorder="1" applyAlignment="1">
      <alignment horizontal="center" vertical="center" wrapText="1"/>
    </xf>
    <xf numFmtId="182" fontId="22" fillId="6" borderId="27" xfId="0" applyNumberFormat="1" applyFont="1" applyFill="1" applyBorder="1" applyAlignment="1">
      <alignment horizontal="center" vertical="center" wrapText="1"/>
    </xf>
    <xf numFmtId="0" fontId="23" fillId="0" borderId="0" xfId="0" applyFont="1" applyAlignment="1">
      <alignment horizontal="center" wrapText="1"/>
    </xf>
    <xf numFmtId="168" fontId="23" fillId="3" borderId="20" xfId="0" applyNumberFormat="1" applyFont="1" applyFill="1" applyBorder="1" applyAlignment="1">
      <alignment horizontal="center" vertical="center" wrapText="1"/>
    </xf>
    <xf numFmtId="168" fontId="23" fillId="3" borderId="22" xfId="0" applyNumberFormat="1" applyFont="1" applyFill="1" applyBorder="1" applyAlignment="1">
      <alignment horizontal="center" vertical="center" wrapText="1"/>
    </xf>
    <xf numFmtId="168" fontId="23" fillId="3" borderId="27" xfId="0" applyNumberFormat="1" applyFont="1" applyFill="1" applyBorder="1" applyAlignment="1">
      <alignment horizontal="center" vertical="center" wrapText="1"/>
    </xf>
    <xf numFmtId="0" fontId="24" fillId="0" borderId="25" xfId="0" applyFont="1" applyBorder="1" applyAlignment="1">
      <alignment horizontal="center" vertical="center" wrapText="1"/>
    </xf>
    <xf numFmtId="1" fontId="24" fillId="6" borderId="27" xfId="6" applyNumberFormat="1" applyFont="1" applyFill="1" applyBorder="1" applyAlignment="1">
      <alignment horizontal="center" vertical="center" wrapText="1"/>
    </xf>
    <xf numFmtId="1" fontId="24" fillId="6" borderId="20" xfId="6" applyNumberFormat="1" applyFont="1" applyFill="1" applyBorder="1" applyAlignment="1">
      <alignment horizontal="center" vertical="center" wrapText="1"/>
    </xf>
    <xf numFmtId="182" fontId="22" fillId="0" borderId="22" xfId="0" applyNumberFormat="1" applyFont="1" applyBorder="1" applyAlignment="1">
      <alignment horizontal="center" vertical="center" wrapText="1"/>
    </xf>
    <xf numFmtId="170" fontId="22" fillId="6" borderId="27" xfId="0" applyNumberFormat="1" applyFont="1" applyFill="1" applyBorder="1" applyAlignment="1">
      <alignment horizontal="center" vertical="center"/>
    </xf>
    <xf numFmtId="3" fontId="23" fillId="3" borderId="20" xfId="0" applyNumberFormat="1" applyFont="1" applyFill="1" applyBorder="1" applyAlignment="1">
      <alignment horizontal="center" vertical="center" wrapText="1"/>
    </xf>
    <xf numFmtId="3" fontId="23" fillId="3" borderId="22" xfId="0" applyNumberFormat="1" applyFont="1" applyFill="1" applyBorder="1" applyAlignment="1">
      <alignment horizontal="center" vertical="center" wrapText="1"/>
    </xf>
    <xf numFmtId="3" fontId="23" fillId="3" borderId="27" xfId="0" applyNumberFormat="1"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7" xfId="0" applyFont="1" applyBorder="1" applyAlignment="1">
      <alignment horizontal="center" vertical="center" wrapText="1"/>
    </xf>
    <xf numFmtId="182" fontId="22" fillId="0" borderId="20" xfId="0" applyNumberFormat="1" applyFont="1" applyBorder="1" applyAlignment="1">
      <alignment horizontal="center" vertical="center" wrapText="1"/>
    </xf>
    <xf numFmtId="182" fontId="22" fillId="0" borderId="27" xfId="0" applyNumberFormat="1" applyFont="1" applyBorder="1" applyAlignment="1">
      <alignment horizontal="center" vertical="center" wrapText="1"/>
    </xf>
    <xf numFmtId="170" fontId="22" fillId="6" borderId="6" xfId="0" applyNumberFormat="1" applyFont="1" applyFill="1" applyBorder="1" applyAlignment="1">
      <alignment horizontal="center" vertical="center"/>
    </xf>
    <xf numFmtId="0" fontId="22" fillId="6" borderId="20" xfId="18" applyNumberFormat="1" applyFont="1" applyFill="1" applyBorder="1" applyAlignment="1">
      <alignment horizontal="center" vertical="center"/>
    </xf>
    <xf numFmtId="0" fontId="22" fillId="6" borderId="22" xfId="18" applyNumberFormat="1" applyFont="1" applyFill="1" applyBorder="1" applyAlignment="1">
      <alignment horizontal="center" vertical="center"/>
    </xf>
    <xf numFmtId="0" fontId="22" fillId="6" borderId="27" xfId="18" applyNumberFormat="1" applyFont="1" applyFill="1" applyBorder="1" applyAlignment="1">
      <alignment horizontal="center" vertical="center"/>
    </xf>
    <xf numFmtId="0" fontId="24" fillId="0" borderId="6" xfId="0" applyFont="1" applyBorder="1" applyAlignment="1">
      <alignment horizontal="center" vertical="center" wrapText="1"/>
    </xf>
    <xf numFmtId="0" fontId="33" fillId="0" borderId="12" xfId="0" applyFont="1" applyBorder="1" applyAlignment="1">
      <alignment horizontal="justify" vertical="center" wrapText="1"/>
    </xf>
    <xf numFmtId="0" fontId="33" fillId="0" borderId="25" xfId="0" applyFont="1" applyBorder="1" applyAlignment="1">
      <alignment horizontal="justify" vertical="center" wrapText="1"/>
    </xf>
    <xf numFmtId="181" fontId="22" fillId="6" borderId="6" xfId="0" applyNumberFormat="1" applyFont="1" applyFill="1" applyBorder="1" applyAlignment="1">
      <alignment horizontal="center" vertical="center" wrapText="1"/>
    </xf>
    <xf numFmtId="0" fontId="33" fillId="6" borderId="11" xfId="0" applyFont="1" applyFill="1" applyBorder="1" applyAlignment="1">
      <alignment horizontal="justify" vertical="center" wrapText="1"/>
    </xf>
    <xf numFmtId="0" fontId="33" fillId="6" borderId="0" xfId="0" applyFont="1" applyFill="1" applyAlignment="1">
      <alignment horizontal="justify" vertical="center" wrapText="1"/>
    </xf>
    <xf numFmtId="0" fontId="33" fillId="6" borderId="9" xfId="0" applyFont="1" applyFill="1" applyBorder="1" applyAlignment="1">
      <alignment horizontal="justify" vertical="center" wrapText="1"/>
    </xf>
    <xf numFmtId="0" fontId="33" fillId="6" borderId="14" xfId="0" applyFont="1" applyFill="1" applyBorder="1" applyAlignment="1">
      <alignment horizontal="justify" vertical="center" wrapText="1"/>
    </xf>
    <xf numFmtId="0" fontId="33" fillId="6" borderId="6" xfId="0" applyFont="1" applyFill="1" applyBorder="1" applyAlignment="1">
      <alignment horizontal="justify" vertical="center" wrapText="1"/>
    </xf>
    <xf numFmtId="173" fontId="22" fillId="6" borderId="6" xfId="18" applyNumberFormat="1" applyFont="1" applyFill="1" applyBorder="1" applyAlignment="1">
      <alignment horizontal="center" vertical="center"/>
    </xf>
    <xf numFmtId="1" fontId="22" fillId="6" borderId="6" xfId="0" applyNumberFormat="1" applyFont="1" applyFill="1" applyBorder="1" applyAlignment="1">
      <alignment horizontal="center" vertical="center"/>
    </xf>
    <xf numFmtId="0" fontId="33" fillId="0" borderId="6" xfId="0" applyFont="1" applyBorder="1" applyAlignment="1">
      <alignment horizontal="justify" vertical="center" wrapText="1"/>
    </xf>
    <xf numFmtId="0" fontId="22" fillId="0" borderId="12" xfId="0" applyFont="1" applyBorder="1" applyAlignment="1">
      <alignment horizontal="justify" vertical="center" wrapText="1"/>
    </xf>
    <xf numFmtId="0" fontId="22" fillId="0" borderId="25" xfId="0" applyFont="1" applyBorder="1" applyAlignment="1">
      <alignment horizontal="justify" vertical="center" wrapText="1"/>
    </xf>
    <xf numFmtId="0" fontId="22" fillId="0" borderId="13" xfId="0" applyFont="1" applyBorder="1" applyAlignment="1">
      <alignment horizontal="justify" vertical="center" wrapText="1"/>
    </xf>
    <xf numFmtId="10" fontId="22" fillId="0" borderId="20" xfId="3" applyNumberFormat="1" applyFont="1" applyBorder="1" applyAlignment="1">
      <alignment horizontal="center" vertical="center"/>
    </xf>
    <xf numFmtId="10" fontId="22" fillId="0" borderId="22" xfId="3" applyNumberFormat="1" applyFont="1" applyBorder="1" applyAlignment="1">
      <alignment horizontal="center" vertical="center"/>
    </xf>
    <xf numFmtId="10" fontId="22" fillId="0" borderId="27" xfId="3" applyNumberFormat="1" applyFont="1" applyBorder="1" applyAlignment="1">
      <alignment horizontal="center" vertical="center"/>
    </xf>
    <xf numFmtId="14" fontId="22" fillId="6" borderId="27" xfId="0" applyNumberFormat="1" applyFont="1" applyFill="1" applyBorder="1" applyAlignment="1">
      <alignment horizontal="center" vertical="center"/>
    </xf>
    <xf numFmtId="10" fontId="22" fillId="6" borderId="20" xfId="3" applyNumberFormat="1" applyFont="1" applyFill="1" applyBorder="1" applyAlignment="1">
      <alignment horizontal="center" vertical="center"/>
    </xf>
    <xf numFmtId="10" fontId="22" fillId="6" borderId="22" xfId="3" applyNumberFormat="1" applyFont="1" applyFill="1" applyBorder="1" applyAlignment="1">
      <alignment horizontal="center" vertical="center"/>
    </xf>
    <xf numFmtId="49" fontId="24" fillId="6" borderId="20" xfId="9" applyNumberFormat="1" applyFont="1" applyFill="1" applyBorder="1" applyAlignment="1">
      <alignment horizontal="center" vertical="center" wrapText="1"/>
    </xf>
    <xf numFmtId="49" fontId="24" fillId="6" borderId="22" xfId="9" applyNumberFormat="1" applyFont="1" applyFill="1" applyBorder="1" applyAlignment="1">
      <alignment horizontal="center" vertical="center" wrapText="1"/>
    </xf>
    <xf numFmtId="14" fontId="22" fillId="0" borderId="19" xfId="0" applyNumberFormat="1" applyFont="1" applyBorder="1" applyAlignment="1">
      <alignment horizontal="center" vertical="center"/>
    </xf>
    <xf numFmtId="14" fontId="22" fillId="0" borderId="23" xfId="0" applyNumberFormat="1" applyFont="1" applyBorder="1" applyAlignment="1">
      <alignment horizontal="center" vertical="center"/>
    </xf>
    <xf numFmtId="0" fontId="22" fillId="0" borderId="12" xfId="0" applyFont="1" applyBorder="1" applyAlignment="1">
      <alignment horizontal="center"/>
    </xf>
    <xf numFmtId="0" fontId="22" fillId="0" borderId="25" xfId="0" applyFont="1" applyBorder="1" applyAlignment="1">
      <alignment horizontal="center"/>
    </xf>
    <xf numFmtId="1" fontId="24" fillId="6" borderId="6" xfId="0" applyNumberFormat="1" applyFont="1" applyFill="1" applyBorder="1" applyAlignment="1">
      <alignment horizontal="center" vertical="center" wrapText="1"/>
    </xf>
    <xf numFmtId="170" fontId="24" fillId="0" borderId="27" xfId="0" applyNumberFormat="1" applyFont="1" applyBorder="1" applyAlignment="1">
      <alignment horizontal="center" vertical="center"/>
    </xf>
    <xf numFmtId="170" fontId="24" fillId="0" borderId="6" xfId="0" applyNumberFormat="1" applyFont="1" applyBorder="1" applyAlignment="1">
      <alignment horizontal="center" vertical="center"/>
    </xf>
    <xf numFmtId="173" fontId="22" fillId="0" borderId="22" xfId="18" applyNumberFormat="1" applyFont="1" applyBorder="1" applyAlignment="1">
      <alignment vertical="center"/>
    </xf>
    <xf numFmtId="173" fontId="22" fillId="0" borderId="27" xfId="18" applyNumberFormat="1" applyFont="1" applyBorder="1" applyAlignment="1">
      <alignment vertical="center"/>
    </xf>
    <xf numFmtId="173" fontId="22" fillId="0" borderId="20" xfId="18" applyNumberFormat="1" applyFont="1" applyBorder="1" applyAlignment="1">
      <alignment horizontal="center" vertical="center"/>
    </xf>
    <xf numFmtId="173" fontId="22" fillId="0" borderId="22" xfId="18" applyNumberFormat="1" applyFont="1" applyBorder="1" applyAlignment="1">
      <alignment horizontal="center" vertical="center"/>
    </xf>
    <xf numFmtId="173" fontId="22" fillId="0" borderId="27" xfId="18" applyNumberFormat="1" applyFont="1" applyBorder="1" applyAlignment="1">
      <alignment horizontal="center" vertical="center"/>
    </xf>
    <xf numFmtId="0" fontId="22" fillId="0" borderId="23" xfId="0" applyFont="1" applyBorder="1" applyAlignment="1">
      <alignment horizontal="center" vertical="center"/>
    </xf>
    <xf numFmtId="0" fontId="22" fillId="0" borderId="25" xfId="0" applyFont="1" applyBorder="1" applyAlignment="1">
      <alignment horizontal="center" vertical="center"/>
    </xf>
    <xf numFmtId="0" fontId="33" fillId="0" borderId="25" xfId="0" applyFont="1" applyBorder="1" applyAlignment="1">
      <alignment horizontal="center" vertical="center" wrapText="1"/>
    </xf>
    <xf numFmtId="0" fontId="33" fillId="0" borderId="13" xfId="0" applyFont="1" applyBorder="1" applyAlignment="1">
      <alignment horizontal="center" vertical="center" wrapText="1"/>
    </xf>
    <xf numFmtId="1" fontId="24" fillId="6" borderId="27" xfId="0" applyNumberFormat="1" applyFont="1" applyFill="1" applyBorder="1" applyAlignment="1">
      <alignment horizontal="center" vertical="center" wrapText="1"/>
    </xf>
    <xf numFmtId="173" fontId="23" fillId="0" borderId="20" xfId="18" applyNumberFormat="1" applyFont="1" applyBorder="1" applyAlignment="1">
      <alignment horizontal="center" vertical="center"/>
    </xf>
    <xf numFmtId="173" fontId="23" fillId="0" borderId="22" xfId="18" applyNumberFormat="1" applyFont="1" applyBorder="1" applyAlignment="1">
      <alignment horizontal="center" vertical="center"/>
    </xf>
    <xf numFmtId="173" fontId="23" fillId="0" borderId="27" xfId="18" applyNumberFormat="1" applyFont="1" applyBorder="1" applyAlignment="1">
      <alignment horizontal="center" vertical="center"/>
    </xf>
    <xf numFmtId="0" fontId="33" fillId="0" borderId="12" xfId="0" applyFont="1" applyBorder="1" applyAlignment="1">
      <alignment horizontal="center" vertical="center" wrapText="1"/>
    </xf>
    <xf numFmtId="0" fontId="24" fillId="0" borderId="6" xfId="9" applyFont="1" applyBorder="1" applyAlignment="1">
      <alignment horizontal="justify" vertical="center" wrapText="1"/>
    </xf>
    <xf numFmtId="0" fontId="24" fillId="0" borderId="20" xfId="9" applyFont="1" applyBorder="1" applyAlignment="1">
      <alignment horizontal="justify" vertical="center" wrapText="1"/>
    </xf>
    <xf numFmtId="0" fontId="24" fillId="0" borderId="22" xfId="9" applyFont="1" applyBorder="1" applyAlignment="1">
      <alignment horizontal="justify" vertical="center" wrapText="1"/>
    </xf>
    <xf numFmtId="0" fontId="24" fillId="0" borderId="27" xfId="9" applyFont="1" applyBorder="1" applyAlignment="1">
      <alignment horizontal="justify" vertical="center" wrapText="1"/>
    </xf>
    <xf numFmtId="0" fontId="24" fillId="6" borderId="20" xfId="0" applyFont="1" applyFill="1" applyBorder="1" applyAlignment="1">
      <alignment horizontal="justify" vertical="center" wrapText="1"/>
    </xf>
    <xf numFmtId="1" fontId="22" fillId="6" borderId="6" xfId="6" applyNumberFormat="1" applyFont="1" applyFill="1" applyBorder="1" applyAlignment="1">
      <alignment horizontal="center" vertical="center" wrapText="1"/>
    </xf>
    <xf numFmtId="173" fontId="24" fillId="0" borderId="20" xfId="0" applyNumberFormat="1" applyFont="1" applyBorder="1" applyAlignment="1">
      <alignment horizontal="center" vertical="center"/>
    </xf>
    <xf numFmtId="173" fontId="24" fillId="0" borderId="22" xfId="0" applyNumberFormat="1" applyFont="1" applyBorder="1" applyAlignment="1">
      <alignment horizontal="center" vertical="center"/>
    </xf>
    <xf numFmtId="173" fontId="24" fillId="0" borderId="27" xfId="0" applyNumberFormat="1" applyFont="1" applyBorder="1" applyAlignment="1">
      <alignment horizontal="center" vertical="center"/>
    </xf>
    <xf numFmtId="173" fontId="24" fillId="0" borderId="20" xfId="18" applyNumberFormat="1" applyFont="1" applyBorder="1" applyAlignment="1">
      <alignment horizontal="center" vertical="center"/>
    </xf>
    <xf numFmtId="173" fontId="24" fillId="0" borderId="22" xfId="18" applyNumberFormat="1" applyFont="1" applyBorder="1" applyAlignment="1">
      <alignment horizontal="center" vertical="center"/>
    </xf>
    <xf numFmtId="173" fontId="24" fillId="0" borderId="27" xfId="18" applyNumberFormat="1" applyFont="1" applyBorder="1" applyAlignment="1">
      <alignment horizontal="center" vertical="center"/>
    </xf>
    <xf numFmtId="173" fontId="22" fillId="6" borderId="20" xfId="18" applyNumberFormat="1" applyFont="1" applyFill="1" applyBorder="1" applyAlignment="1">
      <alignment horizontal="center" vertical="center"/>
    </xf>
    <xf numFmtId="173" fontId="22" fillId="6" borderId="22" xfId="18" applyNumberFormat="1" applyFont="1" applyFill="1" applyBorder="1" applyAlignment="1">
      <alignment horizontal="center" vertical="center"/>
    </xf>
    <xf numFmtId="173" fontId="22" fillId="6" borderId="27" xfId="18" applyNumberFormat="1" applyFont="1" applyFill="1" applyBorder="1" applyAlignment="1">
      <alignment horizontal="center" vertical="center"/>
    </xf>
    <xf numFmtId="1" fontId="33" fillId="0" borderId="19" xfId="0" applyNumberFormat="1" applyFont="1" applyBorder="1" applyAlignment="1">
      <alignment horizontal="center" vertical="center" wrapText="1"/>
    </xf>
    <xf numFmtId="1" fontId="33" fillId="0" borderId="23" xfId="0" applyNumberFormat="1" applyFont="1" applyBorder="1" applyAlignment="1">
      <alignment horizontal="center" vertical="center" wrapText="1"/>
    </xf>
    <xf numFmtId="182" fontId="22" fillId="0" borderId="25" xfId="0" applyNumberFormat="1" applyFont="1" applyBorder="1" applyAlignment="1">
      <alignment horizontal="center" vertical="center" wrapText="1"/>
    </xf>
    <xf numFmtId="182" fontId="22" fillId="0" borderId="13" xfId="0" applyNumberFormat="1" applyFont="1" applyBorder="1" applyAlignment="1">
      <alignment horizontal="center" vertical="center" wrapText="1"/>
    </xf>
    <xf numFmtId="180" fontId="22" fillId="0" borderId="22" xfId="3" applyNumberFormat="1" applyFont="1" applyBorder="1" applyAlignment="1">
      <alignment horizontal="center" vertical="center"/>
    </xf>
    <xf numFmtId="170" fontId="22" fillId="0" borderId="20" xfId="0" applyNumberFormat="1" applyFont="1" applyBorder="1" applyAlignment="1">
      <alignment horizontal="center" vertical="center"/>
    </xf>
    <xf numFmtId="170" fontId="22" fillId="0" borderId="22" xfId="0" applyNumberFormat="1" applyFont="1" applyBorder="1" applyAlignment="1">
      <alignment horizontal="center" vertical="center"/>
    </xf>
    <xf numFmtId="170" fontId="22" fillId="0" borderId="27" xfId="0" applyNumberFormat="1" applyFont="1" applyBorder="1" applyAlignment="1">
      <alignment horizontal="center" vertical="center"/>
    </xf>
    <xf numFmtId="0" fontId="22" fillId="0" borderId="12"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0" xfId="0" applyFont="1" applyFill="1" applyBorder="1" applyAlignment="1">
      <alignment horizontal="center"/>
    </xf>
    <xf numFmtId="0" fontId="23" fillId="0" borderId="6" xfId="0" applyFont="1" applyBorder="1" applyAlignment="1">
      <alignment horizontal="center" vertical="center" wrapText="1"/>
    </xf>
    <xf numFmtId="0" fontId="23" fillId="0" borderId="27" xfId="0" applyFont="1" applyBorder="1" applyAlignment="1">
      <alignment horizontal="center" vertical="center" wrapText="1"/>
    </xf>
    <xf numFmtId="0" fontId="33" fillId="0" borderId="19" xfId="0" applyFont="1" applyBorder="1" applyAlignment="1">
      <alignment horizontal="left" vertical="center" wrapText="1"/>
    </xf>
    <xf numFmtId="0" fontId="33" fillId="0" borderId="21" xfId="0" applyFont="1" applyBorder="1" applyAlignment="1">
      <alignment horizontal="left" vertical="center" wrapText="1"/>
    </xf>
    <xf numFmtId="0" fontId="24" fillId="0" borderId="2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2" fillId="0" borderId="50" xfId="0" applyFont="1" applyBorder="1" applyAlignment="1">
      <alignment horizontal="center" vertical="center" wrapText="1"/>
    </xf>
    <xf numFmtId="0" fontId="22" fillId="0" borderId="58" xfId="0" applyFont="1" applyBorder="1" applyAlignment="1">
      <alignment horizontal="center" vertical="center" wrapText="1"/>
    </xf>
    <xf numFmtId="0" fontId="33" fillId="0" borderId="50" xfId="0" applyFont="1" applyBorder="1" applyAlignment="1">
      <alignment horizontal="center" vertical="center" wrapText="1"/>
    </xf>
    <xf numFmtId="0" fontId="33" fillId="6" borderId="20"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6" fillId="0" borderId="12" xfId="0" applyFont="1" applyBorder="1" applyAlignment="1">
      <alignment horizontal="center" vertical="center"/>
    </xf>
    <xf numFmtId="0" fontId="6" fillId="12" borderId="13"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35" xfId="0" applyFont="1" applyFill="1" applyBorder="1" applyAlignment="1">
      <alignment horizontal="center" vertical="center" wrapText="1"/>
    </xf>
    <xf numFmtId="1" fontId="6" fillId="14" borderId="6" xfId="0" applyNumberFormat="1" applyFont="1" applyFill="1" applyBorder="1" applyAlignment="1">
      <alignment horizontal="left" vertical="center"/>
    </xf>
    <xf numFmtId="0" fontId="6" fillId="15" borderId="16" xfId="0" applyFont="1" applyFill="1" applyBorder="1" applyAlignment="1">
      <alignment horizontal="left" vertical="center"/>
    </xf>
    <xf numFmtId="0" fontId="6" fillId="15" borderId="6" xfId="0" applyFont="1" applyFill="1" applyBorder="1" applyAlignment="1">
      <alignment horizontal="left" vertical="center"/>
    </xf>
    <xf numFmtId="9" fontId="4" fillId="6" borderId="20" xfId="8" applyNumberFormat="1" applyFont="1" applyFill="1" applyBorder="1" applyAlignment="1">
      <alignment horizontal="center" vertical="center" wrapText="1"/>
    </xf>
    <xf numFmtId="41" fontId="4" fillId="6" borderId="22" xfId="8" applyFont="1" applyFill="1" applyBorder="1" applyAlignment="1">
      <alignment horizontal="center" vertical="center" wrapText="1"/>
    </xf>
    <xf numFmtId="43" fontId="4" fillId="0" borderId="20" xfId="5" applyFont="1" applyFill="1" applyBorder="1" applyAlignment="1">
      <alignment horizontal="center" vertical="center" wrapText="1"/>
    </xf>
    <xf numFmtId="43" fontId="4" fillId="0" borderId="27" xfId="5" applyFont="1" applyFill="1" applyBorder="1" applyAlignment="1">
      <alignment horizontal="center" vertical="center" wrapText="1"/>
    </xf>
    <xf numFmtId="3" fontId="8" fillId="6" borderId="29" xfId="0" applyNumberFormat="1" applyFont="1" applyFill="1" applyBorder="1" applyAlignment="1">
      <alignment horizontal="center" vertical="center" wrapText="1"/>
    </xf>
    <xf numFmtId="3" fontId="4" fillId="6" borderId="29" xfId="0" applyNumberFormat="1" applyFont="1" applyFill="1" applyBorder="1" applyAlignment="1">
      <alignment horizontal="center" vertical="center" wrapText="1"/>
    </xf>
    <xf numFmtId="1" fontId="4" fillId="6" borderId="29" xfId="0" applyNumberFormat="1" applyFont="1" applyFill="1" applyBorder="1" applyAlignment="1">
      <alignment horizontal="center" vertical="center" wrapText="1"/>
    </xf>
    <xf numFmtId="171" fontId="4" fillId="6" borderId="20" xfId="0" applyNumberFormat="1" applyFont="1" applyFill="1" applyBorder="1" applyAlignment="1">
      <alignment horizontal="center" vertical="center" wrapText="1"/>
    </xf>
    <xf numFmtId="171" fontId="4" fillId="6" borderId="22" xfId="0" applyNumberFormat="1" applyFont="1" applyFill="1" applyBorder="1" applyAlignment="1">
      <alignment horizontal="center" vertical="center" wrapText="1"/>
    </xf>
    <xf numFmtId="3" fontId="4" fillId="6" borderId="26" xfId="0" applyNumberFormat="1" applyFont="1" applyFill="1" applyBorder="1" applyAlignment="1">
      <alignment horizontal="justify" vertical="center" wrapText="1"/>
    </xf>
    <xf numFmtId="0" fontId="24" fillId="6" borderId="0" xfId="26" applyFont="1" applyFill="1" applyAlignment="1">
      <alignment horizontal="center"/>
    </xf>
    <xf numFmtId="0" fontId="24" fillId="6" borderId="20" xfId="26" applyFont="1" applyFill="1" applyBorder="1" applyAlignment="1">
      <alignment horizontal="center" vertical="center" wrapText="1"/>
    </xf>
    <xf numFmtId="0" fontId="24" fillId="6" borderId="22" xfId="26" applyFont="1" applyFill="1" applyBorder="1" applyAlignment="1">
      <alignment horizontal="center" vertical="center" wrapText="1"/>
    </xf>
    <xf numFmtId="0" fontId="24" fillId="6" borderId="27" xfId="26" applyFont="1" applyFill="1" applyBorder="1" applyAlignment="1">
      <alignment horizontal="center" vertical="center" wrapText="1"/>
    </xf>
    <xf numFmtId="0" fontId="24" fillId="6" borderId="20" xfId="26" applyFont="1" applyFill="1" applyBorder="1" applyAlignment="1">
      <alignment horizontal="justify" vertical="center" wrapText="1"/>
    </xf>
    <xf numFmtId="0" fontId="24" fillId="6" borderId="22" xfId="26" applyFont="1" applyFill="1" applyBorder="1" applyAlignment="1">
      <alignment horizontal="justify" vertical="center" wrapText="1"/>
    </xf>
    <xf numFmtId="0" fontId="24" fillId="6" borderId="27" xfId="26" applyFont="1" applyFill="1" applyBorder="1" applyAlignment="1">
      <alignment horizontal="justify" vertical="center" wrapText="1"/>
    </xf>
    <xf numFmtId="9" fontId="24" fillId="6" borderId="20" xfId="3" applyFont="1" applyFill="1" applyBorder="1" applyAlignment="1">
      <alignment horizontal="center" vertical="center" wrapText="1"/>
    </xf>
    <xf numFmtId="9" fontId="24" fillId="6" borderId="22" xfId="3" applyFont="1" applyFill="1" applyBorder="1" applyAlignment="1">
      <alignment horizontal="center" vertical="center" wrapText="1"/>
    </xf>
    <xf numFmtId="9" fontId="24" fillId="6" borderId="27" xfId="3" applyFont="1" applyFill="1" applyBorder="1" applyAlignment="1">
      <alignment horizontal="center" vertical="center" wrapText="1"/>
    </xf>
    <xf numFmtId="0" fontId="24" fillId="6" borderId="29" xfId="26" applyFont="1" applyFill="1" applyBorder="1" applyAlignment="1">
      <alignment horizontal="center" vertical="center" wrapText="1"/>
    </xf>
    <xf numFmtId="0" fontId="24" fillId="0" borderId="30" xfId="26" applyFont="1" applyBorder="1" applyAlignment="1">
      <alignment horizontal="center"/>
    </xf>
    <xf numFmtId="0" fontId="24" fillId="0" borderId="31" xfId="26" applyFont="1" applyBorder="1" applyAlignment="1">
      <alignment horizontal="center"/>
    </xf>
    <xf numFmtId="0" fontId="24" fillId="0" borderId="33" xfId="26" applyFont="1" applyBorder="1" applyAlignment="1">
      <alignment horizontal="center"/>
    </xf>
    <xf numFmtId="0" fontId="7" fillId="0" borderId="0" xfId="0" applyFont="1" applyAlignment="1">
      <alignment horizontal="justify" vertical="top" wrapText="1"/>
    </xf>
    <xf numFmtId="0" fontId="28" fillId="6" borderId="0" xfId="26" applyFont="1" applyFill="1" applyAlignment="1">
      <alignment horizontal="center"/>
    </xf>
    <xf numFmtId="168" fontId="24" fillId="6" borderId="20" xfId="26" applyNumberFormat="1" applyFont="1" applyFill="1" applyBorder="1" applyAlignment="1">
      <alignment horizontal="center" vertical="center" wrapText="1"/>
    </xf>
    <xf numFmtId="168" fontId="24" fillId="6" borderId="22" xfId="26" applyNumberFormat="1" applyFont="1" applyFill="1" applyBorder="1" applyAlignment="1">
      <alignment horizontal="center" vertical="center" wrapText="1"/>
    </xf>
    <xf numFmtId="3" fontId="24" fillId="6" borderId="26" xfId="26" applyNumberFormat="1" applyFont="1" applyFill="1" applyBorder="1" applyAlignment="1">
      <alignment horizontal="center" vertical="center" wrapText="1"/>
    </xf>
    <xf numFmtId="3" fontId="24" fillId="6" borderId="28" xfId="26" applyNumberFormat="1" applyFont="1" applyFill="1" applyBorder="1" applyAlignment="1">
      <alignment horizontal="center" vertical="center" wrapText="1"/>
    </xf>
    <xf numFmtId="3" fontId="24" fillId="6" borderId="79" xfId="26" applyNumberFormat="1" applyFont="1" applyFill="1" applyBorder="1" applyAlignment="1">
      <alignment horizontal="center" vertical="center" wrapText="1"/>
    </xf>
    <xf numFmtId="43" fontId="24" fillId="6" borderId="20" xfId="5" applyFont="1" applyFill="1" applyBorder="1" applyAlignment="1">
      <alignment horizontal="center" vertical="center" wrapText="1"/>
    </xf>
    <xf numFmtId="43" fontId="24" fillId="6" borderId="22" xfId="5" applyFont="1" applyFill="1" applyBorder="1" applyAlignment="1">
      <alignment horizontal="center" vertical="center" wrapText="1"/>
    </xf>
    <xf numFmtId="14" fontId="24" fillId="0" borderId="6" xfId="5" applyNumberFormat="1" applyFont="1" applyBorder="1" applyAlignment="1">
      <alignment horizontal="center" vertical="center" wrapText="1"/>
    </xf>
    <xf numFmtId="0" fontId="24" fillId="0" borderId="6" xfId="5" applyNumberFormat="1" applyFont="1" applyBorder="1" applyAlignment="1">
      <alignment horizontal="center" vertical="center" wrapText="1"/>
    </xf>
    <xf numFmtId="3" fontId="24" fillId="6" borderId="34" xfId="26" applyNumberFormat="1" applyFont="1" applyFill="1" applyBorder="1" applyAlignment="1">
      <alignment horizontal="center" vertical="center" wrapText="1"/>
    </xf>
    <xf numFmtId="0" fontId="24" fillId="6" borderId="6" xfId="26" applyFont="1" applyFill="1" applyBorder="1" applyAlignment="1">
      <alignment horizontal="justify" vertical="center" wrapText="1"/>
    </xf>
    <xf numFmtId="0" fontId="24" fillId="0" borderId="20" xfId="26" applyFont="1" applyBorder="1" applyAlignment="1">
      <alignment horizontal="justify" vertical="center" wrapText="1"/>
    </xf>
    <xf numFmtId="0" fontId="24" fillId="0" borderId="22" xfId="26" applyFont="1" applyBorder="1" applyAlignment="1">
      <alignment horizontal="justify" vertical="center" wrapText="1"/>
    </xf>
    <xf numFmtId="0" fontId="24" fillId="0" borderId="27" xfId="26" applyFont="1" applyBorder="1" applyAlignment="1">
      <alignment horizontal="justify" vertical="center" wrapText="1"/>
    </xf>
    <xf numFmtId="9" fontId="24" fillId="0" borderId="20" xfId="3" applyFont="1" applyBorder="1" applyAlignment="1">
      <alignment horizontal="center" vertical="center" wrapText="1"/>
    </xf>
    <xf numFmtId="9" fontId="24" fillId="0" borderId="22" xfId="3" applyFont="1" applyBorder="1" applyAlignment="1">
      <alignment horizontal="center" vertical="center" wrapText="1"/>
    </xf>
    <xf numFmtId="9" fontId="24" fillId="0" borderId="27" xfId="3" applyFont="1" applyBorder="1" applyAlignment="1">
      <alignment horizontal="center" vertical="center" wrapText="1"/>
    </xf>
    <xf numFmtId="43" fontId="24" fillId="6" borderId="6" xfId="5" applyFont="1" applyFill="1" applyBorder="1" applyAlignment="1">
      <alignment horizontal="center" vertical="center" wrapText="1"/>
    </xf>
    <xf numFmtId="49" fontId="24" fillId="0" borderId="19" xfId="27" applyNumberFormat="1" applyFont="1" applyBorder="1" applyAlignment="1">
      <alignment horizontal="justify" vertical="center" wrapText="1"/>
    </xf>
    <xf numFmtId="49" fontId="24" fillId="0" borderId="21" xfId="27" applyNumberFormat="1" applyFont="1" applyBorder="1" applyAlignment="1">
      <alignment horizontal="justify" vertical="center" wrapText="1"/>
    </xf>
    <xf numFmtId="0" fontId="24" fillId="0" borderId="20" xfId="26" applyFont="1" applyBorder="1" applyAlignment="1">
      <alignment horizontal="center" vertical="center" wrapText="1"/>
    </xf>
    <xf numFmtId="0" fontId="24" fillId="0" borderId="22" xfId="26" applyFont="1" applyBorder="1" applyAlignment="1">
      <alignment horizontal="center" vertical="center" wrapText="1"/>
    </xf>
    <xf numFmtId="0" fontId="24" fillId="0" borderId="27" xfId="26" applyFont="1" applyBorder="1" applyAlignment="1">
      <alignment horizontal="center" vertical="center" wrapText="1"/>
    </xf>
    <xf numFmtId="168" fontId="24" fillId="6" borderId="27" xfId="26" applyNumberFormat="1" applyFont="1" applyFill="1" applyBorder="1" applyAlignment="1">
      <alignment horizontal="center" vertical="center" wrapText="1"/>
    </xf>
    <xf numFmtId="0" fontId="24" fillId="6" borderId="62" xfId="26" applyFont="1" applyFill="1" applyBorder="1" applyAlignment="1">
      <alignment horizontal="justify" vertical="center" wrapText="1"/>
    </xf>
    <xf numFmtId="0" fontId="24" fillId="6" borderId="50" xfId="26" applyFont="1" applyFill="1" applyBorder="1" applyAlignment="1">
      <alignment horizontal="justify" vertical="center" wrapText="1"/>
    </xf>
    <xf numFmtId="43" fontId="24" fillId="6" borderId="27" xfId="5" applyFont="1" applyFill="1" applyBorder="1" applyAlignment="1">
      <alignment horizontal="center" vertical="center" wrapText="1"/>
    </xf>
    <xf numFmtId="0" fontId="24" fillId="6" borderId="23" xfId="26" applyFont="1" applyFill="1" applyBorder="1" applyAlignment="1">
      <alignment horizontal="justify" vertical="center" wrapText="1"/>
    </xf>
    <xf numFmtId="0" fontId="24" fillId="6" borderId="21" xfId="26" applyFont="1" applyFill="1" applyBorder="1" applyAlignment="1">
      <alignment horizontal="justify" vertical="center" wrapText="1"/>
    </xf>
    <xf numFmtId="49" fontId="24" fillId="6" borderId="19" xfId="27" quotePrefix="1" applyNumberFormat="1" applyFont="1" applyFill="1" applyBorder="1" applyAlignment="1">
      <alignment horizontal="justify" vertical="center" wrapText="1"/>
    </xf>
    <xf numFmtId="49" fontId="24" fillId="6" borderId="21" xfId="27" quotePrefix="1" applyNumberFormat="1" applyFont="1" applyFill="1" applyBorder="1" applyAlignment="1">
      <alignment horizontal="justify" vertical="center" wrapText="1"/>
    </xf>
    <xf numFmtId="0" fontId="24" fillId="0" borderId="50" xfId="26" applyFont="1" applyBorder="1" applyAlignment="1">
      <alignment horizontal="center" vertical="center" wrapText="1"/>
    </xf>
    <xf numFmtId="0" fontId="24" fillId="0" borderId="54" xfId="26" applyFont="1" applyBorder="1" applyAlignment="1">
      <alignment horizontal="center" vertical="center" wrapText="1"/>
    </xf>
    <xf numFmtId="0" fontId="24" fillId="6" borderId="67" xfId="26" applyFont="1" applyFill="1" applyBorder="1" applyAlignment="1">
      <alignment horizontal="center" vertical="center" wrapText="1"/>
    </xf>
    <xf numFmtId="0" fontId="24" fillId="6" borderId="74" xfId="26" applyFont="1" applyFill="1" applyBorder="1" applyAlignment="1">
      <alignment horizontal="center" vertical="center" wrapText="1"/>
    </xf>
    <xf numFmtId="0" fontId="24" fillId="6" borderId="68" xfId="26" applyFont="1" applyFill="1" applyBorder="1" applyAlignment="1">
      <alignment horizontal="center" vertical="center" wrapText="1"/>
    </xf>
    <xf numFmtId="0" fontId="24" fillId="6" borderId="20" xfId="26" applyFont="1" applyFill="1" applyBorder="1" applyAlignment="1">
      <alignment horizontal="center" vertical="center"/>
    </xf>
    <xf numFmtId="0" fontId="24" fillId="6" borderId="22" xfId="26" applyFont="1" applyFill="1" applyBorder="1" applyAlignment="1">
      <alignment horizontal="center" vertical="center"/>
    </xf>
    <xf numFmtId="0" fontId="24" fillId="6" borderId="27" xfId="26" applyFont="1" applyFill="1" applyBorder="1" applyAlignment="1">
      <alignment horizontal="center" vertical="center"/>
    </xf>
    <xf numFmtId="9" fontId="24" fillId="6" borderId="20" xfId="4" applyFont="1" applyFill="1" applyBorder="1" applyAlignment="1">
      <alignment horizontal="center" vertical="center" wrapText="1"/>
    </xf>
    <xf numFmtId="9" fontId="24" fillId="6" borderId="22" xfId="4" applyFont="1" applyFill="1" applyBorder="1" applyAlignment="1">
      <alignment horizontal="center" vertical="center" wrapText="1"/>
    </xf>
    <xf numFmtId="9" fontId="24" fillId="6" borderId="27" xfId="4" applyFont="1" applyFill="1" applyBorder="1" applyAlignment="1">
      <alignment horizontal="center" vertical="center" wrapText="1"/>
    </xf>
    <xf numFmtId="14" fontId="24" fillId="0" borderId="20" xfId="5" applyNumberFormat="1" applyFont="1" applyBorder="1" applyAlignment="1">
      <alignment horizontal="center" vertical="center" wrapText="1"/>
    </xf>
    <xf numFmtId="0" fontId="24" fillId="0" borderId="22" xfId="5" applyNumberFormat="1" applyFont="1" applyBorder="1" applyAlignment="1">
      <alignment horizontal="center" vertical="center" wrapText="1"/>
    </xf>
    <xf numFmtId="0" fontId="24" fillId="0" borderId="27" xfId="5" applyNumberFormat="1" applyFont="1" applyBorder="1" applyAlignment="1">
      <alignment horizontal="center" vertical="center" wrapText="1"/>
    </xf>
    <xf numFmtId="0" fontId="24" fillId="0" borderId="26" xfId="5" applyNumberFormat="1" applyFont="1" applyBorder="1" applyAlignment="1">
      <alignment horizontal="center" vertical="center" wrapText="1"/>
    </xf>
    <xf numFmtId="0" fontId="24" fillId="0" borderId="28" xfId="5" applyNumberFormat="1" applyFont="1" applyBorder="1" applyAlignment="1">
      <alignment horizontal="center" vertical="center" wrapText="1"/>
    </xf>
    <xf numFmtId="0" fontId="24" fillId="0" borderId="34" xfId="5" applyNumberFormat="1" applyFont="1" applyBorder="1" applyAlignment="1">
      <alignment horizontal="center" vertical="center" wrapText="1"/>
    </xf>
    <xf numFmtId="168" fontId="24" fillId="6" borderId="6" xfId="26" applyNumberFormat="1" applyFont="1" applyFill="1" applyBorder="1" applyAlignment="1">
      <alignment horizontal="center" vertical="center" wrapText="1"/>
    </xf>
    <xf numFmtId="173" fontId="28" fillId="24" borderId="14" xfId="5" applyNumberFormat="1" applyFont="1" applyFill="1" applyBorder="1" applyAlignment="1">
      <alignment horizontal="center" vertical="center" textRotation="180" wrapText="1"/>
    </xf>
    <xf numFmtId="173" fontId="28" fillId="24" borderId="15" xfId="5" applyNumberFormat="1" applyFont="1" applyFill="1" applyBorder="1" applyAlignment="1">
      <alignment horizontal="center" vertical="center" textRotation="180" wrapText="1"/>
    </xf>
    <xf numFmtId="0" fontId="24" fillId="6" borderId="58" xfId="26" applyFont="1" applyFill="1" applyBorder="1" applyAlignment="1">
      <alignment horizontal="justify" vertical="center" wrapText="1"/>
    </xf>
    <xf numFmtId="0" fontId="24" fillId="0" borderId="20" xfId="26" applyFont="1" applyBorder="1" applyAlignment="1">
      <alignment horizontal="center" vertical="center"/>
    </xf>
    <xf numFmtId="0" fontId="24" fillId="0" borderId="22" xfId="26" applyFont="1" applyBorder="1" applyAlignment="1">
      <alignment horizontal="center" vertical="center"/>
    </xf>
    <xf numFmtId="0" fontId="24" fillId="0" borderId="27" xfId="26" applyFont="1" applyBorder="1" applyAlignment="1">
      <alignment horizontal="center" vertical="center"/>
    </xf>
    <xf numFmtId="0" fontId="24" fillId="6" borderId="19" xfId="26" quotePrefix="1" applyFont="1" applyFill="1" applyBorder="1" applyAlignment="1">
      <alignment horizontal="justify" vertical="center" wrapText="1"/>
    </xf>
    <xf numFmtId="0" fontId="24" fillId="6" borderId="23" xfId="26" quotePrefix="1" applyFont="1" applyFill="1" applyBorder="1" applyAlignment="1">
      <alignment horizontal="justify" vertical="center" wrapText="1"/>
    </xf>
    <xf numFmtId="0" fontId="24" fillId="6" borderId="21" xfId="26" quotePrefix="1" applyFont="1" applyFill="1" applyBorder="1" applyAlignment="1">
      <alignment horizontal="justify" vertical="center" wrapText="1"/>
    </xf>
    <xf numFmtId="0" fontId="24" fillId="6" borderId="6" xfId="26" applyFont="1" applyFill="1" applyBorder="1" applyAlignment="1">
      <alignment horizontal="center" vertical="center" wrapText="1"/>
    </xf>
    <xf numFmtId="10" fontId="24" fillId="6" borderId="6" xfId="4" applyNumberFormat="1" applyFont="1" applyFill="1" applyBorder="1" applyAlignment="1">
      <alignment horizontal="center" vertical="center" wrapText="1"/>
    </xf>
    <xf numFmtId="0" fontId="24" fillId="6" borderId="19" xfId="26" applyFont="1" applyFill="1" applyBorder="1" applyAlignment="1">
      <alignment horizontal="justify" vertical="center" wrapText="1"/>
    </xf>
    <xf numFmtId="0" fontId="24" fillId="6" borderId="12" xfId="26" applyFont="1" applyFill="1" applyBorder="1" applyAlignment="1">
      <alignment horizontal="center" vertical="center" wrapText="1"/>
    </xf>
    <xf numFmtId="0" fontId="24" fillId="6" borderId="25" xfId="26" applyFont="1" applyFill="1" applyBorder="1" applyAlignment="1">
      <alignment horizontal="center" vertical="center" wrapText="1"/>
    </xf>
    <xf numFmtId="0" fontId="24" fillId="6" borderId="13" xfId="26" applyFont="1" applyFill="1" applyBorder="1" applyAlignment="1">
      <alignment horizontal="center" vertical="center" wrapText="1"/>
    </xf>
    <xf numFmtId="10" fontId="24" fillId="6" borderId="20" xfId="4" applyNumberFormat="1" applyFont="1" applyFill="1" applyBorder="1" applyAlignment="1">
      <alignment horizontal="center" vertical="center" wrapText="1"/>
    </xf>
    <xf numFmtId="10" fontId="24" fillId="6" borderId="22" xfId="4" applyNumberFormat="1" applyFont="1" applyFill="1" applyBorder="1" applyAlignment="1">
      <alignment horizontal="center" vertical="center" wrapText="1"/>
    </xf>
    <xf numFmtId="10" fontId="24" fillId="6" borderId="27" xfId="4" applyNumberFormat="1" applyFont="1" applyFill="1" applyBorder="1" applyAlignment="1">
      <alignment horizontal="center" vertical="center" wrapText="1"/>
    </xf>
    <xf numFmtId="0" fontId="24" fillId="6" borderId="58" xfId="26" quotePrefix="1" applyFont="1" applyFill="1" applyBorder="1" applyAlignment="1">
      <alignment horizontal="justify" vertical="center" wrapText="1"/>
    </xf>
    <xf numFmtId="0" fontId="24" fillId="6" borderId="11" xfId="26" applyFont="1" applyFill="1" applyBorder="1" applyAlignment="1">
      <alignment horizontal="center" vertical="center" wrapText="1"/>
    </xf>
    <xf numFmtId="0" fontId="24" fillId="6" borderId="9" xfId="26" applyFont="1" applyFill="1" applyBorder="1" applyAlignment="1">
      <alignment horizontal="center" vertical="center" wrapText="1"/>
    </xf>
    <xf numFmtId="0" fontId="24" fillId="6" borderId="76" xfId="26" quotePrefix="1" applyFont="1" applyFill="1" applyBorder="1" applyAlignment="1">
      <alignment horizontal="justify" vertical="center" wrapText="1"/>
    </xf>
    <xf numFmtId="0" fontId="24" fillId="6" borderId="77" xfId="26" quotePrefix="1" applyFont="1" applyFill="1" applyBorder="1" applyAlignment="1">
      <alignment horizontal="justify" vertical="center" wrapText="1"/>
    </xf>
    <xf numFmtId="0" fontId="28" fillId="0" borderId="19" xfId="26" applyFont="1" applyBorder="1" applyAlignment="1">
      <alignment horizontal="center" vertical="center" wrapText="1"/>
    </xf>
    <xf numFmtId="0" fontId="28" fillId="0" borderId="11" xfId="26" applyFont="1" applyBorder="1" applyAlignment="1">
      <alignment horizontal="center" vertical="center" wrapText="1"/>
    </xf>
    <xf numFmtId="0" fontId="28" fillId="0" borderId="23" xfId="26" applyFont="1" applyBorder="1" applyAlignment="1">
      <alignment horizontal="center" vertical="center" wrapText="1"/>
    </xf>
    <xf numFmtId="0" fontId="28" fillId="0" borderId="0" xfId="26" applyFont="1" applyAlignment="1">
      <alignment horizontal="center" vertical="center" wrapText="1"/>
    </xf>
    <xf numFmtId="0" fontId="28" fillId="0" borderId="21" xfId="26" applyFont="1" applyBorder="1" applyAlignment="1">
      <alignment horizontal="center" vertical="center" wrapText="1"/>
    </xf>
    <xf numFmtId="0" fontId="28" fillId="0" borderId="9" xfId="26" applyFont="1" applyBorder="1" applyAlignment="1">
      <alignment horizontal="center" vertical="center" wrapText="1"/>
    </xf>
    <xf numFmtId="0" fontId="24" fillId="0" borderId="6" xfId="26" applyFont="1" applyBorder="1" applyAlignment="1">
      <alignment horizontal="center" vertical="center" wrapText="1"/>
    </xf>
    <xf numFmtId="0" fontId="24" fillId="6" borderId="11" xfId="26" applyFont="1" applyFill="1" applyBorder="1" applyAlignment="1">
      <alignment horizontal="justify" vertical="center" wrapText="1"/>
    </xf>
    <xf numFmtId="0" fontId="24" fillId="6" borderId="9" xfId="26" applyFont="1" applyFill="1" applyBorder="1" applyAlignment="1">
      <alignment horizontal="justify" vertical="center" wrapText="1"/>
    </xf>
    <xf numFmtId="0" fontId="28" fillId="0" borderId="50" xfId="26" applyFont="1" applyBorder="1" applyAlignment="1">
      <alignment horizontal="center" vertical="center" wrapText="1"/>
    </xf>
    <xf numFmtId="0" fontId="24" fillId="0" borderId="51" xfId="26" applyFont="1" applyBorder="1" applyAlignment="1">
      <alignment horizontal="center" vertical="center" wrapText="1"/>
    </xf>
    <xf numFmtId="0" fontId="24" fillId="6" borderId="76" xfId="26" applyFont="1" applyFill="1" applyBorder="1" applyAlignment="1">
      <alignment horizontal="center" vertical="center" wrapText="1"/>
    </xf>
    <xf numFmtId="0" fontId="24" fillId="6" borderId="64" xfId="26" applyFont="1" applyFill="1" applyBorder="1" applyAlignment="1">
      <alignment horizontal="center" vertical="center" wrapText="1"/>
    </xf>
    <xf numFmtId="0" fontId="24" fillId="6" borderId="77" xfId="26" applyFont="1" applyFill="1" applyBorder="1" applyAlignment="1">
      <alignment horizontal="center" vertical="center" wrapText="1"/>
    </xf>
    <xf numFmtId="49" fontId="24" fillId="6" borderId="19" xfId="27" applyNumberFormat="1" applyFont="1" applyFill="1" applyBorder="1" applyAlignment="1">
      <alignment horizontal="justify" vertical="center" wrapText="1"/>
    </xf>
    <xf numFmtId="49" fontId="24" fillId="6" borderId="21" xfId="27" applyNumberFormat="1" applyFont="1" applyFill="1" applyBorder="1" applyAlignment="1">
      <alignment horizontal="justify" vertical="center" wrapText="1"/>
    </xf>
    <xf numFmtId="49" fontId="24" fillId="6" borderId="23" xfId="27" applyNumberFormat="1" applyFont="1" applyFill="1" applyBorder="1" applyAlignment="1">
      <alignment horizontal="justify" vertical="center" wrapText="1"/>
    </xf>
    <xf numFmtId="49" fontId="24" fillId="6" borderId="76" xfId="27" applyNumberFormat="1" applyFont="1" applyFill="1" applyBorder="1" applyAlignment="1">
      <alignment horizontal="justify" vertical="center" wrapText="1"/>
    </xf>
    <xf numFmtId="49" fontId="24" fillId="6" borderId="77" xfId="27" applyNumberFormat="1" applyFont="1" applyFill="1" applyBorder="1" applyAlignment="1">
      <alignment horizontal="justify" vertical="center" wrapText="1"/>
    </xf>
    <xf numFmtId="49" fontId="24" fillId="0" borderId="59" xfId="27" applyNumberFormat="1" applyFont="1" applyBorder="1" applyAlignment="1">
      <alignment horizontal="justify" vertical="center" wrapText="1"/>
    </xf>
    <xf numFmtId="49" fontId="24" fillId="0" borderId="64" xfId="27" applyNumberFormat="1" applyFont="1" applyBorder="1" applyAlignment="1">
      <alignment horizontal="justify" vertical="center" wrapText="1"/>
    </xf>
    <xf numFmtId="49" fontId="24" fillId="0" borderId="66" xfId="27" applyNumberFormat="1" applyFont="1" applyBorder="1" applyAlignment="1">
      <alignment horizontal="justify" vertical="center" wrapText="1"/>
    </xf>
    <xf numFmtId="49" fontId="24" fillId="6" borderId="64" xfId="27" applyNumberFormat="1" applyFont="1" applyFill="1" applyBorder="1" applyAlignment="1">
      <alignment horizontal="justify" vertical="center" wrapText="1"/>
    </xf>
    <xf numFmtId="49" fontId="24" fillId="0" borderId="50" xfId="27" applyNumberFormat="1" applyFont="1" applyBorder="1" applyAlignment="1">
      <alignment horizontal="justify" vertical="center" wrapText="1"/>
    </xf>
    <xf numFmtId="0" fontId="24" fillId="0" borderId="50" xfId="26" applyFont="1" applyBorder="1" applyAlignment="1">
      <alignment horizontal="justify" vertical="center" wrapText="1"/>
    </xf>
    <xf numFmtId="1" fontId="24" fillId="6" borderId="26" xfId="26" applyNumberFormat="1" applyFont="1" applyFill="1" applyBorder="1" applyAlignment="1">
      <alignment horizontal="center" vertical="center" wrapText="1"/>
    </xf>
    <xf numFmtId="1" fontId="24" fillId="6" borderId="28" xfId="26" applyNumberFormat="1" applyFont="1" applyFill="1" applyBorder="1" applyAlignment="1">
      <alignment horizontal="center" vertical="center" wrapText="1"/>
    </xf>
    <xf numFmtId="1" fontId="24" fillId="6" borderId="34" xfId="26" applyNumberFormat="1" applyFont="1" applyFill="1" applyBorder="1" applyAlignment="1">
      <alignment horizontal="center" vertical="center" wrapText="1"/>
    </xf>
    <xf numFmtId="1" fontId="24" fillId="6" borderId="20" xfId="26" applyNumberFormat="1" applyFont="1" applyFill="1" applyBorder="1" applyAlignment="1">
      <alignment horizontal="center" vertical="center" wrapText="1"/>
    </xf>
    <xf numFmtId="1" fontId="24" fillId="6" borderId="22" xfId="26" applyNumberFormat="1" applyFont="1" applyFill="1" applyBorder="1" applyAlignment="1">
      <alignment horizontal="center" vertical="center" wrapText="1"/>
    </xf>
    <xf numFmtId="1" fontId="24" fillId="6" borderId="27" xfId="26" applyNumberFormat="1" applyFont="1" applyFill="1" applyBorder="1" applyAlignment="1">
      <alignment horizontal="center" vertical="center" wrapText="1"/>
    </xf>
    <xf numFmtId="172" fontId="24" fillId="6" borderId="20" xfId="26" applyNumberFormat="1" applyFont="1" applyFill="1" applyBorder="1" applyAlignment="1">
      <alignment horizontal="center" vertical="center" wrapText="1"/>
    </xf>
    <xf numFmtId="172" fontId="24" fillId="6" borderId="22" xfId="26" applyNumberFormat="1" applyFont="1" applyFill="1" applyBorder="1" applyAlignment="1">
      <alignment horizontal="center" vertical="center" wrapText="1"/>
    </xf>
    <xf numFmtId="172" fontId="24" fillId="6" borderId="27" xfId="26" applyNumberFormat="1" applyFont="1" applyFill="1" applyBorder="1" applyAlignment="1">
      <alignment horizontal="center" vertical="center" wrapText="1"/>
    </xf>
    <xf numFmtId="0" fontId="24" fillId="6" borderId="50" xfId="26" applyFont="1" applyFill="1" applyBorder="1" applyAlignment="1">
      <alignment horizontal="center" vertical="center" wrapText="1"/>
    </xf>
    <xf numFmtId="0" fontId="24" fillId="0" borderId="56" xfId="26" applyFont="1" applyBorder="1" applyAlignment="1">
      <alignment horizontal="center" vertical="center" wrapText="1"/>
    </xf>
    <xf numFmtId="0" fontId="24" fillId="0" borderId="20" xfId="5" applyNumberFormat="1" applyFont="1" applyBorder="1" applyAlignment="1">
      <alignment horizontal="center" vertical="center" wrapText="1"/>
    </xf>
    <xf numFmtId="43" fontId="24" fillId="24" borderId="6" xfId="5" applyFont="1" applyFill="1" applyBorder="1" applyAlignment="1">
      <alignment horizontal="center" vertical="center"/>
    </xf>
    <xf numFmtId="168" fontId="24" fillId="0" borderId="6" xfId="26" applyNumberFormat="1" applyFont="1" applyBorder="1" applyAlignment="1">
      <alignment horizontal="center" vertical="center" wrapText="1"/>
    </xf>
    <xf numFmtId="3" fontId="24" fillId="0" borderId="26" xfId="26" applyNumberFormat="1" applyFont="1" applyBorder="1" applyAlignment="1">
      <alignment horizontal="center" vertical="center" wrapText="1"/>
    </xf>
    <xf numFmtId="3" fontId="24" fillId="0" borderId="28" xfId="26" applyNumberFormat="1" applyFont="1" applyBorder="1" applyAlignment="1">
      <alignment horizontal="center" vertical="center" wrapText="1"/>
    </xf>
    <xf numFmtId="3" fontId="24" fillId="0" borderId="34" xfId="26" applyNumberFormat="1" applyFont="1" applyBorder="1" applyAlignment="1">
      <alignment horizontal="center" vertical="center" wrapText="1"/>
    </xf>
    <xf numFmtId="0" fontId="24" fillId="6" borderId="12" xfId="26" applyFont="1" applyFill="1" applyBorder="1" applyAlignment="1">
      <alignment horizontal="justify" vertical="center" wrapText="1"/>
    </xf>
    <xf numFmtId="0" fontId="24" fillId="6" borderId="25" xfId="26" applyFont="1" applyFill="1" applyBorder="1" applyAlignment="1">
      <alignment horizontal="justify" vertical="center" wrapText="1"/>
    </xf>
    <xf numFmtId="0" fontId="24" fillId="6" borderId="13" xfId="26" applyFont="1" applyFill="1" applyBorder="1" applyAlignment="1">
      <alignment horizontal="justify" vertical="center" wrapText="1"/>
    </xf>
    <xf numFmtId="0" fontId="24" fillId="0" borderId="12" xfId="26" applyFont="1" applyBorder="1" applyAlignment="1">
      <alignment horizontal="center" vertical="center" wrapText="1"/>
    </xf>
    <xf numFmtId="0" fontId="24" fillId="0" borderId="25" xfId="26" applyFont="1" applyBorder="1" applyAlignment="1">
      <alignment horizontal="center" vertical="center" wrapText="1"/>
    </xf>
    <xf numFmtId="0" fontId="24" fillId="0" borderId="13" xfId="26" applyFont="1" applyBorder="1" applyAlignment="1">
      <alignment horizontal="center" vertical="center" wrapText="1"/>
    </xf>
    <xf numFmtId="9" fontId="24" fillId="0" borderId="22" xfId="4" applyFont="1" applyBorder="1" applyAlignment="1">
      <alignment horizontal="center" vertical="center" wrapText="1"/>
    </xf>
    <xf numFmtId="9" fontId="24" fillId="0" borderId="27" xfId="4" applyFont="1" applyBorder="1" applyAlignment="1">
      <alignment horizontal="center" vertical="center" wrapText="1"/>
    </xf>
    <xf numFmtId="43" fontId="24" fillId="6" borderId="19" xfId="5" applyFont="1" applyFill="1" applyBorder="1" applyAlignment="1">
      <alignment horizontal="center" vertical="center" wrapText="1"/>
    </xf>
    <xf numFmtId="43" fontId="24" fillId="6" borderId="23" xfId="5" applyFont="1" applyFill="1" applyBorder="1" applyAlignment="1">
      <alignment horizontal="center" vertical="center" wrapText="1"/>
    </xf>
    <xf numFmtId="43" fontId="24" fillId="6" borderId="21" xfId="5" applyFont="1" applyFill="1" applyBorder="1" applyAlignment="1">
      <alignment horizontal="center" vertical="center" wrapText="1"/>
    </xf>
    <xf numFmtId="168" fontId="24" fillId="0" borderId="20" xfId="26" applyNumberFormat="1" applyFont="1" applyBorder="1" applyAlignment="1">
      <alignment horizontal="center" vertical="center" wrapText="1"/>
    </xf>
    <xf numFmtId="168" fontId="24" fillId="0" borderId="22" xfId="26" applyNumberFormat="1" applyFont="1" applyBorder="1" applyAlignment="1">
      <alignment horizontal="center" vertical="center" wrapText="1"/>
    </xf>
    <xf numFmtId="49" fontId="24" fillId="0" borderId="54" xfId="27" applyNumberFormat="1" applyFont="1" applyBorder="1" applyAlignment="1">
      <alignment horizontal="justify" vertical="center" wrapText="1"/>
    </xf>
    <xf numFmtId="49" fontId="24" fillId="0" borderId="55" xfId="27" applyNumberFormat="1" applyFont="1" applyBorder="1" applyAlignment="1">
      <alignment horizontal="justify" vertical="center" wrapText="1"/>
    </xf>
    <xf numFmtId="49" fontId="24" fillId="0" borderId="53" xfId="27" applyNumberFormat="1" applyFont="1" applyBorder="1" applyAlignment="1">
      <alignment horizontal="justify" vertical="center" wrapText="1"/>
    </xf>
    <xf numFmtId="43" fontId="24" fillId="0" borderId="54" xfId="1" applyFont="1" applyFill="1" applyBorder="1" applyAlignment="1">
      <alignment horizontal="center" vertical="center"/>
    </xf>
    <xf numFmtId="43" fontId="24" fillId="0" borderId="53" xfId="1" applyFont="1" applyFill="1" applyBorder="1" applyAlignment="1">
      <alignment horizontal="center" vertical="center"/>
    </xf>
    <xf numFmtId="1" fontId="24" fillId="0" borderId="59" xfId="26" applyNumberFormat="1" applyFont="1" applyBorder="1" applyAlignment="1">
      <alignment horizontal="center" vertical="center" wrapText="1"/>
    </xf>
    <xf numFmtId="1" fontId="24" fillId="0" borderId="66" xfId="26" applyNumberFormat="1" applyFont="1" applyBorder="1" applyAlignment="1">
      <alignment horizontal="center" vertical="center" wrapText="1"/>
    </xf>
    <xf numFmtId="49" fontId="24" fillId="0" borderId="22" xfId="27" applyNumberFormat="1" applyFont="1" applyBorder="1" applyAlignment="1">
      <alignment horizontal="justify" vertical="center" wrapText="1"/>
    </xf>
    <xf numFmtId="49" fontId="24" fillId="0" borderId="27" xfId="27" applyNumberFormat="1" applyFont="1" applyBorder="1" applyAlignment="1">
      <alignment horizontal="justify" vertical="center" wrapText="1"/>
    </xf>
    <xf numFmtId="49" fontId="24" fillId="0" borderId="20" xfId="27" applyNumberFormat="1" applyFont="1" applyBorder="1" applyAlignment="1">
      <alignment horizontal="justify" vertical="center" wrapText="1"/>
    </xf>
    <xf numFmtId="9" fontId="24" fillId="0" borderId="50" xfId="4" applyFont="1" applyBorder="1" applyAlignment="1">
      <alignment horizontal="center" vertical="center" wrapText="1"/>
    </xf>
    <xf numFmtId="9" fontId="24" fillId="0" borderId="54" xfId="4" applyFont="1" applyBorder="1" applyAlignment="1">
      <alignment horizontal="center" vertical="center" wrapText="1"/>
    </xf>
    <xf numFmtId="43" fontId="24" fillId="6" borderId="12" xfId="5" applyFont="1" applyFill="1" applyBorder="1" applyAlignment="1">
      <alignment horizontal="center" vertical="center" wrapText="1"/>
    </xf>
    <xf numFmtId="43" fontId="24" fillId="6" borderId="25" xfId="5" applyFont="1" applyFill="1" applyBorder="1" applyAlignment="1">
      <alignment horizontal="center" vertical="center" wrapText="1"/>
    </xf>
    <xf numFmtId="0" fontId="24" fillId="0" borderId="23" xfId="26" applyFont="1" applyBorder="1" applyAlignment="1">
      <alignment horizontal="justify" vertical="center" wrapText="1"/>
    </xf>
    <xf numFmtId="49" fontId="24" fillId="0" borderId="23" xfId="27" applyNumberFormat="1" applyFont="1" applyBorder="1" applyAlignment="1">
      <alignment horizontal="justify" vertical="center" wrapText="1"/>
    </xf>
    <xf numFmtId="49" fontId="24" fillId="6" borderId="20" xfId="27" applyNumberFormat="1" applyFont="1" applyFill="1" applyBorder="1" applyAlignment="1">
      <alignment horizontal="justify" vertical="center" wrapText="1"/>
    </xf>
    <xf numFmtId="49" fontId="24" fillId="6" borderId="27" xfId="27" applyNumberFormat="1" applyFont="1" applyFill="1" applyBorder="1" applyAlignment="1">
      <alignment horizontal="justify" vertical="center" wrapText="1"/>
    </xf>
    <xf numFmtId="0" fontId="24" fillId="0" borderId="19" xfId="26" applyFont="1" applyBorder="1" applyAlignment="1">
      <alignment horizontal="center" vertical="center" wrapText="1"/>
    </xf>
    <xf numFmtId="0" fontId="24" fillId="0" borderId="23" xfId="26" applyFont="1" applyBorder="1" applyAlignment="1">
      <alignment horizontal="center" vertical="center" wrapText="1"/>
    </xf>
    <xf numFmtId="0" fontId="24" fillId="0" borderId="21" xfId="26" applyFont="1" applyBorder="1" applyAlignment="1">
      <alignment horizontal="center" vertical="center" wrapText="1"/>
    </xf>
    <xf numFmtId="0" fontId="24" fillId="6" borderId="54" xfId="26" applyFont="1" applyFill="1" applyBorder="1" applyAlignment="1">
      <alignment horizontal="center" vertical="center" wrapText="1"/>
    </xf>
    <xf numFmtId="0" fontId="24" fillId="6" borderId="55" xfId="26" applyFont="1" applyFill="1" applyBorder="1" applyAlignment="1">
      <alignment horizontal="center" vertical="center" wrapText="1"/>
    </xf>
    <xf numFmtId="0" fontId="24" fillId="0" borderId="12" xfId="5" applyNumberFormat="1" applyFont="1" applyBorder="1" applyAlignment="1">
      <alignment horizontal="center" vertical="center" wrapText="1"/>
    </xf>
    <xf numFmtId="0" fontId="24" fillId="0" borderId="25" xfId="5" applyNumberFormat="1" applyFont="1" applyBorder="1" applyAlignment="1">
      <alignment horizontal="center" vertical="center" wrapText="1"/>
    </xf>
    <xf numFmtId="0" fontId="24" fillId="0" borderId="13" xfId="5" applyNumberFormat="1" applyFont="1" applyBorder="1" applyAlignment="1">
      <alignment horizontal="center" vertical="center" wrapText="1"/>
    </xf>
    <xf numFmtId="9" fontId="24" fillId="6" borderId="6" xfId="4" applyFont="1" applyFill="1" applyBorder="1" applyAlignment="1">
      <alignment horizontal="center" vertical="center" wrapText="1"/>
    </xf>
    <xf numFmtId="0" fontId="24" fillId="0" borderId="20" xfId="26" applyFont="1" applyFill="1" applyBorder="1" applyAlignment="1">
      <alignment horizontal="center" vertical="center" wrapText="1"/>
    </xf>
    <xf numFmtId="0" fontId="24" fillId="0" borderId="22" xfId="26" applyFont="1" applyFill="1" applyBorder="1" applyAlignment="1">
      <alignment horizontal="center" vertical="center" wrapText="1"/>
    </xf>
    <xf numFmtId="0" fontId="24" fillId="0" borderId="27" xfId="26" applyFont="1" applyFill="1" applyBorder="1" applyAlignment="1">
      <alignment horizontal="center" vertical="center" wrapText="1"/>
    </xf>
    <xf numFmtId="0" fontId="24" fillId="6" borderId="20" xfId="26" applyFont="1" applyFill="1" applyBorder="1" applyAlignment="1">
      <alignment horizontal="justify" vertical="top" wrapText="1"/>
    </xf>
    <xf numFmtId="0" fontId="24" fillId="6" borderId="27" xfId="26" applyFont="1" applyFill="1" applyBorder="1" applyAlignment="1">
      <alignment horizontal="justify" vertical="top" wrapText="1"/>
    </xf>
    <xf numFmtId="0" fontId="24" fillId="6" borderId="20" xfId="5" applyNumberFormat="1" applyFont="1" applyFill="1" applyBorder="1" applyAlignment="1">
      <alignment horizontal="center" vertical="center" wrapText="1"/>
    </xf>
    <xf numFmtId="0" fontId="24" fillId="6" borderId="22" xfId="5" applyNumberFormat="1" applyFont="1" applyFill="1" applyBorder="1" applyAlignment="1">
      <alignment horizontal="center" vertical="center" wrapText="1"/>
    </xf>
    <xf numFmtId="0" fontId="24" fillId="6" borderId="27" xfId="5" applyNumberFormat="1" applyFont="1" applyFill="1" applyBorder="1" applyAlignment="1">
      <alignment horizontal="center" vertical="center" wrapText="1"/>
    </xf>
    <xf numFmtId="173" fontId="24" fillId="0" borderId="20" xfId="5" applyNumberFormat="1" applyFont="1" applyBorder="1" applyAlignment="1">
      <alignment horizontal="center" vertical="center" wrapText="1"/>
    </xf>
    <xf numFmtId="173" fontId="24" fillId="0" borderId="22" xfId="5" applyNumberFormat="1" applyFont="1" applyBorder="1" applyAlignment="1">
      <alignment horizontal="center" vertical="center" wrapText="1"/>
    </xf>
    <xf numFmtId="173" fontId="24" fillId="0" borderId="27" xfId="5" applyNumberFormat="1" applyFont="1" applyBorder="1" applyAlignment="1">
      <alignment horizontal="center" vertical="center" wrapText="1"/>
    </xf>
    <xf numFmtId="0" fontId="24" fillId="0" borderId="10" xfId="26" applyFont="1" applyBorder="1" applyAlignment="1">
      <alignment horizontal="center"/>
    </xf>
    <xf numFmtId="0" fontId="24" fillId="0" borderId="11" xfId="26" applyFont="1" applyBorder="1" applyAlignment="1">
      <alignment horizontal="center"/>
    </xf>
    <xf numFmtId="0" fontId="24" fillId="0" borderId="12" xfId="26" applyFont="1" applyBorder="1" applyAlignment="1">
      <alignment horizontal="center"/>
    </xf>
    <xf numFmtId="0" fontId="28" fillId="12" borderId="6"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28" fillId="12" borderId="0" xfId="0" applyFont="1" applyFill="1" applyAlignment="1">
      <alignment horizontal="center" vertical="center" wrapText="1"/>
    </xf>
    <xf numFmtId="0" fontId="28" fillId="12" borderId="9" xfId="0" applyFont="1" applyFill="1" applyBorder="1" applyAlignment="1">
      <alignment horizontal="center" vertical="center" wrapText="1"/>
    </xf>
    <xf numFmtId="3" fontId="35" fillId="4" borderId="14" xfId="0" applyNumberFormat="1" applyFont="1" applyFill="1" applyBorder="1" applyAlignment="1">
      <alignment horizontal="center" vertical="center" wrapText="1"/>
    </xf>
    <xf numFmtId="3" fontId="35" fillId="4" borderId="15" xfId="0" applyNumberFormat="1" applyFont="1" applyFill="1" applyBorder="1" applyAlignment="1">
      <alignment horizontal="center" vertical="center" wrapText="1"/>
    </xf>
    <xf numFmtId="0" fontId="35" fillId="12" borderId="6" xfId="0" applyFont="1" applyFill="1" applyBorder="1" applyAlignment="1">
      <alignment horizontal="center" vertical="center" wrapText="1"/>
    </xf>
    <xf numFmtId="0" fontId="35" fillId="12" borderId="19" xfId="0" applyFont="1" applyFill="1" applyBorder="1" applyAlignment="1">
      <alignment horizontal="center" vertical="center" wrapText="1"/>
    </xf>
    <xf numFmtId="0" fontId="35" fillId="12" borderId="2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3" xfId="0" applyFont="1" applyBorder="1" applyAlignment="1">
      <alignment horizontal="center" vertical="center"/>
    </xf>
    <xf numFmtId="0" fontId="28" fillId="0" borderId="19" xfId="0" applyFont="1" applyBorder="1" applyAlignment="1">
      <alignment horizontal="center" vertical="center"/>
    </xf>
    <xf numFmtId="0" fontId="28" fillId="0" borderId="36" xfId="0" applyFont="1" applyBorder="1" applyAlignment="1">
      <alignment horizontal="center" vertical="center"/>
    </xf>
    <xf numFmtId="0" fontId="28" fillId="0" borderId="23" xfId="0" applyFont="1" applyBorder="1" applyAlignment="1">
      <alignment horizontal="center" vertical="center"/>
    </xf>
    <xf numFmtId="0" fontId="28" fillId="0" borderId="0" xfId="0" applyFont="1" applyAlignment="1">
      <alignment horizontal="center" vertical="center"/>
    </xf>
    <xf numFmtId="0" fontId="28" fillId="0" borderId="40" xfId="0" applyFont="1" applyBorder="1" applyAlignment="1">
      <alignment horizontal="center" vertical="center"/>
    </xf>
    <xf numFmtId="0" fontId="35" fillId="4" borderId="19" xfId="0" applyFont="1" applyFill="1" applyBorder="1" applyAlignment="1">
      <alignment horizontal="center" vertical="center" textRotation="90" wrapText="1"/>
    </xf>
    <xf numFmtId="0" fontId="35" fillId="4" borderId="21" xfId="0" applyFont="1" applyFill="1" applyBorder="1" applyAlignment="1">
      <alignment horizontal="center" vertical="center" textRotation="90" wrapText="1"/>
    </xf>
    <xf numFmtId="168" fontId="35" fillId="12" borderId="19" xfId="0" applyNumberFormat="1" applyFont="1" applyFill="1" applyBorder="1" applyAlignment="1">
      <alignment horizontal="center" vertical="center" wrapText="1"/>
    </xf>
    <xf numFmtId="168" fontId="35" fillId="12" borderId="21" xfId="0" applyNumberFormat="1" applyFont="1" applyFill="1" applyBorder="1" applyAlignment="1">
      <alignment horizontal="center" vertical="center" wrapText="1"/>
    </xf>
    <xf numFmtId="168" fontId="35" fillId="12" borderId="23" xfId="0" applyNumberFormat="1" applyFont="1" applyFill="1" applyBorder="1" applyAlignment="1">
      <alignment horizontal="center" vertical="center" wrapText="1"/>
    </xf>
    <xf numFmtId="3" fontId="28" fillId="12" borderId="26" xfId="0" applyNumberFormat="1" applyFont="1" applyFill="1" applyBorder="1" applyAlignment="1">
      <alignment horizontal="center" vertical="center" wrapText="1"/>
    </xf>
    <xf numFmtId="3" fontId="28" fillId="12" borderId="28" xfId="0" applyNumberFormat="1" applyFont="1" applyFill="1" applyBorder="1" applyAlignment="1">
      <alignment horizontal="center" vertical="center" wrapText="1"/>
    </xf>
    <xf numFmtId="0" fontId="35" fillId="4" borderId="6" xfId="0" applyFont="1" applyFill="1" applyBorder="1" applyAlignment="1">
      <alignment horizontal="center" vertical="center"/>
    </xf>
    <xf numFmtId="168" fontId="10" fillId="0" borderId="20" xfId="0" applyNumberFormat="1" applyFont="1" applyBorder="1" applyAlignment="1">
      <alignment horizontal="center" vertical="center" wrapText="1"/>
    </xf>
    <xf numFmtId="168" fontId="10" fillId="0" borderId="27" xfId="0" applyNumberFormat="1" applyFont="1" applyBorder="1" applyAlignment="1">
      <alignment horizontal="center" vertical="center" wrapText="1"/>
    </xf>
    <xf numFmtId="3" fontId="25" fillId="0" borderId="20" xfId="0" applyNumberFormat="1" applyFont="1" applyBorder="1" applyAlignment="1">
      <alignment horizontal="center" vertical="center" wrapText="1"/>
    </xf>
    <xf numFmtId="3" fontId="25" fillId="0" borderId="22" xfId="0" applyNumberFormat="1" applyFont="1" applyBorder="1" applyAlignment="1">
      <alignment horizontal="center" vertical="center"/>
    </xf>
    <xf numFmtId="3" fontId="10" fillId="0" borderId="27" xfId="0" applyNumberFormat="1" applyFont="1" applyBorder="1" applyAlignment="1">
      <alignment horizontal="center" vertical="center"/>
    </xf>
    <xf numFmtId="0" fontId="10" fillId="0" borderId="20" xfId="0" applyFont="1" applyBorder="1" applyAlignment="1">
      <alignment horizontal="center" vertical="center" wrapText="1"/>
    </xf>
    <xf numFmtId="9" fontId="8" fillId="0" borderId="20" xfId="6" applyFont="1" applyBorder="1" applyAlignment="1">
      <alignment horizontal="center" vertical="center" wrapText="1"/>
    </xf>
    <xf numFmtId="9" fontId="8" fillId="0" borderId="27" xfId="6" applyFont="1" applyBorder="1" applyAlignment="1">
      <alignment horizontal="center" vertical="center" wrapText="1"/>
    </xf>
    <xf numFmtId="43" fontId="10" fillId="0" borderId="20" xfId="7" applyFont="1" applyBorder="1" applyAlignment="1">
      <alignment horizontal="center" vertical="center" wrapText="1"/>
    </xf>
    <xf numFmtId="43" fontId="10" fillId="0" borderId="27" xfId="7" applyFont="1" applyBorder="1" applyAlignment="1">
      <alignment horizontal="center" vertical="center" wrapText="1"/>
    </xf>
    <xf numFmtId="3" fontId="10" fillId="0" borderId="20" xfId="0" applyNumberFormat="1" applyFont="1" applyBorder="1" applyAlignment="1">
      <alignment horizontal="justify" vertical="center" wrapText="1"/>
    </xf>
    <xf numFmtId="3" fontId="10" fillId="0" borderId="27" xfId="0" applyNumberFormat="1" applyFont="1" applyBorder="1" applyAlignment="1">
      <alignment horizontal="justify" vertical="center" wrapText="1"/>
    </xf>
    <xf numFmtId="0" fontId="10" fillId="0" borderId="27" xfId="0" applyFont="1" applyBorder="1" applyAlignment="1">
      <alignment horizontal="center" vertical="center" wrapText="1"/>
    </xf>
    <xf numFmtId="0" fontId="10" fillId="0" borderId="27" xfId="0" applyFont="1" applyBorder="1" applyAlignment="1">
      <alignment horizontal="justify" vertical="center" wrapText="1"/>
    </xf>
    <xf numFmtId="0" fontId="10" fillId="6" borderId="20" xfId="0" applyFont="1" applyFill="1" applyBorder="1" applyAlignment="1">
      <alignment horizontal="center" vertical="center" wrapText="1"/>
    </xf>
    <xf numFmtId="0" fontId="10" fillId="6" borderId="27" xfId="0" applyFont="1" applyFill="1" applyBorder="1" applyAlignment="1">
      <alignment horizontal="center" vertical="center" wrapText="1"/>
    </xf>
    <xf numFmtId="10" fontId="8" fillId="0" borderId="6" xfId="6" applyNumberFormat="1" applyFont="1" applyBorder="1" applyAlignment="1">
      <alignment horizontal="center" vertical="center" wrapText="1"/>
    </xf>
    <xf numFmtId="10" fontId="8" fillId="0" borderId="20" xfId="6" applyNumberFormat="1" applyFont="1" applyBorder="1" applyAlignment="1">
      <alignment horizontal="center" vertical="center" wrapText="1"/>
    </xf>
    <xf numFmtId="4" fontId="10" fillId="6" borderId="6" xfId="7" applyNumberFormat="1" applyFont="1" applyFill="1" applyBorder="1" applyAlignment="1">
      <alignment horizontal="right" vertical="center" wrapText="1"/>
    </xf>
    <xf numFmtId="4" fontId="10" fillId="6" borderId="20" xfId="7" applyNumberFormat="1" applyFont="1" applyFill="1" applyBorder="1" applyAlignment="1">
      <alignment horizontal="right" vertical="center" wrapText="1"/>
    </xf>
    <xf numFmtId="0" fontId="8" fillId="0" borderId="50" xfId="0" applyFont="1" applyBorder="1" applyAlignment="1">
      <alignment horizontal="justify" vertical="center" wrapText="1"/>
    </xf>
    <xf numFmtId="3" fontId="10" fillId="0" borderId="26" xfId="0" applyNumberFormat="1" applyFont="1" applyBorder="1" applyAlignment="1">
      <alignment horizontal="center" vertical="center" wrapText="1"/>
    </xf>
    <xf numFmtId="3" fontId="10" fillId="0" borderId="16" xfId="0" applyNumberFormat="1" applyFont="1" applyBorder="1" applyAlignment="1">
      <alignment horizontal="center" vertical="center"/>
    </xf>
    <xf numFmtId="3" fontId="10" fillId="0" borderId="12" xfId="0" applyNumberFormat="1" applyFont="1" applyBorder="1" applyAlignment="1">
      <alignment horizontal="center" vertical="center"/>
    </xf>
    <xf numFmtId="0" fontId="10" fillId="0" borderId="20" xfId="0" applyFont="1" applyBorder="1" applyAlignment="1">
      <alignment horizontal="justify" vertical="center" wrapText="1" readingOrder="2"/>
    </xf>
    <xf numFmtId="0" fontId="10" fillId="0" borderId="22" xfId="0" applyFont="1" applyBorder="1" applyAlignment="1">
      <alignment horizontal="justify" vertical="center" wrapText="1" readingOrder="2"/>
    </xf>
    <xf numFmtId="0" fontId="10" fillId="0" borderId="23" xfId="0" applyFont="1" applyBorder="1" applyAlignment="1">
      <alignment horizontal="justify" vertical="center" wrapText="1" readingOrder="2"/>
    </xf>
    <xf numFmtId="168" fontId="10" fillId="0" borderId="22" xfId="0" applyNumberFormat="1" applyFont="1" applyBorder="1" applyAlignment="1">
      <alignment horizontal="center" vertical="center" wrapText="1"/>
    </xf>
    <xf numFmtId="3" fontId="10" fillId="0" borderId="50" xfId="0" applyNumberFormat="1" applyFont="1" applyBorder="1" applyAlignment="1">
      <alignment horizontal="center" vertical="center"/>
    </xf>
    <xf numFmtId="168" fontId="10" fillId="0" borderId="50" xfId="0" applyNumberFormat="1" applyFont="1" applyBorder="1" applyAlignment="1">
      <alignment horizontal="center" vertical="center" wrapText="1"/>
    </xf>
    <xf numFmtId="3" fontId="10" fillId="0" borderId="50" xfId="0" applyNumberFormat="1" applyFont="1" applyBorder="1" applyAlignment="1">
      <alignment horizontal="center" vertical="center" wrapText="1"/>
    </xf>
    <xf numFmtId="0" fontId="10" fillId="0" borderId="50" xfId="0" applyFont="1" applyBorder="1" applyAlignment="1">
      <alignment horizontal="center" vertical="center" wrapText="1"/>
    </xf>
    <xf numFmtId="0" fontId="10" fillId="0" borderId="50" xfId="0" applyFont="1" applyBorder="1" applyAlignment="1">
      <alignment horizontal="justify" vertical="center" wrapText="1"/>
    </xf>
    <xf numFmtId="10" fontId="8" fillId="0" borderId="50" xfId="6" applyNumberFormat="1" applyFont="1" applyBorder="1" applyAlignment="1">
      <alignment horizontal="center" vertical="center" wrapText="1"/>
    </xf>
    <xf numFmtId="43" fontId="10" fillId="0" borderId="50" xfId="7" applyFont="1"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19" xfId="0" applyFont="1" applyBorder="1" applyAlignment="1">
      <alignment horizontal="center" vertical="center" textRotation="94" wrapText="1"/>
    </xf>
    <xf numFmtId="0" fontId="22" fillId="0" borderId="23" xfId="0" applyFont="1" applyBorder="1" applyAlignment="1">
      <alignment horizontal="center" vertical="center" textRotation="94" wrapText="1"/>
    </xf>
    <xf numFmtId="14" fontId="22" fillId="0" borderId="21" xfId="0" applyNumberFormat="1" applyFont="1" applyBorder="1" applyAlignment="1">
      <alignment horizontal="center" vertical="center"/>
    </xf>
    <xf numFmtId="0" fontId="24" fillId="6" borderId="20" xfId="0" applyFont="1" applyFill="1" applyBorder="1" applyAlignment="1">
      <alignment horizontal="center" vertical="center" wrapText="1"/>
    </xf>
    <xf numFmtId="0" fontId="24" fillId="6" borderId="27" xfId="0" applyFont="1" applyFill="1" applyBorder="1" applyAlignment="1">
      <alignment horizontal="center" vertical="center" wrapText="1"/>
    </xf>
    <xf numFmtId="0" fontId="22" fillId="6" borderId="20" xfId="0" applyFont="1" applyFill="1" applyBorder="1" applyAlignment="1">
      <alignment vertical="center" wrapText="1"/>
    </xf>
    <xf numFmtId="0" fontId="22" fillId="6" borderId="27" xfId="0" applyFont="1" applyFill="1" applyBorder="1" applyAlignment="1">
      <alignment vertical="center" wrapText="1"/>
    </xf>
    <xf numFmtId="43" fontId="22" fillId="6" borderId="22" xfId="1" applyFont="1" applyFill="1" applyBorder="1" applyAlignment="1">
      <alignment horizontal="center" vertical="center" wrapText="1"/>
    </xf>
    <xf numFmtId="173" fontId="4" fillId="0" borderId="19" xfId="1" applyNumberFormat="1" applyFont="1" applyBorder="1" applyAlignment="1">
      <alignment horizontal="center" vertical="center"/>
    </xf>
    <xf numFmtId="173" fontId="4" fillId="0" borderId="23" xfId="1" applyNumberFormat="1" applyFont="1" applyBorder="1" applyAlignment="1">
      <alignment horizontal="center" vertical="center"/>
    </xf>
    <xf numFmtId="1" fontId="22" fillId="6" borderId="26" xfId="0" applyNumberFormat="1" applyFont="1" applyFill="1" applyBorder="1" applyAlignment="1">
      <alignment horizontal="center" vertical="center" wrapText="1"/>
    </xf>
    <xf numFmtId="1" fontId="22" fillId="6" borderId="34" xfId="0" applyNumberFormat="1" applyFont="1" applyFill="1" applyBorder="1" applyAlignment="1">
      <alignment horizontal="center" vertical="center" wrapText="1"/>
    </xf>
    <xf numFmtId="1" fontId="22" fillId="6" borderId="20" xfId="0" applyNumberFormat="1" applyFont="1" applyFill="1" applyBorder="1" applyAlignment="1">
      <alignment horizontal="justify" vertical="center" wrapText="1"/>
    </xf>
    <xf numFmtId="1" fontId="22" fillId="6" borderId="27" xfId="0" applyNumberFormat="1" applyFont="1" applyFill="1" applyBorder="1" applyAlignment="1">
      <alignment horizontal="justify" vertical="center" wrapText="1"/>
    </xf>
    <xf numFmtId="14" fontId="22" fillId="6" borderId="20" xfId="0" applyNumberFormat="1" applyFont="1" applyFill="1" applyBorder="1" applyAlignment="1">
      <alignment horizontal="center" vertical="center"/>
    </xf>
    <xf numFmtId="1" fontId="22" fillId="6" borderId="27" xfId="0" applyNumberFormat="1" applyFont="1" applyFill="1" applyBorder="1" applyAlignment="1">
      <alignment horizontal="center" vertical="center"/>
    </xf>
    <xf numFmtId="3" fontId="22" fillId="6" borderId="20" xfId="0" applyNumberFormat="1" applyFont="1" applyFill="1" applyBorder="1" applyAlignment="1">
      <alignment horizontal="justify" vertical="center" wrapText="1"/>
    </xf>
    <xf numFmtId="3" fontId="22" fillId="6" borderId="22" xfId="0" applyNumberFormat="1" applyFont="1" applyFill="1" applyBorder="1" applyAlignment="1">
      <alignment horizontal="justify" vertical="center" wrapText="1"/>
    </xf>
    <xf numFmtId="3" fontId="22" fillId="6" borderId="27" xfId="0" applyNumberFormat="1" applyFont="1" applyFill="1" applyBorder="1" applyAlignment="1">
      <alignment horizontal="justify" vertical="center" wrapText="1"/>
    </xf>
    <xf numFmtId="1" fontId="22" fillId="6" borderId="28" xfId="0" applyNumberFormat="1" applyFont="1" applyFill="1" applyBorder="1" applyAlignment="1">
      <alignment horizontal="center" vertical="center" wrapText="1"/>
    </xf>
    <xf numFmtId="14" fontId="22" fillId="6" borderId="2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4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3" fillId="0" borderId="10"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xf>
    <xf numFmtId="1" fontId="23" fillId="12" borderId="35" xfId="0" applyNumberFormat="1" applyFont="1" applyFill="1" applyBorder="1" applyAlignment="1">
      <alignment horizontal="center" vertical="center" wrapText="1"/>
    </xf>
    <xf numFmtId="1" fontId="23" fillId="12" borderId="37" xfId="0" applyNumberFormat="1" applyFont="1" applyFill="1" applyBorder="1" applyAlignment="1">
      <alignment horizontal="center" vertical="center" wrapText="1"/>
    </xf>
    <xf numFmtId="3" fontId="23" fillId="12" borderId="26" xfId="0" applyNumberFormat="1" applyFont="1" applyFill="1" applyBorder="1" applyAlignment="1">
      <alignment horizontal="center" vertical="center" wrapText="1"/>
    </xf>
    <xf numFmtId="3" fontId="23" fillId="12" borderId="28" xfId="0" applyNumberFormat="1" applyFont="1" applyFill="1" applyBorder="1" applyAlignment="1">
      <alignment horizontal="center" vertical="center" wrapText="1"/>
    </xf>
    <xf numFmtId="1" fontId="23" fillId="12" borderId="20" xfId="0" applyNumberFormat="1" applyFont="1" applyFill="1" applyBorder="1" applyAlignment="1">
      <alignment horizontal="center" vertical="center" wrapText="1"/>
    </xf>
    <xf numFmtId="1" fontId="23" fillId="12" borderId="27" xfId="0" applyNumberFormat="1" applyFont="1" applyFill="1" applyBorder="1" applyAlignment="1">
      <alignment horizontal="center" vertical="center" wrapText="1"/>
    </xf>
    <xf numFmtId="0" fontId="22" fillId="6" borderId="0" xfId="0" applyFont="1" applyFill="1" applyAlignment="1">
      <alignment horizontal="center" vertical="center" wrapText="1"/>
    </xf>
    <xf numFmtId="0" fontId="22" fillId="0" borderId="34" xfId="0" applyFont="1" applyBorder="1" applyAlignment="1">
      <alignment horizontal="center" vertical="center" wrapText="1"/>
    </xf>
    <xf numFmtId="0" fontId="22" fillId="6" borderId="50" xfId="0" applyFont="1" applyFill="1" applyBorder="1" applyAlignment="1">
      <alignment horizontal="justify" vertical="center" wrapText="1"/>
    </xf>
    <xf numFmtId="0" fontId="22" fillId="0" borderId="50" xfId="0" applyFont="1" applyBorder="1" applyAlignment="1">
      <alignment horizontal="justify" vertical="center" wrapText="1"/>
    </xf>
    <xf numFmtId="0" fontId="22" fillId="6" borderId="50" xfId="0" applyFont="1" applyFill="1" applyBorder="1" applyAlignment="1">
      <alignment horizontal="justify" vertical="top" wrapText="1"/>
    </xf>
    <xf numFmtId="9" fontId="22" fillId="6" borderId="50" xfId="0" applyNumberFormat="1" applyFont="1" applyFill="1" applyBorder="1" applyAlignment="1">
      <alignment horizontal="center" vertical="center" wrapText="1"/>
    </xf>
    <xf numFmtId="43" fontId="22" fillId="6" borderId="50" xfId="1" applyFont="1" applyFill="1" applyBorder="1" applyAlignment="1">
      <alignment horizontal="center" vertical="center" wrapText="1"/>
    </xf>
    <xf numFmtId="0" fontId="22" fillId="6" borderId="12" xfId="0" applyFont="1" applyFill="1" applyBorder="1" applyAlignment="1">
      <alignment horizontal="justify" vertical="center" wrapText="1"/>
    </xf>
    <xf numFmtId="0" fontId="22" fillId="6" borderId="25" xfId="0" applyFont="1" applyFill="1" applyBorder="1" applyAlignment="1">
      <alignment horizontal="justify" vertical="center" wrapText="1"/>
    </xf>
    <xf numFmtId="0" fontId="22" fillId="6" borderId="19" xfId="0" applyFont="1" applyFill="1" applyBorder="1" applyAlignment="1">
      <alignment horizontal="justify" vertical="center" wrapText="1"/>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3" fillId="0" borderId="2" xfId="0" applyFont="1" applyBorder="1" applyAlignment="1">
      <alignment horizontal="left" vertical="top" wrapText="1"/>
    </xf>
    <xf numFmtId="0" fontId="23" fillId="0" borderId="0" xfId="0" applyFont="1" applyAlignment="1">
      <alignment horizontal="left" vertical="top" wrapText="1"/>
    </xf>
    <xf numFmtId="0" fontId="17" fillId="0" borderId="0" xfId="0" applyFont="1" applyAlignment="1">
      <alignment horizontal="center" vertical="top" wrapText="1"/>
    </xf>
    <xf numFmtId="0" fontId="36" fillId="0" borderId="0" xfId="0" applyFont="1" applyAlignment="1">
      <alignment horizontal="left" vertical="top" wrapText="1"/>
    </xf>
    <xf numFmtId="0" fontId="23" fillId="6" borderId="5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61" xfId="0" applyFont="1" applyFill="1" applyBorder="1" applyAlignment="1">
      <alignment horizontal="center" vertical="center" wrapText="1"/>
    </xf>
    <xf numFmtId="0" fontId="22" fillId="6" borderId="59" xfId="0" applyFont="1" applyFill="1" applyBorder="1" applyAlignment="1">
      <alignment horizontal="center" vertical="center" wrapText="1"/>
    </xf>
    <xf numFmtId="0" fontId="22" fillId="6" borderId="63" xfId="0" applyFont="1" applyFill="1" applyBorder="1" applyAlignment="1">
      <alignment horizontal="center" vertical="center" wrapText="1"/>
    </xf>
    <xf numFmtId="0" fontId="22" fillId="6" borderId="57" xfId="0" applyFont="1" applyFill="1" applyBorder="1" applyAlignment="1">
      <alignment horizontal="center" vertical="center" wrapText="1"/>
    </xf>
    <xf numFmtId="0" fontId="22" fillId="6" borderId="64" xfId="0" applyFont="1" applyFill="1" applyBorder="1" applyAlignment="1">
      <alignment horizontal="center" vertical="center" wrapText="1"/>
    </xf>
    <xf numFmtId="0" fontId="22" fillId="6" borderId="65" xfId="0" applyFont="1" applyFill="1" applyBorder="1" applyAlignment="1">
      <alignment horizontal="center" vertical="center" wrapText="1"/>
    </xf>
    <xf numFmtId="0" fontId="22" fillId="6" borderId="66" xfId="0" applyFont="1" applyFill="1" applyBorder="1" applyAlignment="1">
      <alignment horizontal="center" vertical="center" wrapText="1"/>
    </xf>
    <xf numFmtId="0" fontId="22" fillId="6" borderId="60" xfId="0" applyFont="1" applyFill="1" applyBorder="1" applyAlignment="1">
      <alignment horizontal="center" vertical="center" wrapText="1"/>
    </xf>
    <xf numFmtId="0" fontId="7" fillId="6" borderId="6" xfId="0" applyFont="1" applyFill="1" applyBorder="1" applyAlignment="1">
      <alignment horizontal="center" vertical="center"/>
    </xf>
    <xf numFmtId="180" fontId="24" fillId="6" borderId="20" xfId="3" applyNumberFormat="1" applyFont="1" applyFill="1" applyBorder="1" applyAlignment="1">
      <alignment horizontal="center" vertical="center" wrapText="1"/>
    </xf>
    <xf numFmtId="180" fontId="24" fillId="6" borderId="27" xfId="3" applyNumberFormat="1" applyFont="1" applyFill="1" applyBorder="1" applyAlignment="1">
      <alignment horizontal="center" vertical="center" wrapText="1"/>
    </xf>
    <xf numFmtId="185" fontId="24" fillId="0" borderId="20" xfId="0" applyNumberFormat="1" applyFont="1" applyBorder="1" applyAlignment="1">
      <alignment horizontal="center" vertical="center" wrapText="1"/>
    </xf>
    <xf numFmtId="185" fontId="24" fillId="0" borderId="27" xfId="0" applyNumberFormat="1" applyFont="1" applyBorder="1" applyAlignment="1">
      <alignment horizontal="center" vertical="center" wrapText="1"/>
    </xf>
    <xf numFmtId="14" fontId="24" fillId="0" borderId="20" xfId="0" applyNumberFormat="1" applyFont="1" applyBorder="1" applyAlignment="1">
      <alignment horizontal="center" vertical="center" wrapText="1"/>
    </xf>
    <xf numFmtId="14" fontId="24" fillId="0" borderId="22" xfId="0" applyNumberFormat="1" applyFont="1" applyBorder="1" applyAlignment="1">
      <alignment horizontal="center" vertical="center" wrapText="1"/>
    </xf>
    <xf numFmtId="14" fontId="24" fillId="0" borderId="27" xfId="0" applyNumberFormat="1" applyFont="1" applyBorder="1" applyAlignment="1">
      <alignment horizontal="center" vertical="center" wrapText="1"/>
    </xf>
    <xf numFmtId="0" fontId="24" fillId="6" borderId="19" xfId="0" applyFont="1" applyFill="1" applyBorder="1" applyAlignment="1">
      <alignment horizontal="justify" vertical="center" wrapText="1"/>
    </xf>
    <xf numFmtId="0" fontId="24" fillId="6" borderId="21" xfId="0" applyFont="1" applyFill="1" applyBorder="1" applyAlignment="1">
      <alignment horizontal="justify" vertical="center" wrapText="1"/>
    </xf>
    <xf numFmtId="41" fontId="24" fillId="6" borderId="20" xfId="28" applyFont="1" applyFill="1" applyBorder="1" applyAlignment="1">
      <alignment horizontal="center" vertical="center" wrapText="1"/>
    </xf>
    <xf numFmtId="41" fontId="24" fillId="6" borderId="22" xfId="28" applyFont="1" applyFill="1" applyBorder="1" applyAlignment="1">
      <alignment horizontal="center" vertical="center" wrapText="1"/>
    </xf>
    <xf numFmtId="41" fontId="24" fillId="6" borderId="27" xfId="28"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7" xfId="0" applyFont="1" applyBorder="1" applyAlignment="1">
      <alignment horizontal="center" vertical="center" wrapText="1"/>
    </xf>
    <xf numFmtId="184" fontId="24" fillId="0" borderId="20" xfId="0" applyNumberFormat="1" applyFont="1" applyBorder="1" applyAlignment="1">
      <alignment horizontal="center" vertical="center" wrapText="1"/>
    </xf>
    <xf numFmtId="184" fontId="24" fillId="0" borderId="27" xfId="0" applyNumberFormat="1" applyFont="1" applyBorder="1" applyAlignment="1">
      <alignment horizontal="center" vertical="center" wrapText="1"/>
    </xf>
    <xf numFmtId="49" fontId="24" fillId="6" borderId="20" xfId="0" applyNumberFormat="1" applyFont="1" applyFill="1" applyBorder="1" applyAlignment="1">
      <alignment horizontal="center" vertical="center" wrapText="1"/>
    </xf>
    <xf numFmtId="49" fontId="24" fillId="6" borderId="27" xfId="0" applyNumberFormat="1" applyFont="1" applyFill="1" applyBorder="1" applyAlignment="1">
      <alignment horizontal="center" vertical="center" wrapText="1"/>
    </xf>
    <xf numFmtId="184" fontId="24" fillId="6" borderId="20" xfId="0" applyNumberFormat="1" applyFont="1" applyFill="1" applyBorder="1" applyAlignment="1">
      <alignment horizontal="center" vertical="center" wrapText="1"/>
    </xf>
    <xf numFmtId="184" fontId="24" fillId="6" borderId="27" xfId="0" applyNumberFormat="1" applyFont="1" applyFill="1" applyBorder="1" applyAlignment="1">
      <alignment horizontal="center" vertical="center" wrapText="1"/>
    </xf>
    <xf numFmtId="41" fontId="24" fillId="6" borderId="25" xfId="28" applyFont="1" applyFill="1" applyBorder="1" applyAlignment="1">
      <alignment horizontal="center" vertical="center" wrapText="1"/>
    </xf>
    <xf numFmtId="0" fontId="28" fillId="15" borderId="6" xfId="0" applyFont="1" applyFill="1" applyBorder="1" applyAlignment="1">
      <alignment horizontal="left" vertical="center" wrapText="1"/>
    </xf>
    <xf numFmtId="0" fontId="24" fillId="6" borderId="22" xfId="0" applyFont="1" applyFill="1" applyBorder="1" applyAlignment="1">
      <alignment horizontal="center" vertical="center" wrapText="1"/>
    </xf>
    <xf numFmtId="41" fontId="24" fillId="0" borderId="20" xfId="28" applyFont="1" applyBorder="1" applyAlignment="1">
      <alignment horizontal="center" vertical="center" wrapText="1"/>
    </xf>
    <xf numFmtId="41" fontId="24" fillId="0" borderId="22" xfId="28" applyFont="1" applyBorder="1" applyAlignment="1">
      <alignment horizontal="center" vertical="center" wrapText="1"/>
    </xf>
    <xf numFmtId="41" fontId="24" fillId="0" borderId="27" xfId="28" applyFont="1" applyBorder="1" applyAlignment="1">
      <alignment horizontal="center" vertical="center" wrapText="1"/>
    </xf>
    <xf numFmtId="0" fontId="24" fillId="0" borderId="21" xfId="0" applyFont="1" applyBorder="1" applyAlignment="1">
      <alignment horizontal="justify" vertical="center" wrapText="1"/>
    </xf>
    <xf numFmtId="0" fontId="24" fillId="6" borderId="50" xfId="0" applyFont="1" applyFill="1" applyBorder="1" applyAlignment="1">
      <alignment horizontal="justify" vertical="center" wrapText="1"/>
    </xf>
    <xf numFmtId="41" fontId="24" fillId="0" borderId="12" xfId="28" applyFont="1" applyBorder="1" applyAlignment="1">
      <alignment horizontal="center" vertical="center" wrapText="1"/>
    </xf>
    <xf numFmtId="41" fontId="24" fillId="0" borderId="25" xfId="28" applyFont="1" applyBorder="1" applyAlignment="1">
      <alignment horizontal="center" vertical="center" wrapText="1"/>
    </xf>
    <xf numFmtId="41" fontId="24" fillId="0" borderId="13" xfId="28" applyFont="1" applyBorder="1" applyAlignment="1">
      <alignment horizontal="center" vertical="center" wrapText="1"/>
    </xf>
    <xf numFmtId="184" fontId="24" fillId="0" borderId="50" xfId="0" applyNumberFormat="1" applyFont="1" applyBorder="1" applyAlignment="1">
      <alignment horizontal="center" vertical="center" wrapText="1"/>
    </xf>
    <xf numFmtId="192" fontId="24" fillId="0" borderId="50" xfId="0" applyNumberFormat="1" applyFont="1" applyBorder="1" applyAlignment="1">
      <alignment horizontal="center" vertical="center" wrapText="1"/>
    </xf>
    <xf numFmtId="0" fontId="28" fillId="23" borderId="20" xfId="0" applyFont="1" applyFill="1" applyBorder="1" applyAlignment="1">
      <alignment horizontal="justify" vertical="center"/>
    </xf>
    <xf numFmtId="0" fontId="28" fillId="23" borderId="27" xfId="0" applyFont="1" applyFill="1" applyBorder="1" applyAlignment="1">
      <alignment horizontal="justify" vertical="center"/>
    </xf>
    <xf numFmtId="0" fontId="28" fillId="23" borderId="22" xfId="0" applyFont="1" applyFill="1" applyBorder="1" applyAlignment="1">
      <alignment horizontal="justify" vertical="center"/>
    </xf>
    <xf numFmtId="0" fontId="7" fillId="0" borderId="6" xfId="0" applyFont="1" applyBorder="1" applyAlignment="1">
      <alignment horizontal="center" vertical="center"/>
    </xf>
    <xf numFmtId="0" fontId="7" fillId="0" borderId="0" xfId="0" applyFont="1" applyAlignment="1">
      <alignment horizontal="center" vertical="center" wrapText="1"/>
    </xf>
    <xf numFmtId="0" fontId="7" fillId="0" borderId="6" xfId="0" applyFont="1" applyBorder="1" applyAlignment="1">
      <alignment horizontal="justify" vertical="center"/>
    </xf>
    <xf numFmtId="14" fontId="28" fillId="23" borderId="6" xfId="0" applyNumberFormat="1" applyFont="1" applyFill="1" applyBorder="1" applyAlignment="1">
      <alignment horizontal="justify" vertical="center" wrapText="1"/>
    </xf>
    <xf numFmtId="3" fontId="28" fillId="23" borderId="6" xfId="0" applyNumberFormat="1" applyFont="1" applyFill="1" applyBorder="1" applyAlignment="1">
      <alignment horizontal="justify" vertical="center" wrapText="1"/>
    </xf>
    <xf numFmtId="0" fontId="28" fillId="23" borderId="20" xfId="0" applyFont="1" applyFill="1" applyBorder="1" applyAlignment="1">
      <alignment horizontal="justify" vertical="center" wrapText="1"/>
    </xf>
    <xf numFmtId="0" fontId="28" fillId="23" borderId="22" xfId="0" applyFont="1" applyFill="1" applyBorder="1" applyAlignment="1">
      <alignment horizontal="justify" vertical="center" wrapText="1"/>
    </xf>
    <xf numFmtId="0" fontId="28" fillId="23" borderId="27" xfId="0" applyFont="1" applyFill="1" applyBorder="1" applyAlignment="1">
      <alignment horizontal="justify" vertical="center" wrapText="1"/>
    </xf>
    <xf numFmtId="3" fontId="28" fillId="23" borderId="20" xfId="0" applyNumberFormat="1" applyFont="1" applyFill="1" applyBorder="1" applyAlignment="1">
      <alignment horizontal="justify" vertical="center" wrapText="1"/>
    </xf>
    <xf numFmtId="3" fontId="28" fillId="23" borderId="27" xfId="0" applyNumberFormat="1" applyFont="1" applyFill="1" applyBorder="1" applyAlignment="1">
      <alignment horizontal="justify" vertical="center" wrapText="1"/>
    </xf>
    <xf numFmtId="0" fontId="19" fillId="13" borderId="14" xfId="0" applyFont="1" applyFill="1" applyBorder="1" applyAlignment="1">
      <alignment horizontal="left" vertical="center" wrapText="1"/>
    </xf>
    <xf numFmtId="0" fontId="19" fillId="13" borderId="15" xfId="0" applyFont="1" applyFill="1" applyBorder="1" applyAlignment="1">
      <alignment horizontal="left" vertical="center" wrapText="1"/>
    </xf>
    <xf numFmtId="0" fontId="19" fillId="19" borderId="14" xfId="0" applyFont="1" applyFill="1" applyBorder="1" applyAlignment="1">
      <alignment horizontal="left" vertical="center" wrapText="1"/>
    </xf>
    <xf numFmtId="0" fontId="19" fillId="19" borderId="15" xfId="0" applyFont="1" applyFill="1" applyBorder="1" applyAlignment="1">
      <alignment horizontal="left" vertical="center" wrapText="1"/>
    </xf>
    <xf numFmtId="0" fontId="19" fillId="19" borderId="16" xfId="0" applyFont="1" applyFill="1" applyBorder="1" applyAlignment="1">
      <alignment horizontal="left" vertical="center" wrapText="1"/>
    </xf>
    <xf numFmtId="0" fontId="19" fillId="15" borderId="6" xfId="0" applyFont="1" applyFill="1" applyBorder="1" applyAlignment="1">
      <alignment horizontal="left" vertical="center" wrapText="1"/>
    </xf>
    <xf numFmtId="0" fontId="19" fillId="15" borderId="20" xfId="0" applyFont="1" applyFill="1" applyBorder="1" applyAlignment="1">
      <alignment horizontal="left" vertical="center" wrapText="1"/>
    </xf>
    <xf numFmtId="49" fontId="24" fillId="6" borderId="22" xfId="0" applyNumberFormat="1" applyFont="1" applyFill="1" applyBorder="1" applyAlignment="1">
      <alignment horizontal="center" vertical="center" wrapText="1"/>
    </xf>
    <xf numFmtId="0" fontId="24" fillId="0" borderId="20" xfId="1" applyNumberFormat="1" applyFont="1" applyBorder="1" applyAlignment="1">
      <alignment horizontal="center" vertical="center" wrapText="1"/>
    </xf>
    <xf numFmtId="0" fontId="24" fillId="0" borderId="22" xfId="1" applyNumberFormat="1" applyFont="1" applyBorder="1" applyAlignment="1">
      <alignment horizontal="center" vertical="center" wrapText="1"/>
    </xf>
    <xf numFmtId="0" fontId="24" fillId="0" borderId="27" xfId="1" applyNumberFormat="1" applyFont="1" applyBorder="1" applyAlignment="1">
      <alignment horizontal="center" vertical="center" wrapText="1"/>
    </xf>
    <xf numFmtId="185" fontId="24" fillId="0" borderId="22" xfId="0" applyNumberFormat="1" applyFont="1" applyBorder="1" applyAlignment="1">
      <alignment horizontal="center" vertical="center" wrapText="1"/>
    </xf>
    <xf numFmtId="9" fontId="8" fillId="6" borderId="20" xfId="4" applyFont="1" applyFill="1" applyBorder="1" applyAlignment="1">
      <alignment horizontal="center" vertical="center" wrapText="1"/>
    </xf>
    <xf numFmtId="9" fontId="8" fillId="6" borderId="22" xfId="4" applyFont="1" applyFill="1" applyBorder="1" applyAlignment="1">
      <alignment horizontal="center" vertical="center" wrapText="1"/>
    </xf>
    <xf numFmtId="9" fontId="8" fillId="6" borderId="27" xfId="4" applyFont="1" applyFill="1" applyBorder="1" applyAlignment="1">
      <alignment horizontal="center" vertical="center" wrapText="1"/>
    </xf>
    <xf numFmtId="2" fontId="4" fillId="0" borderId="20" xfId="0" applyNumberFormat="1" applyFont="1" applyBorder="1" applyAlignment="1">
      <alignment horizontal="justify" vertical="center" wrapText="1"/>
    </xf>
    <xf numFmtId="2" fontId="4" fillId="0" borderId="22" xfId="0" applyNumberFormat="1" applyFont="1" applyBorder="1" applyAlignment="1">
      <alignment horizontal="justify" vertical="center" wrapText="1"/>
    </xf>
    <xf numFmtId="2" fontId="4" fillId="0" borderId="27" xfId="0" applyNumberFormat="1" applyFont="1" applyBorder="1" applyAlignment="1">
      <alignment horizontal="justify" vertical="center" wrapText="1"/>
    </xf>
    <xf numFmtId="190" fontId="4" fillId="6" borderId="6" xfId="2" applyNumberFormat="1" applyFont="1" applyFill="1" applyBorder="1" applyAlignment="1">
      <alignment horizontal="center" vertical="center"/>
    </xf>
    <xf numFmtId="1" fontId="22" fillId="6" borderId="22" xfId="0" applyNumberFormat="1" applyFont="1" applyFill="1" applyBorder="1" applyAlignment="1">
      <alignment horizontal="center" vertical="center" wrapText="1"/>
    </xf>
    <xf numFmtId="2" fontId="4" fillId="6" borderId="20" xfId="0" applyNumberFormat="1" applyFont="1" applyFill="1" applyBorder="1" applyAlignment="1">
      <alignment horizontal="justify" vertical="center" wrapText="1"/>
    </xf>
    <xf numFmtId="2" fontId="4" fillId="6" borderId="27" xfId="0" applyNumberFormat="1" applyFont="1" applyFill="1" applyBorder="1" applyAlignment="1">
      <alignment horizontal="justify" vertical="center" wrapText="1"/>
    </xf>
    <xf numFmtId="1" fontId="23" fillId="0" borderId="6" xfId="0" applyNumberFormat="1" applyFont="1" applyBorder="1" applyAlignment="1">
      <alignment horizontal="center"/>
    </xf>
  </cellXfs>
  <cellStyles count="31">
    <cellStyle name="Excel Built-in Normal" xfId="10"/>
    <cellStyle name="Excel Built-in Normal 2" xfId="27"/>
    <cellStyle name="Millares" xfId="1" builtinId="3"/>
    <cellStyle name="Millares [0]" xfId="28" builtinId="6"/>
    <cellStyle name="Millares [0] 2" xfId="15"/>
    <cellStyle name="Millares [0] 3" xfId="8"/>
    <cellStyle name="Millares 2" xfId="7"/>
    <cellStyle name="Millares 2 2" xfId="5"/>
    <cellStyle name="Millares 2 2 2" xfId="23"/>
    <cellStyle name="Millares 2 3" xfId="22"/>
    <cellStyle name="Millares 3 2" xfId="16"/>
    <cellStyle name="Millares 3 3" xfId="12"/>
    <cellStyle name="Millares 4" xfId="18"/>
    <cellStyle name="Moneda" xfId="2" builtinId="4"/>
    <cellStyle name="Moneda [0] 2" xfId="30"/>
    <cellStyle name="Moneda [0] 2 3" xfId="21"/>
    <cellStyle name="Moneda 2" xfId="24"/>
    <cellStyle name="Moneda 3" xfId="29"/>
    <cellStyle name="Normal" xfId="0" builtinId="0"/>
    <cellStyle name="Normal 2" xfId="17"/>
    <cellStyle name="Normal 2 2" xfId="9"/>
    <cellStyle name="Normal 2 2 2" xfId="14"/>
    <cellStyle name="Normal 3" xfId="13"/>
    <cellStyle name="Normal 4" xfId="11"/>
    <cellStyle name="Normal 7" xfId="26"/>
    <cellStyle name="Porcentaje" xfId="3" builtinId="5"/>
    <cellStyle name="Porcentaje 2" xfId="6"/>
    <cellStyle name="Porcentaje 2 2" xfId="19"/>
    <cellStyle name="Porcentaje 2 2 2" xfId="20"/>
    <cellStyle name="Porcentaje 2 3" xfId="4"/>
    <cellStyle name="Porcentual 2"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0</xdr:row>
      <xdr:rowOff>0</xdr:rowOff>
    </xdr:from>
    <xdr:to>
      <xdr:col>2</xdr:col>
      <xdr:colOff>879475</xdr:colOff>
      <xdr:row>0</xdr:row>
      <xdr:rowOff>0</xdr:rowOff>
    </xdr:to>
    <xdr:pic>
      <xdr:nvPicPr>
        <xdr:cNvPr id="3" name="Imagen 1" descr="C:\Users\AUXPLANEACION03\Desktop\Gobernacion_del_quindio.jpg">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0"/>
          <a:ext cx="9429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274864</xdr:colOff>
      <xdr:row>0</xdr:row>
      <xdr:rowOff>0</xdr:rowOff>
    </xdr:from>
    <xdr:to>
      <xdr:col>0</xdr:col>
      <xdr:colOff>1408235</xdr:colOff>
      <xdr:row>6</xdr:row>
      <xdr:rowOff>42636</xdr:rowOff>
    </xdr:to>
    <xdr:pic>
      <xdr:nvPicPr>
        <xdr:cNvPr id="4" name="Imagen 3" descr="C:\Users\AUXPLANEACION03\Desktop\Gobernacion_del_quindio.jpg">
          <a:extLst>
            <a:ext uri="{FF2B5EF4-FFF2-40B4-BE49-F238E27FC236}">
              <a16:creationId xmlns=""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64" y="0"/>
          <a:ext cx="1125311" cy="1106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377825</xdr:colOff>
      <xdr:row>6</xdr:row>
      <xdr:rowOff>120650</xdr:rowOff>
    </xdr:to>
    <xdr:pic>
      <xdr:nvPicPr>
        <xdr:cNvPr id="2" name="Imagen 1" descr="C:\Users\AUXPLANEACION03\Desktop\Gobernacion_del_quindio.jpg">
          <a:extLst>
            <a:ext uri="{FF2B5EF4-FFF2-40B4-BE49-F238E27FC236}">
              <a16:creationId xmlns=""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944336" cy="1104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RAMIREZ/Dropbox/Edades_Simples_1985-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R33"/>
  <sheetViews>
    <sheetView showGridLines="0" tabSelected="1" zoomScale="60" zoomScaleNormal="60" workbookViewId="0">
      <selection sqref="A1:AO4"/>
    </sheetView>
  </sheetViews>
  <sheetFormatPr baseColWidth="10" defaultColWidth="11.42578125" defaultRowHeight="15" x14ac:dyDescent="0.2"/>
  <cols>
    <col min="1" max="9" width="15.28515625" style="29" customWidth="1"/>
    <col min="10" max="10" width="18.28515625" style="129" customWidth="1"/>
    <col min="11" max="11" width="29" style="129" customWidth="1"/>
    <col min="12" max="12" width="21.85546875" style="129" customWidth="1"/>
    <col min="13" max="13" width="24.7109375" style="129" customWidth="1"/>
    <col min="14" max="14" width="38.28515625" style="129" customWidth="1"/>
    <col min="15" max="15" width="24.7109375" style="129" customWidth="1"/>
    <col min="16" max="16" width="32" style="129" customWidth="1"/>
    <col min="17" max="17" width="13.28515625" style="130" customWidth="1"/>
    <col min="18" max="18" width="27.85546875" style="129" customWidth="1"/>
    <col min="19" max="19" width="40.28515625" style="129" customWidth="1"/>
    <col min="20" max="20" width="49.140625" style="129" customWidth="1"/>
    <col min="21" max="21" width="44.140625" style="129" customWidth="1"/>
    <col min="22" max="22" width="28.7109375" style="29" customWidth="1"/>
    <col min="23" max="23" width="13.28515625" style="29" customWidth="1"/>
    <col min="24" max="24" width="34.7109375" style="29" bestFit="1" customWidth="1"/>
    <col min="25" max="26" width="11" style="29" bestFit="1" customWidth="1"/>
    <col min="27" max="27" width="9.5703125" style="29" bestFit="1" customWidth="1"/>
    <col min="28" max="28" width="8.7109375" style="29" bestFit="1" customWidth="1"/>
    <col min="29" max="29" width="9.5703125" style="29" customWidth="1"/>
    <col min="30" max="30" width="9" style="29" bestFit="1" customWidth="1"/>
    <col min="31" max="31" width="7.28515625" style="29" bestFit="1" customWidth="1"/>
    <col min="32" max="32" width="8.28515625" style="29" bestFit="1" customWidth="1"/>
    <col min="33" max="36" width="6.42578125" style="29" customWidth="1"/>
    <col min="37" max="37" width="8.7109375" style="29" bestFit="1" customWidth="1"/>
    <col min="38" max="39" width="9" style="29" bestFit="1" customWidth="1"/>
    <col min="40" max="40" width="13.5703125" style="29" customWidth="1"/>
    <col min="41" max="41" width="18.42578125" style="29" customWidth="1"/>
    <col min="42" max="42" width="18.85546875" style="29" customWidth="1"/>
    <col min="43" max="43" width="28" style="29" customWidth="1"/>
    <col min="44" max="44" width="22.5703125" style="29" customWidth="1"/>
    <col min="45" max="16384" width="11.42578125" style="29"/>
  </cols>
  <sheetData>
    <row r="1" spans="1:44" ht="21.75" customHeight="1" x14ac:dyDescent="0.2">
      <c r="A1" s="2485" t="s">
        <v>1752</v>
      </c>
      <c r="B1" s="2485"/>
      <c r="C1" s="2485"/>
      <c r="D1" s="2485"/>
      <c r="E1" s="2485"/>
      <c r="F1" s="2485"/>
      <c r="G1" s="2485"/>
      <c r="H1" s="2485"/>
      <c r="I1" s="2485"/>
      <c r="J1" s="2485"/>
      <c r="K1" s="2485"/>
      <c r="L1" s="2485"/>
      <c r="M1" s="2485"/>
      <c r="N1" s="2485"/>
      <c r="O1" s="2485"/>
      <c r="P1" s="2485"/>
      <c r="Q1" s="2485"/>
      <c r="R1" s="2485"/>
      <c r="S1" s="2485"/>
      <c r="T1" s="2485"/>
      <c r="U1" s="2485"/>
      <c r="V1" s="2485"/>
      <c r="W1" s="2485"/>
      <c r="X1" s="2485"/>
      <c r="Y1" s="2485"/>
      <c r="Z1" s="2485"/>
      <c r="AA1" s="2485"/>
      <c r="AB1" s="2485"/>
      <c r="AC1" s="2485"/>
      <c r="AD1" s="2485"/>
      <c r="AE1" s="2485"/>
      <c r="AF1" s="2485"/>
      <c r="AG1" s="2485"/>
      <c r="AH1" s="2485"/>
      <c r="AI1" s="2485"/>
      <c r="AJ1" s="2485"/>
      <c r="AK1" s="2485"/>
      <c r="AL1" s="2485"/>
      <c r="AM1" s="2485"/>
      <c r="AN1" s="2485"/>
      <c r="AO1" s="2485"/>
      <c r="AP1" s="28" t="s">
        <v>0</v>
      </c>
      <c r="AQ1" s="28" t="s">
        <v>1</v>
      </c>
    </row>
    <row r="2" spans="1:44" ht="21.75" customHeight="1" x14ac:dyDescent="0.2">
      <c r="A2" s="2485"/>
      <c r="B2" s="2485"/>
      <c r="C2" s="2485"/>
      <c r="D2" s="2485"/>
      <c r="E2" s="2485"/>
      <c r="F2" s="2485"/>
      <c r="G2" s="2485"/>
      <c r="H2" s="2485"/>
      <c r="I2" s="2485"/>
      <c r="J2" s="2485"/>
      <c r="K2" s="2485"/>
      <c r="L2" s="2485"/>
      <c r="M2" s="2485"/>
      <c r="N2" s="2485"/>
      <c r="O2" s="2485"/>
      <c r="P2" s="2485"/>
      <c r="Q2" s="2485"/>
      <c r="R2" s="2485"/>
      <c r="S2" s="2485"/>
      <c r="T2" s="2485"/>
      <c r="U2" s="2485"/>
      <c r="V2" s="2485"/>
      <c r="W2" s="2485"/>
      <c r="X2" s="2485"/>
      <c r="Y2" s="2485"/>
      <c r="Z2" s="2485"/>
      <c r="AA2" s="2485"/>
      <c r="AB2" s="2485"/>
      <c r="AC2" s="2485"/>
      <c r="AD2" s="2485"/>
      <c r="AE2" s="2485"/>
      <c r="AF2" s="2485"/>
      <c r="AG2" s="2485"/>
      <c r="AH2" s="2485"/>
      <c r="AI2" s="2485"/>
      <c r="AJ2" s="2485"/>
      <c r="AK2" s="2485"/>
      <c r="AL2" s="2485"/>
      <c r="AM2" s="2485"/>
      <c r="AN2" s="2485"/>
      <c r="AO2" s="2485"/>
      <c r="AP2" s="30" t="s">
        <v>2</v>
      </c>
      <c r="AQ2" s="31" t="s">
        <v>3</v>
      </c>
    </row>
    <row r="3" spans="1:44" ht="21.75" customHeight="1" x14ac:dyDescent="0.2">
      <c r="A3" s="2485"/>
      <c r="B3" s="2485"/>
      <c r="C3" s="2485"/>
      <c r="D3" s="2485"/>
      <c r="E3" s="2485"/>
      <c r="F3" s="2485"/>
      <c r="G3" s="2485"/>
      <c r="H3" s="2485"/>
      <c r="I3" s="2485"/>
      <c r="J3" s="2485"/>
      <c r="K3" s="2485"/>
      <c r="L3" s="2485"/>
      <c r="M3" s="2485"/>
      <c r="N3" s="2485"/>
      <c r="O3" s="2485"/>
      <c r="P3" s="2485"/>
      <c r="Q3" s="2485"/>
      <c r="R3" s="2485"/>
      <c r="S3" s="2485"/>
      <c r="T3" s="2485"/>
      <c r="U3" s="2485"/>
      <c r="V3" s="2485"/>
      <c r="W3" s="2485"/>
      <c r="X3" s="2485"/>
      <c r="Y3" s="2485"/>
      <c r="Z3" s="2485"/>
      <c r="AA3" s="2485"/>
      <c r="AB3" s="2485"/>
      <c r="AC3" s="2485"/>
      <c r="AD3" s="2485"/>
      <c r="AE3" s="2485"/>
      <c r="AF3" s="2485"/>
      <c r="AG3" s="2485"/>
      <c r="AH3" s="2485"/>
      <c r="AI3" s="2485"/>
      <c r="AJ3" s="2485"/>
      <c r="AK3" s="2485"/>
      <c r="AL3" s="2485"/>
      <c r="AM3" s="2485"/>
      <c r="AN3" s="2485"/>
      <c r="AO3" s="2485"/>
      <c r="AP3" s="28" t="s">
        <v>4</v>
      </c>
      <c r="AQ3" s="32" t="s">
        <v>5</v>
      </c>
    </row>
    <row r="4" spans="1:44" ht="21.75" customHeight="1" x14ac:dyDescent="0.2">
      <c r="A4" s="2486"/>
      <c r="B4" s="2486"/>
      <c r="C4" s="2486"/>
      <c r="D4" s="2486"/>
      <c r="E4" s="2486"/>
      <c r="F4" s="2486"/>
      <c r="G4" s="2486"/>
      <c r="H4" s="2486"/>
      <c r="I4" s="2486"/>
      <c r="J4" s="2486"/>
      <c r="K4" s="2486"/>
      <c r="L4" s="2486"/>
      <c r="M4" s="2486"/>
      <c r="N4" s="2486"/>
      <c r="O4" s="2486"/>
      <c r="P4" s="2486"/>
      <c r="Q4" s="2486"/>
      <c r="R4" s="2486"/>
      <c r="S4" s="2486"/>
      <c r="T4" s="2486"/>
      <c r="U4" s="2486"/>
      <c r="V4" s="2486"/>
      <c r="W4" s="2486"/>
      <c r="X4" s="2486"/>
      <c r="Y4" s="2486"/>
      <c r="Z4" s="2486"/>
      <c r="AA4" s="2486"/>
      <c r="AB4" s="2486"/>
      <c r="AC4" s="2486"/>
      <c r="AD4" s="2486"/>
      <c r="AE4" s="2486"/>
      <c r="AF4" s="2486"/>
      <c r="AG4" s="2486"/>
      <c r="AH4" s="2486"/>
      <c r="AI4" s="2486"/>
      <c r="AJ4" s="2486"/>
      <c r="AK4" s="2486"/>
      <c r="AL4" s="2486"/>
      <c r="AM4" s="2486"/>
      <c r="AN4" s="2486"/>
      <c r="AO4" s="2486"/>
      <c r="AP4" s="28" t="s">
        <v>6</v>
      </c>
      <c r="AQ4" s="33" t="s">
        <v>7</v>
      </c>
    </row>
    <row r="5" spans="1:44" ht="21.75" customHeight="1" x14ac:dyDescent="0.2">
      <c r="A5" s="2487" t="s">
        <v>8</v>
      </c>
      <c r="B5" s="2487"/>
      <c r="C5" s="2487"/>
      <c r="D5" s="2487"/>
      <c r="E5" s="2487"/>
      <c r="F5" s="2487"/>
      <c r="G5" s="2487"/>
      <c r="H5" s="2487"/>
      <c r="I5" s="2487"/>
      <c r="J5" s="2487"/>
      <c r="K5" s="2487"/>
      <c r="L5" s="2487"/>
      <c r="M5" s="2487"/>
      <c r="N5" s="2489" t="s">
        <v>9</v>
      </c>
      <c r="O5" s="2489"/>
      <c r="P5" s="2489"/>
      <c r="Q5" s="2489"/>
      <c r="R5" s="2489"/>
      <c r="S5" s="2489"/>
      <c r="T5" s="2489"/>
      <c r="U5" s="2489"/>
      <c r="V5" s="2489"/>
      <c r="W5" s="2489"/>
      <c r="X5" s="2489"/>
      <c r="Y5" s="2489"/>
      <c r="Z5" s="2489"/>
      <c r="AA5" s="2489"/>
      <c r="AB5" s="2489"/>
      <c r="AC5" s="2489"/>
      <c r="AD5" s="2489"/>
      <c r="AE5" s="2489"/>
      <c r="AF5" s="2489"/>
      <c r="AG5" s="2489"/>
      <c r="AH5" s="2489"/>
      <c r="AI5" s="2489"/>
      <c r="AJ5" s="2489"/>
      <c r="AK5" s="2489"/>
      <c r="AL5" s="2489"/>
      <c r="AM5" s="2489"/>
      <c r="AN5" s="2489"/>
      <c r="AO5" s="2489"/>
      <c r="AP5" s="2489"/>
      <c r="AQ5" s="2489"/>
    </row>
    <row r="6" spans="1:44" ht="21.75" customHeight="1" x14ac:dyDescent="0.2">
      <c r="A6" s="2488"/>
      <c r="B6" s="2488"/>
      <c r="C6" s="2488"/>
      <c r="D6" s="2488"/>
      <c r="E6" s="2488"/>
      <c r="F6" s="2488"/>
      <c r="G6" s="2488"/>
      <c r="H6" s="2488"/>
      <c r="I6" s="2488"/>
      <c r="J6" s="2488"/>
      <c r="K6" s="2488"/>
      <c r="L6" s="2488"/>
      <c r="M6" s="2488"/>
      <c r="N6" s="34"/>
      <c r="O6" s="35"/>
      <c r="P6" s="35"/>
      <c r="Q6" s="36"/>
      <c r="R6" s="35"/>
      <c r="S6" s="35"/>
      <c r="T6" s="35"/>
      <c r="U6" s="35"/>
      <c r="V6" s="37"/>
      <c r="W6" s="37"/>
      <c r="X6" s="37"/>
      <c r="Y6" s="2490" t="s">
        <v>10</v>
      </c>
      <c r="Z6" s="2488"/>
      <c r="AA6" s="2488"/>
      <c r="AB6" s="2488"/>
      <c r="AC6" s="2488"/>
      <c r="AD6" s="2488"/>
      <c r="AE6" s="2488"/>
      <c r="AF6" s="2488"/>
      <c r="AG6" s="2488"/>
      <c r="AH6" s="2488"/>
      <c r="AI6" s="2488"/>
      <c r="AJ6" s="2488"/>
      <c r="AK6" s="2488"/>
      <c r="AL6" s="2488"/>
      <c r="AM6" s="2491"/>
      <c r="AN6" s="1415"/>
      <c r="AO6" s="37"/>
      <c r="AP6" s="37"/>
      <c r="AQ6" s="38"/>
    </row>
    <row r="7" spans="1:44" ht="15.75" customHeight="1" x14ac:dyDescent="0.2">
      <c r="A7" s="2492" t="s">
        <v>11</v>
      </c>
      <c r="B7" s="2483" t="s">
        <v>12</v>
      </c>
      <c r="C7" s="2481"/>
      <c r="D7" s="2481" t="s">
        <v>11</v>
      </c>
      <c r="E7" s="2483" t="s">
        <v>13</v>
      </c>
      <c r="F7" s="2481"/>
      <c r="G7" s="2481" t="s">
        <v>11</v>
      </c>
      <c r="H7" s="2483" t="s">
        <v>14</v>
      </c>
      <c r="I7" s="2481"/>
      <c r="J7" s="2481" t="s">
        <v>11</v>
      </c>
      <c r="K7" s="2483" t="s">
        <v>15</v>
      </c>
      <c r="L7" s="2466" t="s">
        <v>16</v>
      </c>
      <c r="M7" s="2466" t="s">
        <v>17</v>
      </c>
      <c r="N7" s="2466" t="s">
        <v>18</v>
      </c>
      <c r="O7" s="2466" t="s">
        <v>19</v>
      </c>
      <c r="P7" s="2466" t="s">
        <v>9</v>
      </c>
      <c r="Q7" s="2477" t="s">
        <v>20</v>
      </c>
      <c r="R7" s="2479" t="s">
        <v>21</v>
      </c>
      <c r="S7" s="2466" t="s">
        <v>22</v>
      </c>
      <c r="T7" s="2466" t="s">
        <v>23</v>
      </c>
      <c r="U7" s="2466" t="s">
        <v>24</v>
      </c>
      <c r="V7" s="2466" t="s">
        <v>21</v>
      </c>
      <c r="W7" s="39"/>
      <c r="X7" s="2466" t="s">
        <v>25</v>
      </c>
      <c r="Y7" s="2462" t="s">
        <v>26</v>
      </c>
      <c r="Z7" s="2463"/>
      <c r="AA7" s="2464" t="s">
        <v>27</v>
      </c>
      <c r="AB7" s="2465"/>
      <c r="AC7" s="2465"/>
      <c r="AD7" s="2465"/>
      <c r="AE7" s="2468" t="s">
        <v>28</v>
      </c>
      <c r="AF7" s="2469"/>
      <c r="AG7" s="2469"/>
      <c r="AH7" s="2469"/>
      <c r="AI7" s="2469"/>
      <c r="AJ7" s="2469"/>
      <c r="AK7" s="2464" t="s">
        <v>29</v>
      </c>
      <c r="AL7" s="2465"/>
      <c r="AM7" s="2465"/>
      <c r="AN7" s="2494" t="s">
        <v>30</v>
      </c>
      <c r="AO7" s="2497" t="s">
        <v>31</v>
      </c>
      <c r="AP7" s="2497" t="s">
        <v>32</v>
      </c>
      <c r="AQ7" s="2500" t="s">
        <v>33</v>
      </c>
    </row>
    <row r="8" spans="1:44" ht="12.75" customHeight="1" x14ac:dyDescent="0.2">
      <c r="A8" s="2493"/>
      <c r="B8" s="2484"/>
      <c r="C8" s="2482"/>
      <c r="D8" s="2482"/>
      <c r="E8" s="2484"/>
      <c r="F8" s="2482"/>
      <c r="G8" s="2482"/>
      <c r="H8" s="2484"/>
      <c r="I8" s="2482"/>
      <c r="J8" s="2482"/>
      <c r="K8" s="2484"/>
      <c r="L8" s="2467"/>
      <c r="M8" s="2467"/>
      <c r="N8" s="2467"/>
      <c r="O8" s="2467"/>
      <c r="P8" s="2467"/>
      <c r="Q8" s="2478"/>
      <c r="R8" s="2480"/>
      <c r="S8" s="2467"/>
      <c r="T8" s="2467"/>
      <c r="U8" s="2467"/>
      <c r="V8" s="2467"/>
      <c r="W8" s="2502" t="s">
        <v>11</v>
      </c>
      <c r="X8" s="2467"/>
      <c r="Y8" s="2470" t="s">
        <v>34</v>
      </c>
      <c r="Z8" s="2503" t="s">
        <v>35</v>
      </c>
      <c r="AA8" s="2470" t="s">
        <v>36</v>
      </c>
      <c r="AB8" s="2470" t="s">
        <v>37</v>
      </c>
      <c r="AC8" s="2470" t="s">
        <v>38</v>
      </c>
      <c r="AD8" s="2470" t="s">
        <v>39</v>
      </c>
      <c r="AE8" s="2470" t="s">
        <v>40</v>
      </c>
      <c r="AF8" s="2470" t="s">
        <v>41</v>
      </c>
      <c r="AG8" s="2470" t="s">
        <v>42</v>
      </c>
      <c r="AH8" s="2470" t="s">
        <v>43</v>
      </c>
      <c r="AI8" s="2470" t="s">
        <v>44</v>
      </c>
      <c r="AJ8" s="2470" t="s">
        <v>45</v>
      </c>
      <c r="AK8" s="2470" t="s">
        <v>46</v>
      </c>
      <c r="AL8" s="2470" t="s">
        <v>47</v>
      </c>
      <c r="AM8" s="2470" t="s">
        <v>48</v>
      </c>
      <c r="AN8" s="2495"/>
      <c r="AO8" s="2498"/>
      <c r="AP8" s="2498"/>
      <c r="AQ8" s="2501"/>
    </row>
    <row r="9" spans="1:44" ht="15" customHeight="1" x14ac:dyDescent="0.2">
      <c r="A9" s="2493"/>
      <c r="B9" s="2484"/>
      <c r="C9" s="2482"/>
      <c r="D9" s="2482"/>
      <c r="E9" s="2484"/>
      <c r="F9" s="2482"/>
      <c r="G9" s="2482"/>
      <c r="H9" s="2484"/>
      <c r="I9" s="2482"/>
      <c r="J9" s="2482"/>
      <c r="K9" s="2484"/>
      <c r="L9" s="2467"/>
      <c r="M9" s="2467"/>
      <c r="N9" s="2467"/>
      <c r="O9" s="2467"/>
      <c r="P9" s="2467"/>
      <c r="Q9" s="2478"/>
      <c r="R9" s="2480"/>
      <c r="S9" s="2467"/>
      <c r="T9" s="2467"/>
      <c r="U9" s="2467"/>
      <c r="V9" s="2467"/>
      <c r="W9" s="2502"/>
      <c r="X9" s="2467"/>
      <c r="Y9" s="2471"/>
      <c r="Z9" s="2504"/>
      <c r="AA9" s="2471"/>
      <c r="AB9" s="2471"/>
      <c r="AC9" s="2471"/>
      <c r="AD9" s="2471"/>
      <c r="AE9" s="2471"/>
      <c r="AF9" s="2471"/>
      <c r="AG9" s="2471"/>
      <c r="AH9" s="2471"/>
      <c r="AI9" s="2471"/>
      <c r="AJ9" s="2471"/>
      <c r="AK9" s="2471"/>
      <c r="AL9" s="2471"/>
      <c r="AM9" s="2471"/>
      <c r="AN9" s="2495"/>
      <c r="AO9" s="2498"/>
      <c r="AP9" s="2498"/>
      <c r="AQ9" s="2501"/>
    </row>
    <row r="10" spans="1:44" ht="15" customHeight="1" x14ac:dyDescent="0.2">
      <c r="A10" s="2493"/>
      <c r="B10" s="2484"/>
      <c r="C10" s="2482"/>
      <c r="D10" s="2482"/>
      <c r="E10" s="2484"/>
      <c r="F10" s="2482"/>
      <c r="G10" s="2482"/>
      <c r="H10" s="2484"/>
      <c r="I10" s="2482"/>
      <c r="J10" s="2482"/>
      <c r="K10" s="2484"/>
      <c r="L10" s="2467"/>
      <c r="M10" s="2467"/>
      <c r="N10" s="2467"/>
      <c r="O10" s="2467"/>
      <c r="P10" s="2467"/>
      <c r="Q10" s="2478"/>
      <c r="R10" s="2480"/>
      <c r="S10" s="2467"/>
      <c r="T10" s="2467"/>
      <c r="U10" s="2467"/>
      <c r="V10" s="2467"/>
      <c r="W10" s="2502"/>
      <c r="X10" s="2467"/>
      <c r="Y10" s="2471"/>
      <c r="Z10" s="2504"/>
      <c r="AA10" s="2471"/>
      <c r="AB10" s="2471"/>
      <c r="AC10" s="2471"/>
      <c r="AD10" s="2471"/>
      <c r="AE10" s="2471"/>
      <c r="AF10" s="2471"/>
      <c r="AG10" s="2471"/>
      <c r="AH10" s="2471"/>
      <c r="AI10" s="2471"/>
      <c r="AJ10" s="2471"/>
      <c r="AK10" s="2471"/>
      <c r="AL10" s="2471"/>
      <c r="AM10" s="2471"/>
      <c r="AN10" s="2495"/>
      <c r="AO10" s="2498"/>
      <c r="AP10" s="2498"/>
      <c r="AQ10" s="2501"/>
    </row>
    <row r="11" spans="1:44" ht="46.5" customHeight="1" x14ac:dyDescent="0.2">
      <c r="A11" s="2493"/>
      <c r="B11" s="2484"/>
      <c r="C11" s="2482"/>
      <c r="D11" s="2482"/>
      <c r="E11" s="2484"/>
      <c r="F11" s="2482"/>
      <c r="G11" s="2482"/>
      <c r="H11" s="2484"/>
      <c r="I11" s="2482"/>
      <c r="J11" s="2482"/>
      <c r="K11" s="2484"/>
      <c r="L11" s="2467"/>
      <c r="M11" s="2467"/>
      <c r="N11" s="2467"/>
      <c r="O11" s="2467"/>
      <c r="P11" s="2467"/>
      <c r="Q11" s="2478"/>
      <c r="R11" s="2480"/>
      <c r="S11" s="2467"/>
      <c r="T11" s="2467"/>
      <c r="U11" s="2467"/>
      <c r="V11" s="2467"/>
      <c r="W11" s="2502"/>
      <c r="X11" s="2467"/>
      <c r="Y11" s="2471"/>
      <c r="Z11" s="2504"/>
      <c r="AA11" s="2471"/>
      <c r="AB11" s="2471"/>
      <c r="AC11" s="2471"/>
      <c r="AD11" s="2471"/>
      <c r="AE11" s="2471"/>
      <c r="AF11" s="2471"/>
      <c r="AG11" s="2471"/>
      <c r="AH11" s="2471"/>
      <c r="AI11" s="2471"/>
      <c r="AJ11" s="2471"/>
      <c r="AK11" s="2471"/>
      <c r="AL11" s="2471"/>
      <c r="AM11" s="2471"/>
      <c r="AN11" s="2495"/>
      <c r="AO11" s="2498"/>
      <c r="AP11" s="2498"/>
      <c r="AQ11" s="2501"/>
    </row>
    <row r="12" spans="1:44" ht="15" customHeight="1" x14ac:dyDescent="0.2">
      <c r="A12" s="2493"/>
      <c r="B12" s="2484"/>
      <c r="C12" s="2482"/>
      <c r="D12" s="2482"/>
      <c r="E12" s="2484"/>
      <c r="F12" s="2482"/>
      <c r="G12" s="2482"/>
      <c r="H12" s="2484"/>
      <c r="I12" s="2482"/>
      <c r="J12" s="2482"/>
      <c r="K12" s="2484"/>
      <c r="L12" s="2467"/>
      <c r="M12" s="2467"/>
      <c r="N12" s="2467"/>
      <c r="O12" s="2467"/>
      <c r="P12" s="2467"/>
      <c r="Q12" s="2478"/>
      <c r="R12" s="2480"/>
      <c r="S12" s="2467"/>
      <c r="T12" s="2467"/>
      <c r="U12" s="2467"/>
      <c r="V12" s="2467"/>
      <c r="W12" s="2502"/>
      <c r="X12" s="2467"/>
      <c r="Y12" s="2472"/>
      <c r="Z12" s="2505"/>
      <c r="AA12" s="2472"/>
      <c r="AB12" s="2472"/>
      <c r="AC12" s="2472"/>
      <c r="AD12" s="2472"/>
      <c r="AE12" s="2472"/>
      <c r="AF12" s="2472"/>
      <c r="AG12" s="2472"/>
      <c r="AH12" s="2472"/>
      <c r="AI12" s="2472"/>
      <c r="AJ12" s="2472"/>
      <c r="AK12" s="2472"/>
      <c r="AL12" s="2472"/>
      <c r="AM12" s="2472"/>
      <c r="AN12" s="2496"/>
      <c r="AO12" s="2499"/>
      <c r="AP12" s="2499"/>
      <c r="AQ12" s="2501"/>
    </row>
    <row r="13" spans="1:44" ht="15.75" x14ac:dyDescent="0.2">
      <c r="A13" s="40">
        <v>5</v>
      </c>
      <c r="B13" s="41" t="s">
        <v>49</v>
      </c>
      <c r="C13" s="41"/>
      <c r="D13" s="41"/>
      <c r="E13" s="41"/>
      <c r="F13" s="41"/>
      <c r="G13" s="41"/>
      <c r="H13" s="41"/>
      <c r="I13" s="41"/>
      <c r="J13" s="42"/>
      <c r="K13" s="42"/>
      <c r="L13" s="47"/>
      <c r="M13" s="42"/>
      <c r="N13" s="42"/>
      <c r="O13" s="42"/>
      <c r="P13" s="42"/>
      <c r="Q13" s="43"/>
      <c r="R13" s="44"/>
      <c r="S13" s="42"/>
      <c r="T13" s="42"/>
      <c r="U13" s="42"/>
      <c r="V13" s="45"/>
      <c r="W13" s="46"/>
      <c r="X13" s="47"/>
      <c r="Y13" s="41"/>
      <c r="Z13" s="41"/>
      <c r="AA13" s="41"/>
      <c r="AB13" s="41"/>
      <c r="AC13" s="41"/>
      <c r="AD13" s="41"/>
      <c r="AE13" s="41"/>
      <c r="AF13" s="41"/>
      <c r="AG13" s="41"/>
      <c r="AH13" s="41"/>
      <c r="AI13" s="41"/>
      <c r="AJ13" s="41"/>
      <c r="AK13" s="41"/>
      <c r="AL13" s="41"/>
      <c r="AM13" s="41"/>
      <c r="AN13" s="41"/>
      <c r="AO13" s="48"/>
      <c r="AP13" s="48"/>
      <c r="AQ13" s="49"/>
    </row>
    <row r="14" spans="1:44" ht="15.75" x14ac:dyDescent="0.2">
      <c r="A14" s="50"/>
      <c r="B14" s="51"/>
      <c r="C14" s="52"/>
      <c r="D14" s="53">
        <v>28</v>
      </c>
      <c r="E14" s="54" t="s">
        <v>50</v>
      </c>
      <c r="F14" s="54"/>
      <c r="G14" s="54"/>
      <c r="H14" s="54"/>
      <c r="I14" s="54"/>
      <c r="J14" s="55"/>
      <c r="K14" s="55"/>
      <c r="L14" s="55"/>
      <c r="M14" s="55"/>
      <c r="N14" s="55"/>
      <c r="O14" s="55"/>
      <c r="P14" s="55"/>
      <c r="Q14" s="56"/>
      <c r="R14" s="57"/>
      <c r="S14" s="55"/>
      <c r="T14" s="55"/>
      <c r="U14" s="55"/>
      <c r="V14" s="58"/>
      <c r="W14" s="59"/>
      <c r="X14" s="60"/>
      <c r="Y14" s="54"/>
      <c r="Z14" s="54"/>
      <c r="AA14" s="54"/>
      <c r="AB14" s="54"/>
      <c r="AC14" s="54"/>
      <c r="AD14" s="54"/>
      <c r="AE14" s="54"/>
      <c r="AF14" s="54"/>
      <c r="AG14" s="54"/>
      <c r="AH14" s="54"/>
      <c r="AI14" s="54"/>
      <c r="AJ14" s="54"/>
      <c r="AK14" s="54"/>
      <c r="AL14" s="54"/>
      <c r="AM14" s="54"/>
      <c r="AN14" s="54"/>
      <c r="AO14" s="61"/>
      <c r="AP14" s="61"/>
      <c r="AQ14" s="62"/>
    </row>
    <row r="15" spans="1:44" ht="15.75" x14ac:dyDescent="0.2">
      <c r="A15" s="63"/>
      <c r="B15" s="64"/>
      <c r="C15" s="65"/>
      <c r="D15" s="66"/>
      <c r="E15" s="67"/>
      <c r="F15" s="68"/>
      <c r="G15" s="69">
        <v>89</v>
      </c>
      <c r="H15" s="70" t="s">
        <v>51</v>
      </c>
      <c r="I15" s="70"/>
      <c r="J15" s="71"/>
      <c r="K15" s="71"/>
      <c r="L15" s="71"/>
      <c r="M15" s="71"/>
      <c r="N15" s="71"/>
      <c r="O15" s="71"/>
      <c r="P15" s="71"/>
      <c r="Q15" s="72"/>
      <c r="R15" s="73"/>
      <c r="S15" s="71"/>
      <c r="T15" s="71"/>
      <c r="U15" s="71"/>
      <c r="V15" s="74"/>
      <c r="W15" s="75"/>
      <c r="X15" s="76"/>
      <c r="Y15" s="70"/>
      <c r="Z15" s="70"/>
      <c r="AA15" s="70"/>
      <c r="AB15" s="70"/>
      <c r="AC15" s="70"/>
      <c r="AD15" s="70"/>
      <c r="AE15" s="70"/>
      <c r="AF15" s="70"/>
      <c r="AG15" s="70"/>
      <c r="AH15" s="70"/>
      <c r="AI15" s="70"/>
      <c r="AJ15" s="70"/>
      <c r="AK15" s="70"/>
      <c r="AL15" s="70"/>
      <c r="AM15" s="70"/>
      <c r="AN15" s="70"/>
      <c r="AO15" s="77"/>
      <c r="AP15" s="77"/>
      <c r="AQ15" s="78"/>
    </row>
    <row r="16" spans="1:44" ht="86.25" customHeight="1" x14ac:dyDescent="0.2">
      <c r="A16" s="741"/>
      <c r="B16" s="742"/>
      <c r="C16" s="743"/>
      <c r="D16" s="744"/>
      <c r="E16" s="745"/>
      <c r="F16" s="746"/>
      <c r="G16" s="747"/>
      <c r="H16" s="748"/>
      <c r="I16" s="749"/>
      <c r="J16" s="1646">
        <v>282</v>
      </c>
      <c r="K16" s="1645" t="s">
        <v>52</v>
      </c>
      <c r="L16" s="1645" t="s">
        <v>53</v>
      </c>
      <c r="M16" s="1646">
        <v>2</v>
      </c>
      <c r="N16" s="1646" t="s">
        <v>54</v>
      </c>
      <c r="O16" s="1651" t="s">
        <v>55</v>
      </c>
      <c r="P16" s="1486" t="s">
        <v>56</v>
      </c>
      <c r="Q16" s="1647">
        <f>+(V16)/R16</f>
        <v>1</v>
      </c>
      <c r="R16" s="1648">
        <f>V16</f>
        <v>79103800</v>
      </c>
      <c r="S16" s="1644" t="s">
        <v>57</v>
      </c>
      <c r="T16" s="1644" t="s">
        <v>58</v>
      </c>
      <c r="U16" s="1417" t="s">
        <v>59</v>
      </c>
      <c r="V16" s="1357">
        <f>79500000-396200</f>
        <v>79103800</v>
      </c>
      <c r="W16" s="750" t="s">
        <v>60</v>
      </c>
      <c r="X16" s="1416" t="s">
        <v>61</v>
      </c>
      <c r="Y16" s="1422">
        <v>292684</v>
      </c>
      <c r="Z16" s="1422">
        <v>282326</v>
      </c>
      <c r="AA16" s="1422">
        <v>135912</v>
      </c>
      <c r="AB16" s="1422">
        <v>45122</v>
      </c>
      <c r="AC16" s="1422">
        <v>307101</v>
      </c>
      <c r="AD16" s="1422">
        <v>86875</v>
      </c>
      <c r="AE16" s="1422">
        <v>2145</v>
      </c>
      <c r="AF16" s="1422">
        <v>12718</v>
      </c>
      <c r="AG16" s="1422">
        <v>26</v>
      </c>
      <c r="AH16" s="1422">
        <v>37</v>
      </c>
      <c r="AI16" s="1422">
        <v>0</v>
      </c>
      <c r="AJ16" s="1422">
        <v>0</v>
      </c>
      <c r="AK16" s="1422">
        <v>53164</v>
      </c>
      <c r="AL16" s="1422">
        <v>16982</v>
      </c>
      <c r="AM16" s="1422">
        <v>60013</v>
      </c>
      <c r="AN16" s="1422">
        <v>575010</v>
      </c>
      <c r="AO16" s="1643">
        <v>43467</v>
      </c>
      <c r="AP16" s="1643">
        <v>43830</v>
      </c>
      <c r="AQ16" s="1653" t="s">
        <v>62</v>
      </c>
      <c r="AR16" s="1323"/>
    </row>
    <row r="17" spans="1:44" ht="93.75" customHeight="1" x14ac:dyDescent="0.2">
      <c r="A17" s="741"/>
      <c r="B17" s="742"/>
      <c r="C17" s="743"/>
      <c r="D17" s="744"/>
      <c r="E17" s="745"/>
      <c r="F17" s="746"/>
      <c r="G17" s="751"/>
      <c r="H17" s="752"/>
      <c r="I17" s="753"/>
      <c r="J17" s="2473">
        <v>283</v>
      </c>
      <c r="K17" s="2439" t="s">
        <v>63</v>
      </c>
      <c r="L17" s="2439" t="s">
        <v>64</v>
      </c>
      <c r="M17" s="2473">
        <v>1</v>
      </c>
      <c r="N17" s="2439" t="s">
        <v>65</v>
      </c>
      <c r="O17" s="2474" t="s">
        <v>66</v>
      </c>
      <c r="P17" s="2439" t="s">
        <v>67</v>
      </c>
      <c r="Q17" s="2475">
        <f>+(V17+V18+V19)/R17</f>
        <v>1</v>
      </c>
      <c r="R17" s="2476">
        <f>SUM(V17:V19)</f>
        <v>44007000</v>
      </c>
      <c r="S17" s="2439" t="s">
        <v>68</v>
      </c>
      <c r="T17" s="755" t="s">
        <v>69</v>
      </c>
      <c r="U17" s="1417" t="s">
        <v>70</v>
      </c>
      <c r="V17" s="1357">
        <f>30550000+8750000+4707000</f>
        <v>44007000</v>
      </c>
      <c r="W17" s="756">
        <v>20</v>
      </c>
      <c r="X17" s="1649" t="s">
        <v>61</v>
      </c>
      <c r="Y17" s="2460">
        <v>850</v>
      </c>
      <c r="Z17" s="2460">
        <v>550</v>
      </c>
      <c r="AA17" s="2460">
        <v>400</v>
      </c>
      <c r="AB17" s="2460">
        <v>0</v>
      </c>
      <c r="AC17" s="2460">
        <v>950</v>
      </c>
      <c r="AD17" s="2460">
        <v>50</v>
      </c>
      <c r="AE17" s="2460">
        <v>0</v>
      </c>
      <c r="AF17" s="2460">
        <v>30</v>
      </c>
      <c r="AG17" s="2460">
        <v>0</v>
      </c>
      <c r="AH17" s="2460">
        <v>0</v>
      </c>
      <c r="AI17" s="2460">
        <v>0</v>
      </c>
      <c r="AJ17" s="2460">
        <v>0</v>
      </c>
      <c r="AK17" s="2460">
        <v>0</v>
      </c>
      <c r="AL17" s="2460">
        <v>0</v>
      </c>
      <c r="AM17" s="2460">
        <v>0</v>
      </c>
      <c r="AN17" s="2460">
        <v>1400</v>
      </c>
      <c r="AO17" s="2461">
        <v>43467</v>
      </c>
      <c r="AP17" s="2461">
        <v>43830</v>
      </c>
      <c r="AQ17" s="2456" t="s">
        <v>71</v>
      </c>
      <c r="AR17" s="1324"/>
    </row>
    <row r="18" spans="1:44" ht="90" customHeight="1" x14ac:dyDescent="0.2">
      <c r="A18" s="741"/>
      <c r="B18" s="742"/>
      <c r="C18" s="743"/>
      <c r="D18" s="744"/>
      <c r="E18" s="745"/>
      <c r="F18" s="746"/>
      <c r="G18" s="751"/>
      <c r="H18" s="752"/>
      <c r="I18" s="753"/>
      <c r="J18" s="2473"/>
      <c r="K18" s="2439"/>
      <c r="L18" s="2439"/>
      <c r="M18" s="2473"/>
      <c r="N18" s="2439"/>
      <c r="O18" s="2474"/>
      <c r="P18" s="2439"/>
      <c r="Q18" s="2475"/>
      <c r="R18" s="2476"/>
      <c r="S18" s="2439"/>
      <c r="T18" s="1417" t="s">
        <v>72</v>
      </c>
      <c r="U18" s="1417" t="s">
        <v>73</v>
      </c>
      <c r="V18" s="1357">
        <f>7000000-7000000</f>
        <v>0</v>
      </c>
      <c r="W18" s="756">
        <v>20</v>
      </c>
      <c r="X18" s="1649" t="s">
        <v>61</v>
      </c>
      <c r="Y18" s="2460"/>
      <c r="Z18" s="2460"/>
      <c r="AA18" s="2460"/>
      <c r="AB18" s="2460"/>
      <c r="AC18" s="2460"/>
      <c r="AD18" s="2460"/>
      <c r="AE18" s="2460"/>
      <c r="AF18" s="2460"/>
      <c r="AG18" s="2460"/>
      <c r="AH18" s="2460"/>
      <c r="AI18" s="2460"/>
      <c r="AJ18" s="2460"/>
      <c r="AK18" s="2460"/>
      <c r="AL18" s="2460"/>
      <c r="AM18" s="2460"/>
      <c r="AN18" s="2460"/>
      <c r="AO18" s="2461"/>
      <c r="AP18" s="2461"/>
      <c r="AQ18" s="2456"/>
      <c r="AR18" s="1324"/>
    </row>
    <row r="19" spans="1:44" ht="80.25" customHeight="1" x14ac:dyDescent="0.2">
      <c r="A19" s="741"/>
      <c r="B19" s="742"/>
      <c r="C19" s="743"/>
      <c r="D19" s="744"/>
      <c r="E19" s="745"/>
      <c r="F19" s="746"/>
      <c r="G19" s="751"/>
      <c r="H19" s="752"/>
      <c r="I19" s="753"/>
      <c r="J19" s="2473"/>
      <c r="K19" s="2439"/>
      <c r="L19" s="2439"/>
      <c r="M19" s="2473"/>
      <c r="N19" s="2439"/>
      <c r="O19" s="2474"/>
      <c r="P19" s="2439"/>
      <c r="Q19" s="2475"/>
      <c r="R19" s="2476"/>
      <c r="S19" s="2439"/>
      <c r="T19" s="1417" t="s">
        <v>74</v>
      </c>
      <c r="U19" s="1417" t="s">
        <v>75</v>
      </c>
      <c r="V19" s="1357">
        <f>1750000-1750000</f>
        <v>0</v>
      </c>
      <c r="W19" s="85">
        <v>20</v>
      </c>
      <c r="X19" s="757" t="s">
        <v>61</v>
      </c>
      <c r="Y19" s="2460"/>
      <c r="Z19" s="2460"/>
      <c r="AA19" s="2460"/>
      <c r="AB19" s="2460"/>
      <c r="AC19" s="2460"/>
      <c r="AD19" s="2460"/>
      <c r="AE19" s="2460"/>
      <c r="AF19" s="2460"/>
      <c r="AG19" s="2460"/>
      <c r="AH19" s="2460"/>
      <c r="AI19" s="2460"/>
      <c r="AJ19" s="2460"/>
      <c r="AK19" s="2460"/>
      <c r="AL19" s="2460"/>
      <c r="AM19" s="2460"/>
      <c r="AN19" s="2460"/>
      <c r="AO19" s="2461"/>
      <c r="AP19" s="2461"/>
      <c r="AQ19" s="2456"/>
      <c r="AR19" s="1324"/>
    </row>
    <row r="20" spans="1:44" ht="101.25" customHeight="1" x14ac:dyDescent="0.2">
      <c r="A20" s="63"/>
      <c r="B20" s="64"/>
      <c r="C20" s="65"/>
      <c r="D20" s="79"/>
      <c r="E20" s="80"/>
      <c r="F20" s="81"/>
      <c r="G20" s="82"/>
      <c r="H20" s="83"/>
      <c r="I20" s="84"/>
      <c r="J20" s="1424">
        <v>285</v>
      </c>
      <c r="K20" s="1494" t="s">
        <v>76</v>
      </c>
      <c r="L20" s="1417" t="s">
        <v>77</v>
      </c>
      <c r="M20" s="1416">
        <v>1</v>
      </c>
      <c r="N20" s="1645" t="s">
        <v>78</v>
      </c>
      <c r="O20" s="1416" t="s">
        <v>79</v>
      </c>
      <c r="P20" s="1417" t="s">
        <v>80</v>
      </c>
      <c r="Q20" s="1652">
        <f>+V20/R20</f>
        <v>1</v>
      </c>
      <c r="R20" s="1418">
        <f>V20</f>
        <v>78604667</v>
      </c>
      <c r="S20" s="1494" t="s">
        <v>81</v>
      </c>
      <c r="T20" s="1494" t="s">
        <v>82</v>
      </c>
      <c r="U20" s="1494" t="s">
        <v>83</v>
      </c>
      <c r="V20" s="1357">
        <f>89600000-10995333</f>
        <v>78604667</v>
      </c>
      <c r="W20" s="85">
        <v>20</v>
      </c>
      <c r="X20" s="757" t="s">
        <v>61</v>
      </c>
      <c r="Y20" s="1419">
        <v>292684</v>
      </c>
      <c r="Z20" s="1419">
        <v>282326</v>
      </c>
      <c r="AA20" s="1419">
        <v>135912</v>
      </c>
      <c r="AB20" s="1419">
        <v>45122</v>
      </c>
      <c r="AC20" s="1419">
        <v>307101</v>
      </c>
      <c r="AD20" s="1419">
        <v>86875</v>
      </c>
      <c r="AE20" s="1419">
        <v>2145</v>
      </c>
      <c r="AF20" s="1419">
        <v>12718</v>
      </c>
      <c r="AG20" s="1419">
        <v>26</v>
      </c>
      <c r="AH20" s="1419">
        <v>37</v>
      </c>
      <c r="AI20" s="1419">
        <v>0</v>
      </c>
      <c r="AJ20" s="1419">
        <v>0</v>
      </c>
      <c r="AK20" s="1419">
        <v>53164</v>
      </c>
      <c r="AL20" s="1419">
        <v>16982</v>
      </c>
      <c r="AM20" s="1419">
        <v>60013</v>
      </c>
      <c r="AN20" s="1419">
        <v>575010</v>
      </c>
      <c r="AO20" s="1420">
        <v>43467</v>
      </c>
      <c r="AP20" s="1420">
        <v>43830</v>
      </c>
      <c r="AQ20" s="1421" t="s">
        <v>84</v>
      </c>
      <c r="AR20" s="1323"/>
    </row>
    <row r="21" spans="1:44" ht="105" x14ac:dyDescent="0.2">
      <c r="A21" s="63"/>
      <c r="B21" s="64"/>
      <c r="C21" s="65"/>
      <c r="D21" s="79"/>
      <c r="E21" s="80"/>
      <c r="F21" s="81"/>
      <c r="G21" s="82"/>
      <c r="H21" s="83"/>
      <c r="I21" s="84"/>
      <c r="J21" s="1424">
        <v>280</v>
      </c>
      <c r="K21" s="1494" t="s">
        <v>85</v>
      </c>
      <c r="L21" s="1417" t="s">
        <v>86</v>
      </c>
      <c r="M21" s="1426">
        <v>1</v>
      </c>
      <c r="N21" s="86"/>
      <c r="O21" s="2448" t="s">
        <v>87</v>
      </c>
      <c r="P21" s="2450" t="s">
        <v>88</v>
      </c>
      <c r="Q21" s="87">
        <f>+(V21)/R21</f>
        <v>2.9053308782970842E-3</v>
      </c>
      <c r="R21" s="2453">
        <f>SUM(V21:V25)</f>
        <v>5212143000</v>
      </c>
      <c r="S21" s="2448" t="s">
        <v>89</v>
      </c>
      <c r="T21" s="1417" t="s">
        <v>90</v>
      </c>
      <c r="U21" s="1417" t="s">
        <v>91</v>
      </c>
      <c r="V21" s="1410">
        <f>24850000-5000000-4707000</f>
        <v>15143000</v>
      </c>
      <c r="W21" s="88">
        <v>20</v>
      </c>
      <c r="X21" s="89" t="s">
        <v>61</v>
      </c>
      <c r="Y21" s="2445">
        <v>292684</v>
      </c>
      <c r="Z21" s="2445">
        <v>282326</v>
      </c>
      <c r="AA21" s="2445">
        <v>135912</v>
      </c>
      <c r="AB21" s="2445">
        <v>45122</v>
      </c>
      <c r="AC21" s="2445">
        <v>307101</v>
      </c>
      <c r="AD21" s="2445">
        <v>86875</v>
      </c>
      <c r="AE21" s="2445">
        <v>2145</v>
      </c>
      <c r="AF21" s="2445">
        <v>12718</v>
      </c>
      <c r="AG21" s="2445">
        <v>26</v>
      </c>
      <c r="AH21" s="2445">
        <v>37</v>
      </c>
      <c r="AI21" s="2445">
        <v>0</v>
      </c>
      <c r="AJ21" s="2445">
        <v>0</v>
      </c>
      <c r="AK21" s="2445">
        <v>53164</v>
      </c>
      <c r="AL21" s="2445">
        <v>16982</v>
      </c>
      <c r="AM21" s="2445">
        <v>60013</v>
      </c>
      <c r="AN21" s="2445">
        <v>575010</v>
      </c>
      <c r="AO21" s="2457">
        <v>43101</v>
      </c>
      <c r="AP21" s="2457">
        <v>43465</v>
      </c>
      <c r="AQ21" s="1421" t="s">
        <v>92</v>
      </c>
    </row>
    <row r="22" spans="1:44" ht="55.5" customHeight="1" x14ac:dyDescent="0.2">
      <c r="A22" s="63"/>
      <c r="B22" s="64"/>
      <c r="C22" s="65"/>
      <c r="D22" s="79"/>
      <c r="E22" s="80"/>
      <c r="F22" s="81"/>
      <c r="G22" s="82"/>
      <c r="H22" s="83"/>
      <c r="I22" s="84"/>
      <c r="J22" s="2436">
        <v>281</v>
      </c>
      <c r="K22" s="2437" t="s">
        <v>93</v>
      </c>
      <c r="L22" s="2439" t="s">
        <v>94</v>
      </c>
      <c r="M22" s="2440">
        <v>1</v>
      </c>
      <c r="N22" s="2441" t="s">
        <v>95</v>
      </c>
      <c r="O22" s="2441"/>
      <c r="P22" s="2451"/>
      <c r="Q22" s="2442">
        <f>+(V22+V23)/R21</f>
        <v>1.4581334395468428E-2</v>
      </c>
      <c r="R22" s="2454"/>
      <c r="S22" s="2441"/>
      <c r="T22" s="2439" t="s">
        <v>96</v>
      </c>
      <c r="U22" s="1645" t="s">
        <v>97</v>
      </c>
      <c r="V22" s="1358">
        <f>83500000-83500000</f>
        <v>0</v>
      </c>
      <c r="W22" s="88">
        <v>20</v>
      </c>
      <c r="X22" s="89" t="s">
        <v>98</v>
      </c>
      <c r="Y22" s="2446"/>
      <c r="Z22" s="2446"/>
      <c r="AA22" s="2446"/>
      <c r="AB22" s="2446"/>
      <c r="AC22" s="2446"/>
      <c r="AD22" s="2446"/>
      <c r="AE22" s="2446"/>
      <c r="AF22" s="2446"/>
      <c r="AG22" s="2446"/>
      <c r="AH22" s="2446"/>
      <c r="AI22" s="2446"/>
      <c r="AJ22" s="2446"/>
      <c r="AK22" s="2446"/>
      <c r="AL22" s="2446"/>
      <c r="AM22" s="2446"/>
      <c r="AN22" s="2446"/>
      <c r="AO22" s="2458"/>
      <c r="AP22" s="2458"/>
      <c r="AQ22" s="2456" t="s">
        <v>99</v>
      </c>
    </row>
    <row r="23" spans="1:44" ht="47.25" customHeight="1" x14ac:dyDescent="0.2">
      <c r="A23" s="63"/>
      <c r="B23" s="64"/>
      <c r="C23" s="65"/>
      <c r="D23" s="79"/>
      <c r="E23" s="80"/>
      <c r="F23" s="81"/>
      <c r="G23" s="82"/>
      <c r="H23" s="83"/>
      <c r="I23" s="84"/>
      <c r="J23" s="2436"/>
      <c r="K23" s="2438"/>
      <c r="L23" s="2439"/>
      <c r="M23" s="2440"/>
      <c r="N23" s="2441"/>
      <c r="O23" s="2441"/>
      <c r="P23" s="2451"/>
      <c r="Q23" s="2443"/>
      <c r="R23" s="2454"/>
      <c r="S23" s="2441"/>
      <c r="T23" s="2444"/>
      <c r="U23" s="1400" t="s">
        <v>100</v>
      </c>
      <c r="V23" s="1401">
        <f>0+83500000-7500000</f>
        <v>76000000</v>
      </c>
      <c r="W23" s="88">
        <v>20</v>
      </c>
      <c r="X23" s="89" t="s">
        <v>98</v>
      </c>
      <c r="Y23" s="2446"/>
      <c r="Z23" s="2446"/>
      <c r="AA23" s="2446"/>
      <c r="AB23" s="2446"/>
      <c r="AC23" s="2446"/>
      <c r="AD23" s="2446"/>
      <c r="AE23" s="2446"/>
      <c r="AF23" s="2446"/>
      <c r="AG23" s="2446"/>
      <c r="AH23" s="2446"/>
      <c r="AI23" s="2446"/>
      <c r="AJ23" s="2446"/>
      <c r="AK23" s="2446"/>
      <c r="AL23" s="2446"/>
      <c r="AM23" s="2446"/>
      <c r="AN23" s="2446"/>
      <c r="AO23" s="2458"/>
      <c r="AP23" s="2458"/>
      <c r="AQ23" s="2456"/>
      <c r="AR23" s="361"/>
    </row>
    <row r="24" spans="1:44" ht="75" x14ac:dyDescent="0.2">
      <c r="A24" s="63"/>
      <c r="B24" s="64"/>
      <c r="C24" s="65"/>
      <c r="D24" s="79"/>
      <c r="E24" s="80"/>
      <c r="F24" s="81"/>
      <c r="G24" s="82"/>
      <c r="H24" s="83"/>
      <c r="I24" s="84"/>
      <c r="J24" s="1424">
        <v>287</v>
      </c>
      <c r="K24" s="1494" t="s">
        <v>101</v>
      </c>
      <c r="L24" s="1417" t="s">
        <v>102</v>
      </c>
      <c r="M24" s="1426">
        <v>1</v>
      </c>
      <c r="N24" s="90"/>
      <c r="O24" s="2441"/>
      <c r="P24" s="2451"/>
      <c r="Q24" s="87">
        <f>+V24/R21</f>
        <v>2.3215019234890524E-2</v>
      </c>
      <c r="R24" s="2454"/>
      <c r="S24" s="2441"/>
      <c r="T24" s="1417" t="s">
        <v>103</v>
      </c>
      <c r="U24" s="1650" t="s">
        <v>104</v>
      </c>
      <c r="V24" s="1410">
        <f>108500000+5000000+7500000</f>
        <v>121000000</v>
      </c>
      <c r="W24" s="88">
        <v>20</v>
      </c>
      <c r="X24" s="89" t="s">
        <v>98</v>
      </c>
      <c r="Y24" s="2446"/>
      <c r="Z24" s="2446"/>
      <c r="AA24" s="2446"/>
      <c r="AB24" s="2446"/>
      <c r="AC24" s="2446"/>
      <c r="AD24" s="2446"/>
      <c r="AE24" s="2446"/>
      <c r="AF24" s="2446"/>
      <c r="AG24" s="2446"/>
      <c r="AH24" s="2446"/>
      <c r="AI24" s="2446"/>
      <c r="AJ24" s="2446"/>
      <c r="AK24" s="2446"/>
      <c r="AL24" s="2446"/>
      <c r="AM24" s="2446"/>
      <c r="AN24" s="2446"/>
      <c r="AO24" s="2458"/>
      <c r="AP24" s="2458"/>
      <c r="AQ24" s="1399"/>
    </row>
    <row r="25" spans="1:44" ht="122.25" customHeight="1" x14ac:dyDescent="0.2">
      <c r="A25" s="91"/>
      <c r="B25" s="92"/>
      <c r="C25" s="93"/>
      <c r="D25" s="94"/>
      <c r="E25" s="95"/>
      <c r="F25" s="96"/>
      <c r="G25" s="97"/>
      <c r="H25" s="98"/>
      <c r="I25" s="99"/>
      <c r="J25" s="1646">
        <v>289</v>
      </c>
      <c r="K25" s="1645" t="s">
        <v>105</v>
      </c>
      <c r="L25" s="1645" t="s">
        <v>106</v>
      </c>
      <c r="M25" s="100">
        <v>1</v>
      </c>
      <c r="N25" s="90"/>
      <c r="O25" s="2449"/>
      <c r="P25" s="2452"/>
      <c r="Q25" s="1427">
        <f>+V25/R21</f>
        <v>0.95929831549134392</v>
      </c>
      <c r="R25" s="2455"/>
      <c r="S25" s="2449"/>
      <c r="T25" s="1645" t="s">
        <v>107</v>
      </c>
      <c r="U25" s="1417" t="s">
        <v>108</v>
      </c>
      <c r="V25" s="1357">
        <v>5000000000</v>
      </c>
      <c r="W25" s="101">
        <v>46</v>
      </c>
      <c r="X25" s="1423" t="s">
        <v>109</v>
      </c>
      <c r="Y25" s="2447"/>
      <c r="Z25" s="2447"/>
      <c r="AA25" s="2447"/>
      <c r="AB25" s="2447"/>
      <c r="AC25" s="2447"/>
      <c r="AD25" s="2447"/>
      <c r="AE25" s="2447"/>
      <c r="AF25" s="2447"/>
      <c r="AG25" s="2447"/>
      <c r="AH25" s="2447"/>
      <c r="AI25" s="2447"/>
      <c r="AJ25" s="2447"/>
      <c r="AK25" s="2447"/>
      <c r="AL25" s="2447"/>
      <c r="AM25" s="2447"/>
      <c r="AN25" s="2447"/>
      <c r="AO25" s="2459"/>
      <c r="AP25" s="2459"/>
      <c r="AQ25" s="102" t="s">
        <v>110</v>
      </c>
    </row>
    <row r="26" spans="1:44" ht="21.75" customHeight="1" thickBot="1" x14ac:dyDescent="0.3">
      <c r="A26" s="1186" t="s">
        <v>111</v>
      </c>
      <c r="B26" s="103"/>
      <c r="C26" s="103"/>
      <c r="D26" s="103"/>
      <c r="E26" s="103"/>
      <c r="F26" s="103"/>
      <c r="G26" s="103"/>
      <c r="H26" s="103"/>
      <c r="I26" s="103"/>
      <c r="J26" s="104"/>
      <c r="K26" s="105"/>
      <c r="L26" s="106"/>
      <c r="M26" s="107"/>
      <c r="N26" s="105"/>
      <c r="O26" s="106"/>
      <c r="P26" s="106"/>
      <c r="Q26" s="108"/>
      <c r="R26" s="109">
        <f>SUM(R16:R25)</f>
        <v>5413858467</v>
      </c>
      <c r="S26" s="110"/>
      <c r="T26" s="105"/>
      <c r="U26" s="111"/>
      <c r="V26" s="112">
        <f>SUM(V16:V25)</f>
        <v>5413858467</v>
      </c>
      <c r="W26" s="113"/>
      <c r="X26" s="114"/>
      <c r="Y26" s="115"/>
      <c r="Z26" s="115"/>
      <c r="AA26" s="115"/>
      <c r="AB26" s="115"/>
      <c r="AC26" s="115"/>
      <c r="AD26" s="115"/>
      <c r="AE26" s="114"/>
      <c r="AF26" s="114"/>
      <c r="AG26" s="114"/>
      <c r="AH26" s="114"/>
      <c r="AI26" s="114"/>
      <c r="AJ26" s="114"/>
      <c r="AK26" s="114"/>
      <c r="AL26" s="114"/>
      <c r="AM26" s="114"/>
      <c r="AN26" s="114"/>
      <c r="AO26" s="116"/>
      <c r="AP26" s="116"/>
      <c r="AQ26" s="117"/>
    </row>
    <row r="27" spans="1:44" x14ac:dyDescent="0.2">
      <c r="A27" s="118"/>
      <c r="B27" s="118"/>
      <c r="C27" s="118"/>
      <c r="D27" s="118"/>
      <c r="E27" s="118"/>
      <c r="F27" s="118"/>
      <c r="G27" s="118"/>
      <c r="H27" s="118"/>
      <c r="I27" s="118"/>
      <c r="J27" s="119"/>
      <c r="K27" s="120"/>
      <c r="L27" s="119"/>
      <c r="M27" s="119"/>
      <c r="N27" s="119"/>
      <c r="O27" s="119"/>
      <c r="P27" s="120"/>
      <c r="Q27" s="121"/>
      <c r="R27" s="122"/>
      <c r="S27" s="120"/>
      <c r="T27" s="120"/>
      <c r="U27" s="120"/>
      <c r="V27" s="123"/>
      <c r="W27" s="124"/>
      <c r="X27" s="125"/>
      <c r="Y27" s="126"/>
      <c r="Z27" s="126"/>
      <c r="AA27" s="126"/>
      <c r="AB27" s="126"/>
      <c r="AC27" s="126"/>
      <c r="AD27" s="126"/>
      <c r="AE27" s="126"/>
      <c r="AF27" s="126"/>
      <c r="AG27" s="126"/>
      <c r="AH27" s="126"/>
      <c r="AI27" s="126"/>
      <c r="AJ27" s="126"/>
      <c r="AK27" s="126"/>
      <c r="AL27" s="126"/>
      <c r="AM27" s="126"/>
      <c r="AN27" s="126"/>
      <c r="AO27" s="126"/>
      <c r="AP27" s="126"/>
      <c r="AQ27" s="126"/>
    </row>
    <row r="28" spans="1:44" ht="31.5" customHeight="1" x14ac:dyDescent="0.2">
      <c r="A28" s="118"/>
      <c r="B28" s="118"/>
      <c r="C28" s="118"/>
      <c r="D28" s="118"/>
      <c r="E28" s="118"/>
      <c r="F28" s="118"/>
      <c r="G28" s="118"/>
      <c r="H28" s="118"/>
      <c r="I28" s="118"/>
      <c r="J28" s="119"/>
      <c r="K28" s="120"/>
      <c r="L28" s="119"/>
      <c r="M28" s="119"/>
      <c r="N28" s="119"/>
      <c r="O28" s="119"/>
      <c r="P28" s="120"/>
      <c r="Q28" s="121"/>
      <c r="R28" s="127"/>
      <c r="S28" s="120"/>
      <c r="T28" s="120"/>
      <c r="U28" s="120"/>
      <c r="V28" s="1322"/>
      <c r="W28" s="124"/>
      <c r="X28" s="125"/>
      <c r="Y28" s="126"/>
      <c r="Z28" s="126"/>
      <c r="AA28" s="126"/>
      <c r="AB28" s="126"/>
      <c r="AC28" s="126"/>
      <c r="AD28" s="126"/>
      <c r="AE28" s="126"/>
      <c r="AF28" s="126"/>
      <c r="AG28" s="126"/>
      <c r="AH28" s="126"/>
      <c r="AI28" s="126"/>
      <c r="AJ28" s="126"/>
      <c r="AK28" s="126"/>
      <c r="AL28" s="126"/>
      <c r="AM28" s="126"/>
      <c r="AN28" s="126"/>
      <c r="AO28" s="126"/>
      <c r="AP28" s="126"/>
      <c r="AQ28" s="126"/>
    </row>
    <row r="29" spans="1:44" ht="26.25" customHeight="1" x14ac:dyDescent="0.25">
      <c r="A29" s="128"/>
      <c r="B29" s="128" t="s">
        <v>112</v>
      </c>
      <c r="C29" s="128"/>
      <c r="D29" s="128"/>
      <c r="E29" s="128"/>
      <c r="F29" s="118"/>
      <c r="G29" s="118"/>
      <c r="H29" s="118"/>
      <c r="I29" s="118"/>
      <c r="J29" s="119"/>
      <c r="K29" s="120"/>
      <c r="L29" s="119"/>
      <c r="M29" s="119"/>
      <c r="N29" s="119"/>
      <c r="O29" s="119"/>
      <c r="P29" s="120"/>
      <c r="Q29" s="121"/>
      <c r="R29" s="127"/>
      <c r="S29" s="120"/>
      <c r="T29" s="120"/>
      <c r="U29" s="120"/>
      <c r="V29" s="126"/>
      <c r="W29" s="124"/>
      <c r="X29" s="125"/>
      <c r="Y29" s="126"/>
      <c r="Z29" s="126"/>
      <c r="AA29" s="126"/>
      <c r="AB29" s="126"/>
      <c r="AC29" s="126"/>
      <c r="AD29" s="126"/>
      <c r="AE29" s="126"/>
      <c r="AF29" s="126"/>
      <c r="AG29" s="126"/>
      <c r="AH29" s="126"/>
      <c r="AI29" s="126"/>
      <c r="AJ29" s="126"/>
      <c r="AK29" s="126"/>
      <c r="AL29" s="126"/>
      <c r="AM29" s="126"/>
      <c r="AN29" s="126"/>
      <c r="AO29" s="126"/>
      <c r="AP29" s="126"/>
      <c r="AQ29" s="126"/>
    </row>
    <row r="30" spans="1:44" x14ac:dyDescent="0.2">
      <c r="B30" s="29" t="s">
        <v>113</v>
      </c>
      <c r="V30" s="1321"/>
    </row>
    <row r="32" spans="1:44" ht="15.75" x14ac:dyDescent="0.25">
      <c r="M32" s="2434" t="s">
        <v>112</v>
      </c>
      <c r="N32" s="2434"/>
      <c r="O32" s="2434"/>
    </row>
    <row r="33" spans="13:15" x14ac:dyDescent="0.2">
      <c r="M33" s="2435" t="s">
        <v>113</v>
      </c>
      <c r="N33" s="2435"/>
      <c r="O33" s="2435"/>
    </row>
  </sheetData>
  <sheetProtection password="A60F" sheet="1" objects="1" scenarios="1"/>
  <mergeCells count="109">
    <mergeCell ref="A1:AO4"/>
    <mergeCell ref="A5:M6"/>
    <mergeCell ref="N5:AQ5"/>
    <mergeCell ref="Y6:AM6"/>
    <mergeCell ref="A7:A12"/>
    <mergeCell ref="B7:C12"/>
    <mergeCell ref="D7:D12"/>
    <mergeCell ref="E7:F12"/>
    <mergeCell ref="G7:G12"/>
    <mergeCell ref="H7:I12"/>
    <mergeCell ref="AK8:AK12"/>
    <mergeCell ref="AL8:AL12"/>
    <mergeCell ref="AM8:AM12"/>
    <mergeCell ref="AN7:AN12"/>
    <mergeCell ref="AO7:AO12"/>
    <mergeCell ref="AP7:AP12"/>
    <mergeCell ref="AQ7:AQ12"/>
    <mergeCell ref="W8:W12"/>
    <mergeCell ref="Y8:Y12"/>
    <mergeCell ref="Z8:Z12"/>
    <mergeCell ref="AA8:AA12"/>
    <mergeCell ref="AB8:AB12"/>
    <mergeCell ref="AC8:AC12"/>
    <mergeCell ref="X7:X12"/>
    <mergeCell ref="P7:P12"/>
    <mergeCell ref="Q7:Q12"/>
    <mergeCell ref="R7:R12"/>
    <mergeCell ref="S7:S12"/>
    <mergeCell ref="T7:T12"/>
    <mergeCell ref="U7:U12"/>
    <mergeCell ref="J7:J12"/>
    <mergeCell ref="K7:K12"/>
    <mergeCell ref="L7:L12"/>
    <mergeCell ref="M7:M12"/>
    <mergeCell ref="N7:N12"/>
    <mergeCell ref="O7:O12"/>
    <mergeCell ref="J17:J19"/>
    <mergeCell ref="K17:K19"/>
    <mergeCell ref="L17:L19"/>
    <mergeCell ref="M17:M19"/>
    <mergeCell ref="N17:N19"/>
    <mergeCell ref="O17:O19"/>
    <mergeCell ref="P17:P19"/>
    <mergeCell ref="Q17:Q19"/>
    <mergeCell ref="R17:R19"/>
    <mergeCell ref="S17:S19"/>
    <mergeCell ref="Y17:Y19"/>
    <mergeCell ref="Z17:Z19"/>
    <mergeCell ref="AA17:AA19"/>
    <mergeCell ref="AB17:AB19"/>
    <mergeCell ref="AC17:AC19"/>
    <mergeCell ref="AP17:AP19"/>
    <mergeCell ref="Y7:Z7"/>
    <mergeCell ref="AA7:AD7"/>
    <mergeCell ref="V7:V12"/>
    <mergeCell ref="AE7:AJ7"/>
    <mergeCell ref="AK7:AM7"/>
    <mergeCell ref="AD8:AD12"/>
    <mergeCell ref="AE8:AE12"/>
    <mergeCell ref="AF8:AF12"/>
    <mergeCell ref="AG8:AG12"/>
    <mergeCell ref="AH8:AH12"/>
    <mergeCell ref="AI8:AI12"/>
    <mergeCell ref="AJ8:AJ12"/>
    <mergeCell ref="AQ17:AQ19"/>
    <mergeCell ref="AJ17:AJ19"/>
    <mergeCell ref="AK17:AK19"/>
    <mergeCell ref="AL17:AL19"/>
    <mergeCell ref="AM17:AM19"/>
    <mergeCell ref="AN17:AN19"/>
    <mergeCell ref="AO17:AO19"/>
    <mergeCell ref="AD17:AD19"/>
    <mergeCell ref="AE17:AE19"/>
    <mergeCell ref="AF17:AF19"/>
    <mergeCell ref="AG17:AG19"/>
    <mergeCell ref="AH17:AH19"/>
    <mergeCell ref="AI17:AI19"/>
    <mergeCell ref="AQ22:AQ23"/>
    <mergeCell ref="AN21:AN25"/>
    <mergeCell ref="AO21:AO25"/>
    <mergeCell ref="AP21:AP25"/>
    <mergeCell ref="AJ21:AJ25"/>
    <mergeCell ref="AK21:AK25"/>
    <mergeCell ref="AL21:AL25"/>
    <mergeCell ref="AM21:AM25"/>
    <mergeCell ref="AH21:AH25"/>
    <mergeCell ref="AI21:AI25"/>
    <mergeCell ref="AB21:AB25"/>
    <mergeCell ref="AC21:AC25"/>
    <mergeCell ref="AD21:AD25"/>
    <mergeCell ref="AE21:AE25"/>
    <mergeCell ref="AF21:AF25"/>
    <mergeCell ref="AG21:AG25"/>
    <mergeCell ref="O21:O25"/>
    <mergeCell ref="P21:P25"/>
    <mergeCell ref="R21:R25"/>
    <mergeCell ref="S21:S25"/>
    <mergeCell ref="Y21:Y25"/>
    <mergeCell ref="Z21:Z25"/>
    <mergeCell ref="AA21:AA25"/>
    <mergeCell ref="M32:O32"/>
    <mergeCell ref="M33:O33"/>
    <mergeCell ref="J22:J23"/>
    <mergeCell ref="K22:K23"/>
    <mergeCell ref="L22:L23"/>
    <mergeCell ref="M22:M23"/>
    <mergeCell ref="N22:N23"/>
    <mergeCell ref="Q22:Q23"/>
    <mergeCell ref="T22:T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I136"/>
  <sheetViews>
    <sheetView showGridLines="0" zoomScale="60" zoomScaleNormal="60" workbookViewId="0">
      <selection sqref="A1:AP4"/>
    </sheetView>
  </sheetViews>
  <sheetFormatPr baseColWidth="10" defaultColWidth="11.42578125" defaultRowHeight="15" x14ac:dyDescent="0.2"/>
  <cols>
    <col min="1" max="10" width="20" style="3" customWidth="1"/>
    <col min="11" max="11" width="45.28515625" style="3" customWidth="1"/>
    <col min="12" max="12" width="43.140625" style="3" hidden="1" customWidth="1"/>
    <col min="13" max="13" width="21.85546875" style="3" hidden="1" customWidth="1"/>
    <col min="14" max="14" width="34.5703125" style="256" customWidth="1"/>
    <col min="15" max="15" width="23.28515625" style="3" customWidth="1"/>
    <col min="16" max="16" width="26" style="3" customWidth="1"/>
    <col min="17" max="17" width="14" style="3" customWidth="1"/>
    <col min="18" max="18" width="33.42578125" style="3" customWidth="1"/>
    <col min="19" max="19" width="43" style="3" customWidth="1"/>
    <col min="20" max="20" width="44.5703125" style="3" customWidth="1"/>
    <col min="21" max="21" width="41.140625" style="3" customWidth="1"/>
    <col min="22" max="22" width="30.42578125" style="3" bestFit="1" customWidth="1"/>
    <col min="23" max="23" width="16.140625" style="138" customWidth="1"/>
    <col min="24" max="24" width="28" style="400" customWidth="1"/>
    <col min="25" max="25" width="15" style="3" customWidth="1"/>
    <col min="26" max="26" width="9" style="3" bestFit="1" customWidth="1"/>
    <col min="27" max="27" width="13.42578125" style="3" customWidth="1"/>
    <col min="28" max="28" width="9.140625" style="3" customWidth="1"/>
    <col min="29" max="30" width="8.140625" style="3" customWidth="1"/>
    <col min="31" max="32" width="8" style="3" customWidth="1"/>
    <col min="33" max="36" width="7.42578125" style="3" customWidth="1"/>
    <col min="37" max="39" width="7.5703125" style="3" bestFit="1" customWidth="1"/>
    <col min="40" max="40" width="9" style="3" bestFit="1" customWidth="1"/>
    <col min="41" max="41" width="19" style="3" customWidth="1"/>
    <col min="42" max="42" width="27.7109375" style="3" customWidth="1"/>
    <col min="43" max="43" width="24.42578125" style="3" customWidth="1"/>
    <col min="44" max="54" width="14.85546875" style="3" customWidth="1"/>
    <col min="55" max="16384" width="11.42578125" style="3"/>
  </cols>
  <sheetData>
    <row r="1" spans="1:61" ht="21" customHeight="1" x14ac:dyDescent="0.2">
      <c r="A1" s="2678" t="s">
        <v>1756</v>
      </c>
      <c r="B1" s="2678"/>
      <c r="C1" s="2678"/>
      <c r="D1" s="2678"/>
      <c r="E1" s="2678"/>
      <c r="F1" s="2678"/>
      <c r="G1" s="2678"/>
      <c r="H1" s="2678"/>
      <c r="I1" s="2678"/>
      <c r="J1" s="2678"/>
      <c r="K1" s="2678"/>
      <c r="L1" s="2678"/>
      <c r="M1" s="2678"/>
      <c r="N1" s="2678"/>
      <c r="O1" s="2678"/>
      <c r="P1" s="2678"/>
      <c r="Q1" s="2678"/>
      <c r="R1" s="2678"/>
      <c r="S1" s="2678"/>
      <c r="T1" s="2678"/>
      <c r="U1" s="2678"/>
      <c r="V1" s="2678"/>
      <c r="W1" s="2678"/>
      <c r="X1" s="2678"/>
      <c r="Y1" s="2678"/>
      <c r="Z1" s="2678"/>
      <c r="AA1" s="2678"/>
      <c r="AB1" s="2678"/>
      <c r="AC1" s="2678"/>
      <c r="AD1" s="2678"/>
      <c r="AE1" s="2678"/>
      <c r="AF1" s="2678"/>
      <c r="AG1" s="2678"/>
      <c r="AH1" s="2678"/>
      <c r="AI1" s="2678"/>
      <c r="AJ1" s="2678"/>
      <c r="AK1" s="2678"/>
      <c r="AL1" s="2678"/>
      <c r="AM1" s="2678"/>
      <c r="AN1" s="2678"/>
      <c r="AO1" s="2678"/>
      <c r="AP1" s="3191"/>
      <c r="AQ1" s="8" t="s">
        <v>1</v>
      </c>
    </row>
    <row r="2" spans="1:61" ht="21" customHeight="1" x14ac:dyDescent="0.2">
      <c r="A2" s="2678"/>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2678"/>
      <c r="AO2" s="2678"/>
      <c r="AP2" s="3191"/>
      <c r="AQ2" s="554">
        <v>7</v>
      </c>
    </row>
    <row r="3" spans="1:61" ht="21" customHeight="1" x14ac:dyDescent="0.2">
      <c r="A3" s="2678"/>
      <c r="B3" s="2678"/>
      <c r="C3" s="2678"/>
      <c r="D3" s="2678"/>
      <c r="E3" s="2678"/>
      <c r="F3" s="2678"/>
      <c r="G3" s="2678"/>
      <c r="H3" s="2678"/>
      <c r="I3" s="2678"/>
      <c r="J3" s="2678"/>
      <c r="K3" s="2678"/>
      <c r="L3" s="2678"/>
      <c r="M3" s="2678"/>
      <c r="N3" s="2678"/>
      <c r="O3" s="2678"/>
      <c r="P3" s="2678"/>
      <c r="Q3" s="2678"/>
      <c r="R3" s="2678"/>
      <c r="S3" s="2678"/>
      <c r="T3" s="2678"/>
      <c r="U3" s="2678"/>
      <c r="V3" s="2678"/>
      <c r="W3" s="2678"/>
      <c r="X3" s="2678"/>
      <c r="Y3" s="2678"/>
      <c r="Z3" s="2678"/>
      <c r="AA3" s="2678"/>
      <c r="AB3" s="2678"/>
      <c r="AC3" s="2678"/>
      <c r="AD3" s="2678"/>
      <c r="AE3" s="2678"/>
      <c r="AF3" s="2678"/>
      <c r="AG3" s="2678"/>
      <c r="AH3" s="2678"/>
      <c r="AI3" s="2678"/>
      <c r="AJ3" s="2678"/>
      <c r="AK3" s="2678"/>
      <c r="AL3" s="2678"/>
      <c r="AM3" s="2678"/>
      <c r="AN3" s="2678"/>
      <c r="AO3" s="2678"/>
      <c r="AP3" s="3191"/>
      <c r="AQ3" s="555" t="s">
        <v>5</v>
      </c>
    </row>
    <row r="4" spans="1:61" s="10" customFormat="1" ht="21" customHeight="1" x14ac:dyDescent="0.2">
      <c r="A4" s="2679"/>
      <c r="B4" s="2679"/>
      <c r="C4" s="2679"/>
      <c r="D4" s="2679"/>
      <c r="E4" s="2679"/>
      <c r="F4" s="2679"/>
      <c r="G4" s="2679"/>
      <c r="H4" s="2679"/>
      <c r="I4" s="2679"/>
      <c r="J4" s="2679"/>
      <c r="K4" s="2679"/>
      <c r="L4" s="2679"/>
      <c r="M4" s="2679"/>
      <c r="N4" s="2679"/>
      <c r="O4" s="2679"/>
      <c r="P4" s="2679"/>
      <c r="Q4" s="2679"/>
      <c r="R4" s="2679"/>
      <c r="S4" s="2679"/>
      <c r="T4" s="2679"/>
      <c r="U4" s="2679"/>
      <c r="V4" s="2679"/>
      <c r="W4" s="2679"/>
      <c r="X4" s="2679"/>
      <c r="Y4" s="2679"/>
      <c r="Z4" s="2679"/>
      <c r="AA4" s="2679"/>
      <c r="AB4" s="2679"/>
      <c r="AC4" s="2679"/>
      <c r="AD4" s="2679"/>
      <c r="AE4" s="2679"/>
      <c r="AF4" s="2679"/>
      <c r="AG4" s="2679"/>
      <c r="AH4" s="2679"/>
      <c r="AI4" s="2679"/>
      <c r="AJ4" s="2679"/>
      <c r="AK4" s="2679"/>
      <c r="AL4" s="2679"/>
      <c r="AM4" s="2679"/>
      <c r="AN4" s="2679"/>
      <c r="AO4" s="2679"/>
      <c r="AP4" s="3192"/>
      <c r="AQ4" s="512" t="s">
        <v>534</v>
      </c>
    </row>
    <row r="5" spans="1:61" ht="28.5" customHeight="1" x14ac:dyDescent="0.2">
      <c r="A5" s="2681" t="s">
        <v>8</v>
      </c>
      <c r="B5" s="2681"/>
      <c r="C5" s="2681"/>
      <c r="D5" s="2681"/>
      <c r="E5" s="2681"/>
      <c r="F5" s="2681"/>
      <c r="G5" s="2681"/>
      <c r="H5" s="2681"/>
      <c r="I5" s="2681"/>
      <c r="J5" s="2681"/>
      <c r="K5" s="2681"/>
      <c r="L5" s="2681"/>
      <c r="M5" s="2681"/>
      <c r="N5" s="1439"/>
      <c r="O5" s="1439"/>
      <c r="P5" s="2681" t="s">
        <v>9</v>
      </c>
      <c r="Q5" s="2681"/>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c r="AP5" s="2681"/>
      <c r="AQ5" s="2681"/>
    </row>
    <row r="6" spans="1:61" ht="28.5" customHeight="1" x14ac:dyDescent="0.2">
      <c r="A6" s="2682" t="s">
        <v>11</v>
      </c>
      <c r="B6" s="2684" t="s">
        <v>12</v>
      </c>
      <c r="C6" s="2685"/>
      <c r="D6" s="2688" t="s">
        <v>11</v>
      </c>
      <c r="E6" s="2684" t="s">
        <v>13</v>
      </c>
      <c r="F6" s="2685"/>
      <c r="G6" s="2688" t="s">
        <v>11</v>
      </c>
      <c r="H6" s="2684" t="s">
        <v>14</v>
      </c>
      <c r="I6" s="2685"/>
      <c r="J6" s="2688" t="s">
        <v>11</v>
      </c>
      <c r="K6" s="2688" t="s">
        <v>15</v>
      </c>
      <c r="L6" s="2688" t="s">
        <v>16</v>
      </c>
      <c r="M6" s="2688" t="s">
        <v>17</v>
      </c>
      <c r="N6" s="2688" t="s">
        <v>18</v>
      </c>
      <c r="O6" s="2688" t="s">
        <v>19</v>
      </c>
      <c r="P6" s="2688" t="s">
        <v>9</v>
      </c>
      <c r="Q6" s="2704" t="s">
        <v>20</v>
      </c>
      <c r="R6" s="2704" t="s">
        <v>21</v>
      </c>
      <c r="S6" s="2704" t="s">
        <v>22</v>
      </c>
      <c r="T6" s="2704" t="s">
        <v>23</v>
      </c>
      <c r="U6" s="2704" t="s">
        <v>24</v>
      </c>
      <c r="V6" s="556" t="s">
        <v>21</v>
      </c>
      <c r="W6" s="1512"/>
      <c r="X6" s="2688" t="s">
        <v>25</v>
      </c>
      <c r="Y6" s="3559" t="s">
        <v>26</v>
      </c>
      <c r="Z6" s="3560"/>
      <c r="AA6" s="3553" t="s">
        <v>27</v>
      </c>
      <c r="AB6" s="3554"/>
      <c r="AC6" s="3554"/>
      <c r="AD6" s="3554"/>
      <c r="AE6" s="3555" t="s">
        <v>28</v>
      </c>
      <c r="AF6" s="3556"/>
      <c r="AG6" s="3556"/>
      <c r="AH6" s="3556"/>
      <c r="AI6" s="3556"/>
      <c r="AJ6" s="3556"/>
      <c r="AK6" s="3553" t="s">
        <v>29</v>
      </c>
      <c r="AL6" s="3554"/>
      <c r="AM6" s="3554"/>
      <c r="AN6" s="3557" t="s">
        <v>30</v>
      </c>
      <c r="AO6" s="3550" t="s">
        <v>31</v>
      </c>
      <c r="AP6" s="3550" t="s">
        <v>32</v>
      </c>
      <c r="AQ6" s="2690" t="s">
        <v>33</v>
      </c>
      <c r="AR6" s="131"/>
      <c r="AS6" s="131"/>
      <c r="AT6" s="131"/>
      <c r="AU6" s="131"/>
      <c r="AV6" s="131"/>
      <c r="AW6" s="131"/>
      <c r="AX6" s="131"/>
      <c r="AY6" s="131"/>
      <c r="AZ6" s="131"/>
      <c r="BA6" s="131"/>
      <c r="BB6" s="131"/>
      <c r="BC6" s="131"/>
      <c r="BD6" s="131"/>
      <c r="BE6" s="131"/>
      <c r="BF6" s="131"/>
      <c r="BG6" s="131"/>
      <c r="BH6" s="131"/>
      <c r="BI6" s="131"/>
    </row>
    <row r="7" spans="1:61" ht="64.5" customHeight="1" x14ac:dyDescent="0.2">
      <c r="A7" s="2683"/>
      <c r="B7" s="2686"/>
      <c r="C7" s="2687"/>
      <c r="D7" s="2689"/>
      <c r="E7" s="2686"/>
      <c r="F7" s="2687"/>
      <c r="G7" s="2689"/>
      <c r="H7" s="2686"/>
      <c r="I7" s="2687"/>
      <c r="J7" s="2689"/>
      <c r="K7" s="2689"/>
      <c r="L7" s="2689"/>
      <c r="M7" s="2726"/>
      <c r="N7" s="2689"/>
      <c r="O7" s="2689"/>
      <c r="P7" s="2689"/>
      <c r="Q7" s="2705"/>
      <c r="R7" s="2705"/>
      <c r="S7" s="2705"/>
      <c r="T7" s="2705"/>
      <c r="U7" s="2705"/>
      <c r="V7" s="1442" t="s">
        <v>632</v>
      </c>
      <c r="W7" s="1440" t="s">
        <v>11</v>
      </c>
      <c r="X7" s="2689"/>
      <c r="Y7" s="134" t="s">
        <v>34</v>
      </c>
      <c r="Z7" s="135" t="s">
        <v>35</v>
      </c>
      <c r="AA7" s="134" t="s">
        <v>36</v>
      </c>
      <c r="AB7" s="134" t="s">
        <v>115</v>
      </c>
      <c r="AC7" s="134" t="s">
        <v>985</v>
      </c>
      <c r="AD7" s="134" t="s">
        <v>117</v>
      </c>
      <c r="AE7" s="134" t="s">
        <v>40</v>
      </c>
      <c r="AF7" s="134" t="s">
        <v>41</v>
      </c>
      <c r="AG7" s="134" t="s">
        <v>42</v>
      </c>
      <c r="AH7" s="134" t="s">
        <v>43</v>
      </c>
      <c r="AI7" s="134" t="s">
        <v>44</v>
      </c>
      <c r="AJ7" s="134" t="s">
        <v>45</v>
      </c>
      <c r="AK7" s="134" t="s">
        <v>46</v>
      </c>
      <c r="AL7" s="134" t="s">
        <v>47</v>
      </c>
      <c r="AM7" s="134" t="s">
        <v>48</v>
      </c>
      <c r="AN7" s="3558"/>
      <c r="AO7" s="3551"/>
      <c r="AP7" s="3551"/>
      <c r="AQ7" s="3552"/>
      <c r="AR7" s="131"/>
      <c r="AS7" s="131"/>
      <c r="AT7" s="131"/>
      <c r="AU7" s="131"/>
      <c r="AV7" s="131"/>
      <c r="AW7" s="131"/>
      <c r="AX7" s="131"/>
      <c r="AY7" s="131"/>
      <c r="AZ7" s="131"/>
      <c r="BA7" s="131"/>
      <c r="BB7" s="131"/>
      <c r="BC7" s="131"/>
      <c r="BD7" s="131"/>
      <c r="BE7" s="131"/>
      <c r="BF7" s="131"/>
      <c r="BG7" s="131"/>
      <c r="BH7" s="131"/>
      <c r="BI7" s="131"/>
    </row>
    <row r="8" spans="1:61" s="564" customFormat="1" ht="15.75" x14ac:dyDescent="0.25">
      <c r="A8" s="557">
        <v>3</v>
      </c>
      <c r="B8" s="558"/>
      <c r="C8" s="558" t="s">
        <v>919</v>
      </c>
      <c r="D8" s="558"/>
      <c r="E8" s="558"/>
      <c r="F8" s="558"/>
      <c r="G8" s="558"/>
      <c r="H8" s="558"/>
      <c r="I8" s="558"/>
      <c r="J8" s="558"/>
      <c r="K8" s="351"/>
      <c r="L8" s="351"/>
      <c r="M8" s="558"/>
      <c r="N8" s="352"/>
      <c r="O8" s="558"/>
      <c r="P8" s="351"/>
      <c r="Q8" s="559"/>
      <c r="R8" s="560"/>
      <c r="S8" s="351"/>
      <c r="T8" s="351"/>
      <c r="U8" s="351"/>
      <c r="V8" s="351"/>
      <c r="W8" s="352"/>
      <c r="X8" s="558"/>
      <c r="Y8" s="558"/>
      <c r="Z8" s="558"/>
      <c r="AA8" s="558"/>
      <c r="AB8" s="558"/>
      <c r="AC8" s="558"/>
      <c r="AD8" s="558"/>
      <c r="AE8" s="558"/>
      <c r="AF8" s="558"/>
      <c r="AG8" s="558"/>
      <c r="AH8" s="561"/>
      <c r="AI8" s="351"/>
      <c r="AJ8" s="562"/>
      <c r="AK8" s="562"/>
      <c r="AL8" s="562"/>
      <c r="AM8" s="562"/>
      <c r="AN8" s="562"/>
      <c r="AO8" s="562"/>
      <c r="AP8" s="562"/>
      <c r="AQ8" s="563"/>
    </row>
    <row r="9" spans="1:61" s="564" customFormat="1" ht="15.75" x14ac:dyDescent="0.25">
      <c r="A9" s="565"/>
      <c r="B9" s="1542"/>
      <c r="C9" s="1543"/>
      <c r="D9" s="566">
        <v>5</v>
      </c>
      <c r="E9" s="567" t="s">
        <v>986</v>
      </c>
      <c r="F9" s="567"/>
      <c r="G9" s="567"/>
      <c r="H9" s="567"/>
      <c r="I9" s="567"/>
      <c r="J9" s="567"/>
      <c r="K9" s="356"/>
      <c r="L9" s="356"/>
      <c r="M9" s="567"/>
      <c r="N9" s="357"/>
      <c r="O9" s="567"/>
      <c r="P9" s="356"/>
      <c r="Q9" s="568"/>
      <c r="R9" s="569"/>
      <c r="S9" s="356"/>
      <c r="T9" s="356"/>
      <c r="U9" s="356"/>
      <c r="V9" s="356"/>
      <c r="W9" s="357"/>
      <c r="X9" s="567"/>
      <c r="Y9" s="567"/>
      <c r="Z9" s="567"/>
      <c r="AA9" s="567"/>
      <c r="AB9" s="567"/>
      <c r="AC9" s="567"/>
      <c r="AD9" s="567"/>
      <c r="AE9" s="567"/>
      <c r="AF9" s="567"/>
      <c r="AG9" s="567"/>
      <c r="AH9" s="570"/>
      <c r="AI9" s="356"/>
      <c r="AJ9" s="571"/>
      <c r="AK9" s="571"/>
      <c r="AL9" s="571"/>
      <c r="AM9" s="571"/>
      <c r="AN9" s="571"/>
      <c r="AO9" s="571"/>
      <c r="AP9" s="571"/>
      <c r="AQ9" s="572"/>
    </row>
    <row r="10" spans="1:61" s="564" customFormat="1" ht="15.75" x14ac:dyDescent="0.25">
      <c r="A10" s="573"/>
      <c r="B10" s="1545"/>
      <c r="C10" s="1545"/>
      <c r="D10" s="574"/>
      <c r="E10" s="575"/>
      <c r="F10" s="576"/>
      <c r="G10" s="577">
        <v>16</v>
      </c>
      <c r="H10" s="1433" t="s">
        <v>987</v>
      </c>
      <c r="I10" s="1433"/>
      <c r="J10" s="1433"/>
      <c r="K10" s="166"/>
      <c r="L10" s="166"/>
      <c r="M10" s="1433"/>
      <c r="N10" s="226"/>
      <c r="O10" s="1433"/>
      <c r="P10" s="166"/>
      <c r="Q10" s="578"/>
      <c r="R10" s="579"/>
      <c r="S10" s="166"/>
      <c r="T10" s="1266"/>
      <c r="U10" s="1266"/>
      <c r="V10" s="1266"/>
      <c r="W10" s="1365"/>
      <c r="X10" s="1267"/>
      <c r="Y10" s="1433"/>
      <c r="Z10" s="1433"/>
      <c r="AA10" s="1433"/>
      <c r="AB10" s="1433"/>
      <c r="AC10" s="1433"/>
      <c r="AD10" s="1433"/>
      <c r="AE10" s="580"/>
      <c r="AF10" s="1433"/>
      <c r="AG10" s="1433"/>
      <c r="AH10" s="581"/>
      <c r="AI10" s="166"/>
      <c r="AJ10" s="582"/>
      <c r="AK10" s="582"/>
      <c r="AL10" s="582"/>
      <c r="AM10" s="582"/>
      <c r="AN10" s="582"/>
      <c r="AO10" s="582"/>
      <c r="AP10" s="582"/>
      <c r="AQ10" s="583"/>
    </row>
    <row r="11" spans="1:61" s="564" customFormat="1" ht="15.75" customHeight="1" x14ac:dyDescent="0.25">
      <c r="A11" s="573"/>
      <c r="B11" s="1545"/>
      <c r="C11" s="1545"/>
      <c r="D11" s="584"/>
      <c r="E11" s="585"/>
      <c r="F11" s="586"/>
      <c r="G11" s="1599"/>
      <c r="H11" s="1599"/>
      <c r="I11" s="1598"/>
      <c r="J11" s="2597">
        <v>65</v>
      </c>
      <c r="K11" s="2845" t="s">
        <v>988</v>
      </c>
      <c r="L11" s="2845" t="s">
        <v>989</v>
      </c>
      <c r="M11" s="2824">
        <v>1</v>
      </c>
      <c r="N11" s="2878" t="s">
        <v>990</v>
      </c>
      <c r="O11" s="3230" t="s">
        <v>991</v>
      </c>
      <c r="P11" s="3517" t="s">
        <v>992</v>
      </c>
      <c r="Q11" s="3570">
        <f>SUM(V11:V15)/$R$11</f>
        <v>0.28664236022810946</v>
      </c>
      <c r="R11" s="3572">
        <f>SUM(V11:V25)</f>
        <v>22459800034.010002</v>
      </c>
      <c r="S11" s="3300" t="s">
        <v>993</v>
      </c>
      <c r="T11" s="2610" t="s">
        <v>994</v>
      </c>
      <c r="U11" s="2610" t="s">
        <v>995</v>
      </c>
      <c r="V11" s="3573">
        <v>2166498979</v>
      </c>
      <c r="W11" s="3286">
        <v>35</v>
      </c>
      <c r="X11" s="3592" t="s">
        <v>996</v>
      </c>
      <c r="Y11" s="3588">
        <v>20555</v>
      </c>
      <c r="Z11" s="3576">
        <v>21361</v>
      </c>
      <c r="AA11" s="3576">
        <v>30460</v>
      </c>
      <c r="AB11" s="3576">
        <v>9593</v>
      </c>
      <c r="AC11" s="3576">
        <v>1762</v>
      </c>
      <c r="AD11" s="3576">
        <v>101</v>
      </c>
      <c r="AE11" s="3576">
        <v>308</v>
      </c>
      <c r="AF11" s="3576">
        <v>277</v>
      </c>
      <c r="AG11" s="3576">
        <v>0</v>
      </c>
      <c r="AH11" s="3576">
        <v>0</v>
      </c>
      <c r="AI11" s="3576">
        <v>0</v>
      </c>
      <c r="AJ11" s="3576">
        <v>0</v>
      </c>
      <c r="AK11" s="3576">
        <v>2907</v>
      </c>
      <c r="AL11" s="3576">
        <v>2589</v>
      </c>
      <c r="AM11" s="3576">
        <v>2954</v>
      </c>
      <c r="AN11" s="3576">
        <f>+Y11+Z11</f>
        <v>41916</v>
      </c>
      <c r="AO11" s="3563">
        <v>43466</v>
      </c>
      <c r="AP11" s="3566">
        <v>43830</v>
      </c>
      <c r="AQ11" s="2597" t="s">
        <v>997</v>
      </c>
    </row>
    <row r="12" spans="1:61" s="564" customFormat="1" ht="18" customHeight="1" x14ac:dyDescent="0.25">
      <c r="A12" s="573"/>
      <c r="B12" s="1545"/>
      <c r="C12" s="1545"/>
      <c r="D12" s="584"/>
      <c r="E12" s="585"/>
      <c r="F12" s="586"/>
      <c r="G12" s="1599"/>
      <c r="H12" s="1599"/>
      <c r="I12" s="1598"/>
      <c r="J12" s="2597"/>
      <c r="K12" s="2845"/>
      <c r="L12" s="2845"/>
      <c r="M12" s="2824"/>
      <c r="N12" s="2879"/>
      <c r="O12" s="3230"/>
      <c r="P12" s="3569"/>
      <c r="Q12" s="3570"/>
      <c r="R12" s="3572"/>
      <c r="S12" s="3300"/>
      <c r="T12" s="2610"/>
      <c r="U12" s="2610"/>
      <c r="V12" s="3573"/>
      <c r="W12" s="3286"/>
      <c r="X12" s="3592"/>
      <c r="Y12" s="3588"/>
      <c r="Z12" s="3576"/>
      <c r="AA12" s="3576"/>
      <c r="AB12" s="3576"/>
      <c r="AC12" s="3576"/>
      <c r="AD12" s="3576"/>
      <c r="AE12" s="3576"/>
      <c r="AF12" s="3576"/>
      <c r="AG12" s="3576"/>
      <c r="AH12" s="3576"/>
      <c r="AI12" s="3576"/>
      <c r="AJ12" s="3576"/>
      <c r="AK12" s="3576"/>
      <c r="AL12" s="3576"/>
      <c r="AM12" s="3576"/>
      <c r="AN12" s="3576"/>
      <c r="AO12" s="3564"/>
      <c r="AP12" s="3567"/>
      <c r="AQ12" s="2597"/>
    </row>
    <row r="13" spans="1:61" s="564" customFormat="1" ht="28.5" customHeight="1" x14ac:dyDescent="0.25">
      <c r="A13" s="573"/>
      <c r="B13" s="1545"/>
      <c r="C13" s="1545"/>
      <c r="D13" s="584"/>
      <c r="E13" s="585"/>
      <c r="F13" s="586"/>
      <c r="G13" s="1599"/>
      <c r="H13" s="1599"/>
      <c r="I13" s="1598"/>
      <c r="J13" s="2597"/>
      <c r="K13" s="2845"/>
      <c r="L13" s="2845"/>
      <c r="M13" s="2824"/>
      <c r="N13" s="2879"/>
      <c r="O13" s="3230"/>
      <c r="P13" s="3569"/>
      <c r="Q13" s="3570"/>
      <c r="R13" s="3572"/>
      <c r="S13" s="3300"/>
      <c r="T13" s="2610"/>
      <c r="U13" s="2610"/>
      <c r="V13" s="1381">
        <f>1142155795+241355304</f>
        <v>1383511099</v>
      </c>
      <c r="W13" s="1393">
        <v>20</v>
      </c>
      <c r="X13" s="1736" t="s">
        <v>61</v>
      </c>
      <c r="Y13" s="3588"/>
      <c r="Z13" s="3576"/>
      <c r="AA13" s="3576"/>
      <c r="AB13" s="3576"/>
      <c r="AC13" s="3576"/>
      <c r="AD13" s="3576"/>
      <c r="AE13" s="3576"/>
      <c r="AF13" s="3576"/>
      <c r="AG13" s="3576"/>
      <c r="AH13" s="3576"/>
      <c r="AI13" s="3576"/>
      <c r="AJ13" s="3576"/>
      <c r="AK13" s="3576"/>
      <c r="AL13" s="3576"/>
      <c r="AM13" s="3576"/>
      <c r="AN13" s="3576"/>
      <c r="AO13" s="3564"/>
      <c r="AP13" s="3567"/>
      <c r="AQ13" s="2597"/>
    </row>
    <row r="14" spans="1:61" s="564" customFormat="1" ht="28.5" customHeight="1" x14ac:dyDescent="0.25">
      <c r="A14" s="573"/>
      <c r="B14" s="1545"/>
      <c r="C14" s="1545"/>
      <c r="D14" s="584"/>
      <c r="E14" s="585"/>
      <c r="F14" s="586"/>
      <c r="G14" s="1599"/>
      <c r="H14" s="1599"/>
      <c r="I14" s="1598"/>
      <c r="J14" s="2597"/>
      <c r="K14" s="2845"/>
      <c r="L14" s="2845"/>
      <c r="M14" s="2824"/>
      <c r="N14" s="2879"/>
      <c r="O14" s="3230"/>
      <c r="P14" s="3569"/>
      <c r="Q14" s="3570"/>
      <c r="R14" s="3572"/>
      <c r="S14" s="3300"/>
      <c r="T14" s="2610"/>
      <c r="U14" s="2610"/>
      <c r="V14" s="1381">
        <v>43958033</v>
      </c>
      <c r="W14" s="1393">
        <v>91</v>
      </c>
      <c r="X14" s="1736" t="s">
        <v>998</v>
      </c>
      <c r="Y14" s="3588"/>
      <c r="Z14" s="3576"/>
      <c r="AA14" s="3576"/>
      <c r="AB14" s="3576"/>
      <c r="AC14" s="3576"/>
      <c r="AD14" s="3576"/>
      <c r="AE14" s="3576"/>
      <c r="AF14" s="3576"/>
      <c r="AG14" s="3576"/>
      <c r="AH14" s="3576"/>
      <c r="AI14" s="3576"/>
      <c r="AJ14" s="3576"/>
      <c r="AK14" s="3576"/>
      <c r="AL14" s="3576"/>
      <c r="AM14" s="3576"/>
      <c r="AN14" s="3576"/>
      <c r="AO14" s="3564"/>
      <c r="AP14" s="3567"/>
      <c r="AQ14" s="2597"/>
    </row>
    <row r="15" spans="1:61" s="564" customFormat="1" ht="31.5" customHeight="1" x14ac:dyDescent="0.25">
      <c r="A15" s="573"/>
      <c r="B15" s="1545"/>
      <c r="C15" s="1545"/>
      <c r="D15" s="584"/>
      <c r="E15" s="585"/>
      <c r="F15" s="586"/>
      <c r="G15" s="1599"/>
      <c r="H15" s="1599"/>
      <c r="I15" s="1598"/>
      <c r="J15" s="2519"/>
      <c r="K15" s="3325"/>
      <c r="L15" s="3325"/>
      <c r="M15" s="2825"/>
      <c r="N15" s="2879"/>
      <c r="O15" s="3230"/>
      <c r="P15" s="3569"/>
      <c r="Q15" s="3571"/>
      <c r="R15" s="3572"/>
      <c r="S15" s="3300"/>
      <c r="T15" s="2610"/>
      <c r="U15" s="2610"/>
      <c r="V15" s="1382">
        <f>2321723335+522238646</f>
        <v>2843961981</v>
      </c>
      <c r="W15" s="1737">
        <v>88</v>
      </c>
      <c r="X15" s="1738" t="s">
        <v>163</v>
      </c>
      <c r="Y15" s="3588"/>
      <c r="Z15" s="3576"/>
      <c r="AA15" s="3576"/>
      <c r="AB15" s="3576"/>
      <c r="AC15" s="3576"/>
      <c r="AD15" s="3576"/>
      <c r="AE15" s="3576"/>
      <c r="AF15" s="3576"/>
      <c r="AG15" s="3576"/>
      <c r="AH15" s="3576"/>
      <c r="AI15" s="3576"/>
      <c r="AJ15" s="3576"/>
      <c r="AK15" s="3576"/>
      <c r="AL15" s="3576"/>
      <c r="AM15" s="3576"/>
      <c r="AN15" s="3576"/>
      <c r="AO15" s="3565"/>
      <c r="AP15" s="3568"/>
      <c r="AQ15" s="2597"/>
    </row>
    <row r="16" spans="1:61" s="564" customFormat="1" ht="32.25" customHeight="1" x14ac:dyDescent="0.25">
      <c r="A16" s="573"/>
      <c r="B16" s="1545"/>
      <c r="C16" s="1545"/>
      <c r="D16" s="584"/>
      <c r="E16" s="585"/>
      <c r="F16" s="586"/>
      <c r="G16" s="1599"/>
      <c r="H16" s="1599"/>
      <c r="I16" s="1598"/>
      <c r="J16" s="2540">
        <v>66</v>
      </c>
      <c r="K16" s="3235" t="s">
        <v>999</v>
      </c>
      <c r="L16" s="3235" t="s">
        <v>1000</v>
      </c>
      <c r="M16" s="2823">
        <v>1</v>
      </c>
      <c r="N16" s="2879"/>
      <c r="O16" s="3230"/>
      <c r="P16" s="3569"/>
      <c r="Q16" s="3574">
        <f>SUM(V16:V21)/$R$11</f>
        <v>0.65547644768507485</v>
      </c>
      <c r="R16" s="3572"/>
      <c r="S16" s="3300"/>
      <c r="T16" s="2522" t="s">
        <v>1001</v>
      </c>
      <c r="U16" s="3575" t="s">
        <v>1002</v>
      </c>
      <c r="V16" s="1739">
        <f>9000000000-9451667+2317639250+481791807</f>
        <v>11789979390</v>
      </c>
      <c r="W16" s="1393">
        <v>81</v>
      </c>
      <c r="X16" s="1740" t="s">
        <v>1003</v>
      </c>
      <c r="Y16" s="3588"/>
      <c r="Z16" s="3576"/>
      <c r="AA16" s="3576"/>
      <c r="AB16" s="3576"/>
      <c r="AC16" s="3576"/>
      <c r="AD16" s="3576"/>
      <c r="AE16" s="3576"/>
      <c r="AF16" s="3576"/>
      <c r="AG16" s="3576"/>
      <c r="AH16" s="3576"/>
      <c r="AI16" s="3576"/>
      <c r="AJ16" s="3576"/>
      <c r="AK16" s="3576"/>
      <c r="AL16" s="3576"/>
      <c r="AM16" s="3576"/>
      <c r="AN16" s="3576"/>
      <c r="AO16" s="3563">
        <v>43486</v>
      </c>
      <c r="AP16" s="3566">
        <v>43784</v>
      </c>
      <c r="AQ16" s="2597"/>
    </row>
    <row r="17" spans="1:43" s="564" customFormat="1" ht="36" customHeight="1" x14ac:dyDescent="0.25">
      <c r="A17" s="573"/>
      <c r="B17" s="1545"/>
      <c r="C17" s="1545"/>
      <c r="D17" s="584"/>
      <c r="E17" s="585"/>
      <c r="F17" s="586"/>
      <c r="G17" s="1599"/>
      <c r="H17" s="1599"/>
      <c r="I17" s="1598"/>
      <c r="J17" s="2597"/>
      <c r="K17" s="2845"/>
      <c r="L17" s="2845"/>
      <c r="M17" s="2824"/>
      <c r="N17" s="2879"/>
      <c r="O17" s="3230"/>
      <c r="P17" s="3569"/>
      <c r="Q17" s="3570"/>
      <c r="R17" s="3572"/>
      <c r="S17" s="3300"/>
      <c r="T17" s="2522"/>
      <c r="U17" s="3575"/>
      <c r="V17" s="1739">
        <v>150000000</v>
      </c>
      <c r="W17" s="1393">
        <v>81</v>
      </c>
      <c r="X17" s="1740" t="s">
        <v>1004</v>
      </c>
      <c r="Y17" s="3588"/>
      <c r="Z17" s="3576"/>
      <c r="AA17" s="3576"/>
      <c r="AB17" s="3576"/>
      <c r="AC17" s="3576"/>
      <c r="AD17" s="3576"/>
      <c r="AE17" s="3576"/>
      <c r="AF17" s="3576"/>
      <c r="AG17" s="3576"/>
      <c r="AH17" s="3576"/>
      <c r="AI17" s="3576"/>
      <c r="AJ17" s="3576"/>
      <c r="AK17" s="3576"/>
      <c r="AL17" s="3576"/>
      <c r="AM17" s="3576"/>
      <c r="AN17" s="3576"/>
      <c r="AO17" s="3564"/>
      <c r="AP17" s="3567"/>
      <c r="AQ17" s="2597"/>
    </row>
    <row r="18" spans="1:43" s="564" customFormat="1" ht="36" customHeight="1" x14ac:dyDescent="0.25">
      <c r="A18" s="573"/>
      <c r="B18" s="1545"/>
      <c r="C18" s="1545"/>
      <c r="D18" s="584"/>
      <c r="E18" s="585"/>
      <c r="F18" s="586"/>
      <c r="G18" s="1599"/>
      <c r="H18" s="1599"/>
      <c r="I18" s="1598"/>
      <c r="J18" s="2597"/>
      <c r="K18" s="2845"/>
      <c r="L18" s="2845"/>
      <c r="M18" s="2824"/>
      <c r="N18" s="2879"/>
      <c r="O18" s="3230"/>
      <c r="P18" s="3569"/>
      <c r="Q18" s="3570"/>
      <c r="R18" s="3572"/>
      <c r="S18" s="3300"/>
      <c r="T18" s="2522"/>
      <c r="U18" s="3575"/>
      <c r="V18" s="1739">
        <v>1577857420.24</v>
      </c>
      <c r="W18" s="1393">
        <v>137</v>
      </c>
      <c r="X18" s="1740" t="s">
        <v>1005</v>
      </c>
      <c r="Y18" s="3588"/>
      <c r="Z18" s="3576"/>
      <c r="AA18" s="3576"/>
      <c r="AB18" s="3576"/>
      <c r="AC18" s="3576"/>
      <c r="AD18" s="3576"/>
      <c r="AE18" s="3576"/>
      <c r="AF18" s="3576"/>
      <c r="AG18" s="3576"/>
      <c r="AH18" s="3576"/>
      <c r="AI18" s="3576"/>
      <c r="AJ18" s="3576"/>
      <c r="AK18" s="3576"/>
      <c r="AL18" s="3576"/>
      <c r="AM18" s="3576"/>
      <c r="AN18" s="3576"/>
      <c r="AO18" s="3564"/>
      <c r="AP18" s="3567"/>
      <c r="AQ18" s="2597"/>
    </row>
    <row r="19" spans="1:43" s="564" customFormat="1" ht="41.25" customHeight="1" x14ac:dyDescent="0.25">
      <c r="A19" s="573"/>
      <c r="B19" s="1545"/>
      <c r="C19" s="1545"/>
      <c r="D19" s="584"/>
      <c r="E19" s="585"/>
      <c r="F19" s="586"/>
      <c r="G19" s="1599"/>
      <c r="H19" s="1599"/>
      <c r="I19" s="1598"/>
      <c r="J19" s="2597"/>
      <c r="K19" s="2845"/>
      <c r="L19" s="2845"/>
      <c r="M19" s="2824"/>
      <c r="N19" s="2879"/>
      <c r="O19" s="3230"/>
      <c r="P19" s="3569"/>
      <c r="Q19" s="3570"/>
      <c r="R19" s="3572"/>
      <c r="S19" s="3300"/>
      <c r="T19" s="2522"/>
      <c r="U19" s="3575"/>
      <c r="V19" s="1739">
        <v>909383464.76999998</v>
      </c>
      <c r="W19" s="1393">
        <v>56</v>
      </c>
      <c r="X19" s="1740" t="s">
        <v>1006</v>
      </c>
      <c r="Y19" s="3588"/>
      <c r="Z19" s="3576"/>
      <c r="AA19" s="3576"/>
      <c r="AB19" s="3576"/>
      <c r="AC19" s="3576"/>
      <c r="AD19" s="3576"/>
      <c r="AE19" s="3576"/>
      <c r="AF19" s="3576"/>
      <c r="AG19" s="3576"/>
      <c r="AH19" s="3576"/>
      <c r="AI19" s="3576"/>
      <c r="AJ19" s="3576"/>
      <c r="AK19" s="3576"/>
      <c r="AL19" s="3576"/>
      <c r="AM19" s="3576"/>
      <c r="AN19" s="3576"/>
      <c r="AO19" s="2519"/>
      <c r="AP19" s="3568"/>
      <c r="AQ19" s="2597"/>
    </row>
    <row r="20" spans="1:43" s="564" customFormat="1" ht="33" customHeight="1" x14ac:dyDescent="0.25">
      <c r="A20" s="573"/>
      <c r="B20" s="1545"/>
      <c r="C20" s="1545"/>
      <c r="D20" s="584"/>
      <c r="E20" s="585"/>
      <c r="F20" s="586"/>
      <c r="G20" s="1599"/>
      <c r="H20" s="1599"/>
      <c r="I20" s="1598"/>
      <c r="J20" s="2597"/>
      <c r="K20" s="2845"/>
      <c r="L20" s="2845"/>
      <c r="M20" s="2824"/>
      <c r="N20" s="2879"/>
      <c r="O20" s="3230"/>
      <c r="P20" s="3569"/>
      <c r="Q20" s="3570"/>
      <c r="R20" s="3572"/>
      <c r="S20" s="3300"/>
      <c r="T20" s="2522"/>
      <c r="U20" s="3561" t="s">
        <v>1007</v>
      </c>
      <c r="V20" s="1741">
        <v>285198000</v>
      </c>
      <c r="W20" s="1393">
        <v>20</v>
      </c>
      <c r="X20" s="1740" t="s">
        <v>61</v>
      </c>
      <c r="Y20" s="3588"/>
      <c r="Z20" s="3576"/>
      <c r="AA20" s="3576"/>
      <c r="AB20" s="3576"/>
      <c r="AC20" s="3576"/>
      <c r="AD20" s="3576"/>
      <c r="AE20" s="3576"/>
      <c r="AF20" s="3576"/>
      <c r="AG20" s="3576"/>
      <c r="AH20" s="3576"/>
      <c r="AI20" s="3576"/>
      <c r="AJ20" s="3576"/>
      <c r="AK20" s="3576"/>
      <c r="AL20" s="3576"/>
      <c r="AM20" s="3576"/>
      <c r="AN20" s="3576"/>
      <c r="AO20" s="1469"/>
      <c r="AP20" s="1620"/>
      <c r="AQ20" s="2597"/>
    </row>
    <row r="21" spans="1:43" s="564" customFormat="1" ht="33.75" customHeight="1" x14ac:dyDescent="0.25">
      <c r="A21" s="573"/>
      <c r="B21" s="1545"/>
      <c r="C21" s="1545"/>
      <c r="D21" s="584"/>
      <c r="E21" s="585"/>
      <c r="F21" s="586"/>
      <c r="G21" s="1599"/>
      <c r="H21" s="1599"/>
      <c r="I21" s="1598"/>
      <c r="J21" s="2519"/>
      <c r="K21" s="3325"/>
      <c r="L21" s="3325"/>
      <c r="M21" s="2825"/>
      <c r="N21" s="2879"/>
      <c r="O21" s="3230"/>
      <c r="P21" s="3569"/>
      <c r="Q21" s="3571"/>
      <c r="R21" s="3572"/>
      <c r="S21" s="3300"/>
      <c r="T21" s="2522"/>
      <c r="U21" s="3562"/>
      <c r="V21" s="1742">
        <v>9451667</v>
      </c>
      <c r="W21" s="1743">
        <v>81</v>
      </c>
      <c r="X21" s="1744" t="s">
        <v>1003</v>
      </c>
      <c r="Y21" s="3588"/>
      <c r="Z21" s="3576"/>
      <c r="AA21" s="3576"/>
      <c r="AB21" s="3576"/>
      <c r="AC21" s="3576"/>
      <c r="AD21" s="3576"/>
      <c r="AE21" s="3576"/>
      <c r="AF21" s="3576"/>
      <c r="AG21" s="3576"/>
      <c r="AH21" s="3576"/>
      <c r="AI21" s="3576"/>
      <c r="AJ21" s="3576"/>
      <c r="AK21" s="3576"/>
      <c r="AL21" s="3576"/>
      <c r="AM21" s="3576"/>
      <c r="AN21" s="3576"/>
      <c r="AO21" s="1082">
        <v>43479</v>
      </c>
      <c r="AP21" s="1083">
        <v>43791</v>
      </c>
      <c r="AQ21" s="2597"/>
    </row>
    <row r="22" spans="1:43" s="587" customFormat="1" ht="28.5" customHeight="1" x14ac:dyDescent="0.25">
      <c r="A22" s="573"/>
      <c r="B22" s="1545"/>
      <c r="C22" s="1545"/>
      <c r="D22" s="584"/>
      <c r="E22" s="585"/>
      <c r="F22" s="586"/>
      <c r="G22" s="1599"/>
      <c r="H22" s="1599"/>
      <c r="I22" s="1598"/>
      <c r="J22" s="2540">
        <v>67</v>
      </c>
      <c r="K22" s="3235" t="s">
        <v>1008</v>
      </c>
      <c r="L22" s="3235" t="s">
        <v>1009</v>
      </c>
      <c r="M22" s="2823">
        <v>1</v>
      </c>
      <c r="N22" s="2879"/>
      <c r="O22" s="3230"/>
      <c r="P22" s="3569"/>
      <c r="Q22" s="3589">
        <f>SUM(V22:V25)/$R$11</f>
        <v>5.788119208681558E-2</v>
      </c>
      <c r="R22" s="3572"/>
      <c r="S22" s="3300"/>
      <c r="T22" s="2522" t="s">
        <v>1010</v>
      </c>
      <c r="U22" s="2522" t="s">
        <v>1011</v>
      </c>
      <c r="V22" s="1383">
        <f>860000000-241355304</f>
        <v>618644696</v>
      </c>
      <c r="W22" s="1393">
        <v>20</v>
      </c>
      <c r="X22" s="1740" t="s">
        <v>61</v>
      </c>
      <c r="Y22" s="3588"/>
      <c r="Z22" s="3576"/>
      <c r="AA22" s="3576"/>
      <c r="AB22" s="3576"/>
      <c r="AC22" s="3576"/>
      <c r="AD22" s="3576"/>
      <c r="AE22" s="3576"/>
      <c r="AF22" s="3576"/>
      <c r="AG22" s="3576"/>
      <c r="AH22" s="3576"/>
      <c r="AI22" s="3576"/>
      <c r="AJ22" s="3576"/>
      <c r="AK22" s="3576"/>
      <c r="AL22" s="3576"/>
      <c r="AM22" s="3576"/>
      <c r="AN22" s="3576"/>
      <c r="AO22" s="3563">
        <v>43486</v>
      </c>
      <c r="AP22" s="3566">
        <v>43791</v>
      </c>
      <c r="AQ22" s="2597"/>
    </row>
    <row r="23" spans="1:43" s="587" customFormat="1" ht="28.5" customHeight="1" x14ac:dyDescent="0.25">
      <c r="A23" s="573"/>
      <c r="B23" s="1545"/>
      <c r="C23" s="1545"/>
      <c r="D23" s="584"/>
      <c r="E23" s="585"/>
      <c r="F23" s="586"/>
      <c r="G23" s="1599"/>
      <c r="H23" s="1599"/>
      <c r="I23" s="1598"/>
      <c r="J23" s="2597"/>
      <c r="K23" s="2845"/>
      <c r="L23" s="2845"/>
      <c r="M23" s="2824"/>
      <c r="N23" s="2879"/>
      <c r="O23" s="3230"/>
      <c r="P23" s="3569"/>
      <c r="Q23" s="3590"/>
      <c r="R23" s="3572"/>
      <c r="S23" s="3300"/>
      <c r="T23" s="2522"/>
      <c r="U23" s="2522"/>
      <c r="V23" s="1383">
        <v>241355304</v>
      </c>
      <c r="W23" s="1393">
        <v>91</v>
      </c>
      <c r="X23" s="1740" t="s">
        <v>998</v>
      </c>
      <c r="Y23" s="3588"/>
      <c r="Z23" s="3576"/>
      <c r="AA23" s="3576"/>
      <c r="AB23" s="3576"/>
      <c r="AC23" s="3576"/>
      <c r="AD23" s="3576"/>
      <c r="AE23" s="3576"/>
      <c r="AF23" s="3576"/>
      <c r="AG23" s="3576"/>
      <c r="AH23" s="3576"/>
      <c r="AI23" s="3576"/>
      <c r="AJ23" s="3576"/>
      <c r="AK23" s="3576"/>
      <c r="AL23" s="3576"/>
      <c r="AM23" s="3576"/>
      <c r="AN23" s="3576"/>
      <c r="AO23" s="3564"/>
      <c r="AP23" s="3567"/>
      <c r="AQ23" s="2597"/>
    </row>
    <row r="24" spans="1:43" s="587" customFormat="1" ht="27" customHeight="1" x14ac:dyDescent="0.25">
      <c r="A24" s="573"/>
      <c r="B24" s="1545"/>
      <c r="C24" s="1545"/>
      <c r="D24" s="584"/>
      <c r="E24" s="585"/>
      <c r="F24" s="586"/>
      <c r="G24" s="1599"/>
      <c r="H24" s="1599"/>
      <c r="I24" s="1598"/>
      <c r="J24" s="2597"/>
      <c r="K24" s="2845"/>
      <c r="L24" s="2845"/>
      <c r="M24" s="2824"/>
      <c r="N24" s="2879"/>
      <c r="O24" s="3230"/>
      <c r="P24" s="3569"/>
      <c r="Q24" s="3590"/>
      <c r="R24" s="3572"/>
      <c r="S24" s="3300"/>
      <c r="T24" s="2522"/>
      <c r="U24" s="2522"/>
      <c r="V24" s="1383">
        <v>200000000</v>
      </c>
      <c r="W24" s="1393">
        <v>35</v>
      </c>
      <c r="X24" s="1745" t="s">
        <v>996</v>
      </c>
      <c r="Y24" s="3588"/>
      <c r="Z24" s="3576"/>
      <c r="AA24" s="3576"/>
      <c r="AB24" s="3576"/>
      <c r="AC24" s="3576"/>
      <c r="AD24" s="3576"/>
      <c r="AE24" s="3576"/>
      <c r="AF24" s="3576"/>
      <c r="AG24" s="3576"/>
      <c r="AH24" s="3576"/>
      <c r="AI24" s="3576"/>
      <c r="AJ24" s="3576"/>
      <c r="AK24" s="3576"/>
      <c r="AL24" s="3576"/>
      <c r="AM24" s="3576"/>
      <c r="AN24" s="3576"/>
      <c r="AO24" s="3564"/>
      <c r="AP24" s="3567"/>
      <c r="AQ24" s="2597"/>
    </row>
    <row r="25" spans="1:43" s="564" customFormat="1" ht="24" customHeight="1" x14ac:dyDescent="0.25">
      <c r="A25" s="573"/>
      <c r="B25" s="1545"/>
      <c r="C25" s="1545"/>
      <c r="D25" s="584"/>
      <c r="E25" s="585"/>
      <c r="F25" s="586"/>
      <c r="G25" s="1599"/>
      <c r="H25" s="1599"/>
      <c r="I25" s="1598"/>
      <c r="J25" s="2597"/>
      <c r="K25" s="2845"/>
      <c r="L25" s="2845"/>
      <c r="M25" s="2824"/>
      <c r="N25" s="2895"/>
      <c r="O25" s="3230"/>
      <c r="P25" s="3518"/>
      <c r="Q25" s="3591"/>
      <c r="R25" s="3572"/>
      <c r="S25" s="3300"/>
      <c r="T25" s="2522"/>
      <c r="U25" s="2522"/>
      <c r="V25" s="1382">
        <f>0+240000000</f>
        <v>240000000</v>
      </c>
      <c r="W25" s="1746">
        <v>88</v>
      </c>
      <c r="X25" s="1747" t="s">
        <v>163</v>
      </c>
      <c r="Y25" s="3588"/>
      <c r="Z25" s="3576"/>
      <c r="AA25" s="3576"/>
      <c r="AB25" s="3576"/>
      <c r="AC25" s="3576"/>
      <c r="AD25" s="3576"/>
      <c r="AE25" s="3576"/>
      <c r="AF25" s="3576"/>
      <c r="AG25" s="3576"/>
      <c r="AH25" s="3576"/>
      <c r="AI25" s="3576"/>
      <c r="AJ25" s="3576"/>
      <c r="AK25" s="3576"/>
      <c r="AL25" s="3576"/>
      <c r="AM25" s="3576"/>
      <c r="AN25" s="3576"/>
      <c r="AO25" s="2519"/>
      <c r="AP25" s="3568"/>
      <c r="AQ25" s="2597"/>
    </row>
    <row r="26" spans="1:43" s="564" customFormat="1" ht="19.5" customHeight="1" x14ac:dyDescent="0.25">
      <c r="A26" s="588"/>
      <c r="B26" s="589"/>
      <c r="C26" s="589"/>
      <c r="D26" s="588"/>
      <c r="E26" s="589"/>
      <c r="F26" s="590"/>
      <c r="G26" s="591">
        <v>17</v>
      </c>
      <c r="H26" s="292" t="s">
        <v>1012</v>
      </c>
      <c r="I26" s="292"/>
      <c r="J26" s="172"/>
      <c r="K26" s="166"/>
      <c r="L26" s="166"/>
      <c r="M26" s="172"/>
      <c r="N26" s="490"/>
      <c r="O26" s="172"/>
      <c r="P26" s="166"/>
      <c r="Q26" s="172"/>
      <c r="R26" s="368"/>
      <c r="S26" s="166"/>
      <c r="T26" s="1266"/>
      <c r="U26" s="1266"/>
      <c r="V26" s="1268"/>
      <c r="W26" s="1365"/>
      <c r="X26" s="1267"/>
      <c r="Y26" s="172"/>
      <c r="Z26" s="172"/>
      <c r="AA26" s="172"/>
      <c r="AB26" s="172"/>
      <c r="AC26" s="172"/>
      <c r="AD26" s="172"/>
      <c r="AE26" s="172"/>
      <c r="AF26" s="172"/>
      <c r="AG26" s="172"/>
      <c r="AH26" s="172"/>
      <c r="AI26" s="172"/>
      <c r="AJ26" s="172"/>
      <c r="AK26" s="172"/>
      <c r="AL26" s="172"/>
      <c r="AM26" s="172"/>
      <c r="AN26" s="582"/>
      <c r="AO26" s="582"/>
      <c r="AP26" s="582"/>
      <c r="AQ26" s="592"/>
    </row>
    <row r="27" spans="1:43" s="564" customFormat="1" ht="45.75" customHeight="1" x14ac:dyDescent="0.25">
      <c r="A27" s="593"/>
      <c r="B27" s="594"/>
      <c r="C27" s="594"/>
      <c r="D27" s="595"/>
      <c r="E27" s="249"/>
      <c r="F27" s="249"/>
      <c r="G27" s="596"/>
      <c r="H27" s="597"/>
      <c r="I27" s="598"/>
      <c r="J27" s="3515">
        <v>68</v>
      </c>
      <c r="K27" s="2823" t="s">
        <v>1013</v>
      </c>
      <c r="L27" s="599" t="s">
        <v>1014</v>
      </c>
      <c r="M27" s="1477">
        <v>4500</v>
      </c>
      <c r="N27" s="2824" t="s">
        <v>1015</v>
      </c>
      <c r="O27" s="2824" t="s">
        <v>1016</v>
      </c>
      <c r="P27" s="2845" t="s">
        <v>1017</v>
      </c>
      <c r="Q27" s="3579">
        <f>(V27+V28)/R27</f>
        <v>1.5602656586198829E-2</v>
      </c>
      <c r="R27" s="3572">
        <f>SUM(V27:V36)</f>
        <v>1602291242</v>
      </c>
      <c r="S27" s="3235" t="s">
        <v>1018</v>
      </c>
      <c r="T27" s="3325" t="s">
        <v>1019</v>
      </c>
      <c r="U27" s="3584" t="s">
        <v>1020</v>
      </c>
      <c r="V27" s="1748">
        <v>5000000</v>
      </c>
      <c r="W27" s="1749">
        <v>20</v>
      </c>
      <c r="X27" s="1750" t="s">
        <v>61</v>
      </c>
      <c r="Y27" s="3581"/>
      <c r="Z27" s="3582"/>
      <c r="AA27" s="3582"/>
      <c r="AB27" s="3582"/>
      <c r="AC27" s="3582"/>
      <c r="AD27" s="3582">
        <v>1762</v>
      </c>
      <c r="AE27" s="3576">
        <v>101</v>
      </c>
      <c r="AF27" s="3576">
        <v>277</v>
      </c>
      <c r="AG27" s="3576">
        <v>0</v>
      </c>
      <c r="AH27" s="3576">
        <v>0</v>
      </c>
      <c r="AI27" s="3576">
        <v>0</v>
      </c>
      <c r="AJ27" s="3576">
        <v>0</v>
      </c>
      <c r="AK27" s="3576">
        <v>2907</v>
      </c>
      <c r="AL27" s="3576">
        <v>2589</v>
      </c>
      <c r="AM27" s="3576">
        <v>2954</v>
      </c>
      <c r="AN27" s="3576">
        <v>10590</v>
      </c>
      <c r="AO27" s="1084">
        <v>43486</v>
      </c>
      <c r="AP27" s="1084">
        <v>43791</v>
      </c>
      <c r="AQ27" s="2597" t="s">
        <v>1021</v>
      </c>
    </row>
    <row r="28" spans="1:43" s="564" customFormat="1" ht="64.5" customHeight="1" x14ac:dyDescent="0.25">
      <c r="A28" s="593"/>
      <c r="B28" s="594"/>
      <c r="C28" s="594"/>
      <c r="D28" s="595"/>
      <c r="E28" s="249"/>
      <c r="F28" s="249"/>
      <c r="G28" s="595"/>
      <c r="H28" s="249"/>
      <c r="I28" s="600"/>
      <c r="J28" s="3516"/>
      <c r="K28" s="2825"/>
      <c r="L28" s="599"/>
      <c r="M28" s="1477"/>
      <c r="N28" s="2824"/>
      <c r="O28" s="2824"/>
      <c r="P28" s="2845"/>
      <c r="Q28" s="3595"/>
      <c r="R28" s="3572"/>
      <c r="S28" s="2845"/>
      <c r="T28" s="2808"/>
      <c r="U28" s="3585"/>
      <c r="V28" s="1751">
        <f>0+20000000</f>
        <v>20000000</v>
      </c>
      <c r="W28" s="1752">
        <v>88</v>
      </c>
      <c r="X28" s="1745" t="s">
        <v>163</v>
      </c>
      <c r="Y28" s="3581"/>
      <c r="Z28" s="3582"/>
      <c r="AA28" s="3582"/>
      <c r="AB28" s="3582"/>
      <c r="AC28" s="3582"/>
      <c r="AD28" s="3582"/>
      <c r="AE28" s="3576"/>
      <c r="AF28" s="3576"/>
      <c r="AG28" s="3576"/>
      <c r="AH28" s="3576"/>
      <c r="AI28" s="3576"/>
      <c r="AJ28" s="3576"/>
      <c r="AK28" s="3576"/>
      <c r="AL28" s="3576"/>
      <c r="AM28" s="3576"/>
      <c r="AN28" s="3576"/>
      <c r="AO28" s="1084"/>
      <c r="AP28" s="1084"/>
      <c r="AQ28" s="2597"/>
    </row>
    <row r="29" spans="1:43" s="564" customFormat="1" ht="53.25" customHeight="1" x14ac:dyDescent="0.25">
      <c r="A29" s="593"/>
      <c r="B29" s="594"/>
      <c r="C29" s="594"/>
      <c r="D29" s="595"/>
      <c r="E29" s="249"/>
      <c r="F29" s="249"/>
      <c r="G29" s="595"/>
      <c r="H29" s="249"/>
      <c r="I29" s="600"/>
      <c r="J29" s="601">
        <v>69</v>
      </c>
      <c r="K29" s="509" t="s">
        <v>1022</v>
      </c>
      <c r="L29" s="599" t="s">
        <v>1023</v>
      </c>
      <c r="M29" s="1471">
        <v>1</v>
      </c>
      <c r="N29" s="2824"/>
      <c r="O29" s="2824"/>
      <c r="P29" s="2845"/>
      <c r="Q29" s="2424">
        <f>V29/R27</f>
        <v>3.1205313172397654E-3</v>
      </c>
      <c r="R29" s="3572"/>
      <c r="S29" s="2845"/>
      <c r="T29" s="2808"/>
      <c r="U29" s="1467" t="s">
        <v>1024</v>
      </c>
      <c r="V29" s="1753">
        <v>5000000</v>
      </c>
      <c r="W29" s="1754">
        <v>20</v>
      </c>
      <c r="X29" s="1755" t="s">
        <v>61</v>
      </c>
      <c r="Y29" s="3582"/>
      <c r="Z29" s="3582"/>
      <c r="AA29" s="3582"/>
      <c r="AB29" s="3582"/>
      <c r="AC29" s="3582"/>
      <c r="AD29" s="3582"/>
      <c r="AE29" s="3576"/>
      <c r="AF29" s="3576"/>
      <c r="AG29" s="3576"/>
      <c r="AH29" s="3576"/>
      <c r="AI29" s="3576"/>
      <c r="AJ29" s="3576"/>
      <c r="AK29" s="3576"/>
      <c r="AL29" s="3576"/>
      <c r="AM29" s="3576"/>
      <c r="AN29" s="3576"/>
      <c r="AO29" s="1084">
        <v>43486</v>
      </c>
      <c r="AP29" s="1084">
        <v>43791</v>
      </c>
      <c r="AQ29" s="2597"/>
    </row>
    <row r="30" spans="1:43" s="564" customFormat="1" ht="72.75" customHeight="1" x14ac:dyDescent="0.25">
      <c r="A30" s="593"/>
      <c r="B30" s="594"/>
      <c r="C30" s="594"/>
      <c r="D30" s="595"/>
      <c r="E30" s="249"/>
      <c r="F30" s="249"/>
      <c r="G30" s="595"/>
      <c r="H30" s="249"/>
      <c r="I30" s="600"/>
      <c r="J30" s="3577">
        <v>70</v>
      </c>
      <c r="K30" s="3235" t="s">
        <v>1025</v>
      </c>
      <c r="L30" s="2808" t="s">
        <v>1026</v>
      </c>
      <c r="M30" s="3489">
        <v>490</v>
      </c>
      <c r="N30" s="2824"/>
      <c r="O30" s="2824"/>
      <c r="P30" s="2845"/>
      <c r="Q30" s="3579">
        <f>V30/R27</f>
        <v>6.2410626344795309E-3</v>
      </c>
      <c r="R30" s="3572"/>
      <c r="S30" s="2845"/>
      <c r="T30" s="2808"/>
      <c r="U30" s="1468" t="s">
        <v>1027</v>
      </c>
      <c r="V30" s="1753">
        <v>10000000</v>
      </c>
      <c r="W30" s="1388">
        <v>20</v>
      </c>
      <c r="X30" s="1756" t="s">
        <v>61</v>
      </c>
      <c r="Y30" s="3582"/>
      <c r="Z30" s="3582"/>
      <c r="AA30" s="3582"/>
      <c r="AB30" s="3582"/>
      <c r="AC30" s="3582"/>
      <c r="AD30" s="3582"/>
      <c r="AE30" s="3576"/>
      <c r="AF30" s="3576"/>
      <c r="AG30" s="3576"/>
      <c r="AH30" s="3576"/>
      <c r="AI30" s="3576"/>
      <c r="AJ30" s="3576"/>
      <c r="AK30" s="3576"/>
      <c r="AL30" s="3576"/>
      <c r="AM30" s="3576"/>
      <c r="AN30" s="3576"/>
      <c r="AO30" s="1084">
        <v>43486</v>
      </c>
      <c r="AP30" s="1084">
        <v>43791</v>
      </c>
      <c r="AQ30" s="2597"/>
    </row>
    <row r="31" spans="1:43" s="564" customFormat="1" ht="93" customHeight="1" x14ac:dyDescent="0.25">
      <c r="A31" s="593"/>
      <c r="B31" s="594"/>
      <c r="C31" s="594"/>
      <c r="D31" s="595"/>
      <c r="E31" s="249"/>
      <c r="F31" s="249"/>
      <c r="G31" s="595"/>
      <c r="H31" s="249"/>
      <c r="I31" s="600"/>
      <c r="J31" s="3578"/>
      <c r="K31" s="2845"/>
      <c r="L31" s="2808"/>
      <c r="M31" s="3541"/>
      <c r="N31" s="2824"/>
      <c r="O31" s="2824"/>
      <c r="P31" s="2845"/>
      <c r="Q31" s="3580"/>
      <c r="R31" s="3572"/>
      <c r="S31" s="2845"/>
      <c r="T31" s="2808"/>
      <c r="U31" s="1435" t="s">
        <v>1028</v>
      </c>
      <c r="V31" s="1674"/>
      <c r="W31" s="1388"/>
      <c r="X31" s="1757"/>
      <c r="Y31" s="3582"/>
      <c r="Z31" s="3582"/>
      <c r="AA31" s="3582"/>
      <c r="AB31" s="3582"/>
      <c r="AC31" s="3582"/>
      <c r="AD31" s="3582"/>
      <c r="AE31" s="3576"/>
      <c r="AF31" s="3576"/>
      <c r="AG31" s="3576"/>
      <c r="AH31" s="3576"/>
      <c r="AI31" s="3576"/>
      <c r="AJ31" s="3576"/>
      <c r="AK31" s="3576"/>
      <c r="AL31" s="3576"/>
      <c r="AM31" s="3576"/>
      <c r="AN31" s="3576"/>
      <c r="AO31" s="1184"/>
      <c r="AP31" s="1184"/>
      <c r="AQ31" s="2597"/>
    </row>
    <row r="32" spans="1:43" s="564" customFormat="1" ht="48" customHeight="1" x14ac:dyDescent="0.25">
      <c r="A32" s="593"/>
      <c r="B32" s="594"/>
      <c r="C32" s="594"/>
      <c r="D32" s="595"/>
      <c r="E32" s="249"/>
      <c r="F32" s="249"/>
      <c r="G32" s="595"/>
      <c r="H32" s="249"/>
      <c r="I32" s="600"/>
      <c r="J32" s="601">
        <v>71</v>
      </c>
      <c r="K32" s="509" t="s">
        <v>1029</v>
      </c>
      <c r="L32" s="509" t="s">
        <v>1030</v>
      </c>
      <c r="M32" s="1583">
        <v>2570</v>
      </c>
      <c r="N32" s="2824"/>
      <c r="O32" s="2824"/>
      <c r="P32" s="2845"/>
      <c r="Q32" s="2424">
        <f>+V32/R27*100</f>
        <v>0</v>
      </c>
      <c r="R32" s="3572"/>
      <c r="S32" s="2845"/>
      <c r="T32" s="2808"/>
      <c r="U32" s="1965" t="s">
        <v>1031</v>
      </c>
      <c r="V32" s="1411">
        <v>0</v>
      </c>
      <c r="W32" s="1388"/>
      <c r="X32" s="1757"/>
      <c r="Y32" s="3582"/>
      <c r="Z32" s="3582"/>
      <c r="AA32" s="3582"/>
      <c r="AB32" s="3582"/>
      <c r="AC32" s="3582"/>
      <c r="AD32" s="3582"/>
      <c r="AE32" s="3576"/>
      <c r="AF32" s="3576"/>
      <c r="AG32" s="3576">
        <v>0</v>
      </c>
      <c r="AH32" s="3576"/>
      <c r="AI32" s="3576"/>
      <c r="AJ32" s="3576"/>
      <c r="AK32" s="3576"/>
      <c r="AL32" s="3576"/>
      <c r="AM32" s="3576"/>
      <c r="AN32" s="3576"/>
      <c r="AO32" s="1184"/>
      <c r="AP32" s="1184"/>
      <c r="AQ32" s="2597"/>
    </row>
    <row r="33" spans="1:43" s="564" customFormat="1" ht="32.25" customHeight="1" x14ac:dyDescent="0.25">
      <c r="A33" s="593"/>
      <c r="B33" s="594"/>
      <c r="C33" s="594"/>
      <c r="D33" s="595"/>
      <c r="E33" s="249"/>
      <c r="F33" s="249"/>
      <c r="G33" s="595"/>
      <c r="H33" s="249"/>
      <c r="I33" s="600"/>
      <c r="J33" s="3515">
        <v>72</v>
      </c>
      <c r="K33" s="3489" t="s">
        <v>1032</v>
      </c>
      <c r="L33" s="599" t="s">
        <v>1033</v>
      </c>
      <c r="M33" s="1613">
        <v>455</v>
      </c>
      <c r="N33" s="2824"/>
      <c r="O33" s="2824"/>
      <c r="P33" s="2845"/>
      <c r="Q33" s="3579">
        <f>(V33+V34)/R27</f>
        <v>3.388350418256858E-2</v>
      </c>
      <c r="R33" s="3572"/>
      <c r="S33" s="2845"/>
      <c r="T33" s="2808"/>
      <c r="U33" s="2514" t="s">
        <v>1034</v>
      </c>
      <c r="V33" s="1411">
        <v>5000000</v>
      </c>
      <c r="W33" s="1388">
        <v>20</v>
      </c>
      <c r="X33" s="1756" t="s">
        <v>61</v>
      </c>
      <c r="Y33" s="3582"/>
      <c r="Z33" s="3582"/>
      <c r="AA33" s="3582"/>
      <c r="AB33" s="3582"/>
      <c r="AC33" s="3582"/>
      <c r="AD33" s="3582"/>
      <c r="AE33" s="3576"/>
      <c r="AF33" s="3576"/>
      <c r="AG33" s="3576"/>
      <c r="AH33" s="3576"/>
      <c r="AI33" s="3576"/>
      <c r="AJ33" s="3576"/>
      <c r="AK33" s="3576"/>
      <c r="AL33" s="3576"/>
      <c r="AM33" s="3576"/>
      <c r="AN33" s="3576"/>
      <c r="AO33" s="1084">
        <v>43486</v>
      </c>
      <c r="AP33" s="1084">
        <v>43791</v>
      </c>
      <c r="AQ33" s="2597"/>
    </row>
    <row r="34" spans="1:43" s="564" customFormat="1" ht="63.75" customHeight="1" x14ac:dyDescent="0.25">
      <c r="A34" s="593"/>
      <c r="B34" s="594"/>
      <c r="C34" s="594"/>
      <c r="D34" s="595"/>
      <c r="E34" s="249"/>
      <c r="F34" s="249"/>
      <c r="G34" s="595"/>
      <c r="H34" s="249"/>
      <c r="I34" s="600"/>
      <c r="J34" s="3516"/>
      <c r="K34" s="3540"/>
      <c r="L34" s="672"/>
      <c r="M34" s="1594"/>
      <c r="N34" s="2824"/>
      <c r="O34" s="2824"/>
      <c r="P34" s="2845"/>
      <c r="Q34" s="3595"/>
      <c r="R34" s="3572"/>
      <c r="S34" s="2845"/>
      <c r="T34" s="2808"/>
      <c r="U34" s="2512"/>
      <c r="V34" s="1384">
        <v>49291242</v>
      </c>
      <c r="W34" s="1385">
        <v>25</v>
      </c>
      <c r="X34" s="1386" t="s">
        <v>1035</v>
      </c>
      <c r="Y34" s="3582"/>
      <c r="Z34" s="3582"/>
      <c r="AA34" s="3582"/>
      <c r="AB34" s="3582"/>
      <c r="AC34" s="3582"/>
      <c r="AD34" s="3582"/>
      <c r="AE34" s="3576"/>
      <c r="AF34" s="3576"/>
      <c r="AG34" s="3576"/>
      <c r="AH34" s="3576"/>
      <c r="AI34" s="3576"/>
      <c r="AJ34" s="3576"/>
      <c r="AK34" s="3576"/>
      <c r="AL34" s="3576"/>
      <c r="AM34" s="3576"/>
      <c r="AN34" s="3576"/>
      <c r="AO34" s="1084"/>
      <c r="AP34" s="1084"/>
      <c r="AQ34" s="2597"/>
    </row>
    <row r="35" spans="1:43" s="564" customFormat="1" ht="68.25" customHeight="1" x14ac:dyDescent="0.25">
      <c r="A35" s="593"/>
      <c r="B35" s="594"/>
      <c r="C35" s="594"/>
      <c r="D35" s="595"/>
      <c r="E35" s="249"/>
      <c r="F35" s="249"/>
      <c r="G35" s="595"/>
      <c r="H35" s="249"/>
      <c r="I35" s="600"/>
      <c r="J35" s="3515">
        <v>73</v>
      </c>
      <c r="K35" s="3517" t="s">
        <v>1036</v>
      </c>
      <c r="L35" s="672"/>
      <c r="M35" s="1594"/>
      <c r="N35" s="2824"/>
      <c r="O35" s="2824"/>
      <c r="P35" s="2845"/>
      <c r="Q35" s="3579">
        <f>(V35+V36)/R27</f>
        <v>0.94115224527951324</v>
      </c>
      <c r="R35" s="3572"/>
      <c r="S35" s="2845"/>
      <c r="T35" s="2808"/>
      <c r="U35" s="1963" t="s">
        <v>1037</v>
      </c>
      <c r="V35" s="1758">
        <f>1508000000-200000000-5000000</f>
        <v>1303000000</v>
      </c>
      <c r="W35" s="1385">
        <v>25</v>
      </c>
      <c r="X35" s="1386" t="s">
        <v>1038</v>
      </c>
      <c r="Y35" s="3582"/>
      <c r="Z35" s="3582"/>
      <c r="AA35" s="3582"/>
      <c r="AB35" s="3582"/>
      <c r="AC35" s="3582"/>
      <c r="AD35" s="3582"/>
      <c r="AE35" s="3576"/>
      <c r="AF35" s="3576"/>
      <c r="AG35" s="3576"/>
      <c r="AH35" s="3576"/>
      <c r="AI35" s="3576"/>
      <c r="AJ35" s="3576"/>
      <c r="AK35" s="3576"/>
      <c r="AL35" s="3576"/>
      <c r="AM35" s="3576"/>
      <c r="AN35" s="3576"/>
      <c r="AO35" s="1084"/>
      <c r="AP35" s="1084"/>
      <c r="AQ35" s="2597"/>
    </row>
    <row r="36" spans="1:43" s="564" customFormat="1" ht="92.25" customHeight="1" x14ac:dyDescent="0.25">
      <c r="A36" s="593"/>
      <c r="B36" s="594"/>
      <c r="C36" s="594"/>
      <c r="D36" s="595"/>
      <c r="E36" s="249"/>
      <c r="F36" s="249"/>
      <c r="G36" s="595"/>
      <c r="H36" s="249"/>
      <c r="I36" s="600"/>
      <c r="J36" s="3593"/>
      <c r="K36" s="3594"/>
      <c r="L36" s="602" t="s">
        <v>208</v>
      </c>
      <c r="M36" s="1594">
        <v>1</v>
      </c>
      <c r="N36" s="2824"/>
      <c r="O36" s="2824"/>
      <c r="P36" s="2845"/>
      <c r="Q36" s="3595"/>
      <c r="R36" s="3572"/>
      <c r="S36" s="3325"/>
      <c r="T36" s="3606"/>
      <c r="U36" s="1964" t="s">
        <v>1039</v>
      </c>
      <c r="V36" s="1759">
        <f>0+200000000+5000000</f>
        <v>205000000</v>
      </c>
      <c r="W36" s="1385">
        <v>25</v>
      </c>
      <c r="X36" s="1386" t="s">
        <v>1038</v>
      </c>
      <c r="Y36" s="3583"/>
      <c r="Z36" s="3583"/>
      <c r="AA36" s="3583"/>
      <c r="AB36" s="3583"/>
      <c r="AC36" s="3583"/>
      <c r="AD36" s="3583"/>
      <c r="AE36" s="3516"/>
      <c r="AF36" s="3516"/>
      <c r="AG36" s="3516"/>
      <c r="AH36" s="3516"/>
      <c r="AI36" s="3516"/>
      <c r="AJ36" s="3516"/>
      <c r="AK36" s="3516"/>
      <c r="AL36" s="3516"/>
      <c r="AM36" s="3516"/>
      <c r="AN36" s="3516"/>
      <c r="AO36" s="1084">
        <v>43503</v>
      </c>
      <c r="AP36" s="1084">
        <v>43798</v>
      </c>
      <c r="AQ36" s="2519"/>
    </row>
    <row r="37" spans="1:43" s="564" customFormat="1" ht="33" customHeight="1" x14ac:dyDescent="0.25">
      <c r="A37" s="593"/>
      <c r="B37" s="594"/>
      <c r="C37" s="594"/>
      <c r="D37" s="3644"/>
      <c r="E37" s="249"/>
      <c r="F37" s="3620"/>
      <c r="G37" s="3644"/>
      <c r="H37" s="249"/>
      <c r="I37" s="3653"/>
      <c r="J37" s="3655">
        <v>74</v>
      </c>
      <c r="K37" s="3656" t="s">
        <v>1040</v>
      </c>
      <c r="L37" s="3657" t="s">
        <v>1041</v>
      </c>
      <c r="M37" s="3603">
        <v>2232</v>
      </c>
      <c r="N37" s="2811" t="s">
        <v>1042</v>
      </c>
      <c r="O37" s="2811" t="s">
        <v>1043</v>
      </c>
      <c r="P37" s="2808" t="s">
        <v>1044</v>
      </c>
      <c r="Q37" s="3607">
        <v>1</v>
      </c>
      <c r="R37" s="3596">
        <f>SUM(V37:V41)</f>
        <v>151601241535.29001</v>
      </c>
      <c r="S37" s="2845" t="s">
        <v>1045</v>
      </c>
      <c r="T37" s="2845" t="s">
        <v>1046</v>
      </c>
      <c r="U37" s="2718" t="s">
        <v>1047</v>
      </c>
      <c r="V37" s="1297">
        <v>120411000000</v>
      </c>
      <c r="W37" s="1264">
        <v>25</v>
      </c>
      <c r="X37" s="1624" t="s">
        <v>1038</v>
      </c>
      <c r="Y37" s="3660">
        <v>20555</v>
      </c>
      <c r="Z37" s="3489">
        <v>21361</v>
      </c>
      <c r="AA37" s="3603">
        <v>30460</v>
      </c>
      <c r="AB37" s="3603">
        <v>9593</v>
      </c>
      <c r="AC37" s="3603">
        <v>1762</v>
      </c>
      <c r="AD37" s="3603">
        <v>101</v>
      </c>
      <c r="AE37" s="3603">
        <v>308</v>
      </c>
      <c r="AF37" s="3603">
        <v>277</v>
      </c>
      <c r="AG37" s="3603">
        <v>0</v>
      </c>
      <c r="AH37" s="3603">
        <v>0</v>
      </c>
      <c r="AI37" s="3603">
        <v>0</v>
      </c>
      <c r="AJ37" s="3603">
        <v>0</v>
      </c>
      <c r="AK37" s="3661">
        <v>2907</v>
      </c>
      <c r="AL37" s="3661">
        <v>2589</v>
      </c>
      <c r="AM37" s="3661">
        <v>2954</v>
      </c>
      <c r="AN37" s="3663">
        <v>41916</v>
      </c>
      <c r="AO37" s="3621">
        <v>43466</v>
      </c>
      <c r="AP37" s="3621">
        <v>43830</v>
      </c>
      <c r="AQ37" s="3534" t="s">
        <v>1021</v>
      </c>
    </row>
    <row r="38" spans="1:43" s="564" customFormat="1" ht="39" customHeight="1" x14ac:dyDescent="0.25">
      <c r="A38" s="593"/>
      <c r="B38" s="594"/>
      <c r="C38" s="594"/>
      <c r="D38" s="3644"/>
      <c r="E38" s="249"/>
      <c r="F38" s="3620"/>
      <c r="G38" s="3644"/>
      <c r="H38" s="249"/>
      <c r="I38" s="3653"/>
      <c r="J38" s="3655"/>
      <c r="K38" s="3656"/>
      <c r="L38" s="3658"/>
      <c r="M38" s="3604"/>
      <c r="N38" s="2811"/>
      <c r="O38" s="2811"/>
      <c r="P38" s="2808"/>
      <c r="Q38" s="3608"/>
      <c r="R38" s="3596"/>
      <c r="S38" s="2845"/>
      <c r="T38" s="2845"/>
      <c r="U38" s="2718"/>
      <c r="V38" s="1383">
        <f>22161000000+2749098635</f>
        <v>24910098635</v>
      </c>
      <c r="W38" s="1264">
        <v>26</v>
      </c>
      <c r="X38" s="1625" t="s">
        <v>1048</v>
      </c>
      <c r="Y38" s="3620"/>
      <c r="Z38" s="3541"/>
      <c r="AA38" s="3604"/>
      <c r="AB38" s="3604"/>
      <c r="AC38" s="3604"/>
      <c r="AD38" s="3604"/>
      <c r="AE38" s="3604"/>
      <c r="AF38" s="3604"/>
      <c r="AG38" s="3604"/>
      <c r="AH38" s="3604"/>
      <c r="AI38" s="3604"/>
      <c r="AJ38" s="3604"/>
      <c r="AK38" s="3610"/>
      <c r="AL38" s="3610"/>
      <c r="AM38" s="3610"/>
      <c r="AN38" s="3611"/>
      <c r="AO38" s="3641"/>
      <c r="AP38" s="3641"/>
      <c r="AQ38" s="3535"/>
    </row>
    <row r="39" spans="1:43" s="564" customFormat="1" ht="40.5" customHeight="1" x14ac:dyDescent="0.25">
      <c r="A39" s="593"/>
      <c r="B39" s="594"/>
      <c r="C39" s="594"/>
      <c r="D39" s="3644"/>
      <c r="E39" s="249"/>
      <c r="F39" s="3620"/>
      <c r="G39" s="3644"/>
      <c r="H39" s="249"/>
      <c r="I39" s="3653"/>
      <c r="J39" s="3655"/>
      <c r="K39" s="3656"/>
      <c r="L39" s="3658"/>
      <c r="M39" s="3604"/>
      <c r="N39" s="2811"/>
      <c r="O39" s="2811"/>
      <c r="P39" s="2808"/>
      <c r="Q39" s="3608"/>
      <c r="R39" s="3596"/>
      <c r="S39" s="2845"/>
      <c r="T39" s="2845"/>
      <c r="U39" s="2718"/>
      <c r="V39" s="1297">
        <v>742459176.28999996</v>
      </c>
      <c r="W39" s="1617">
        <v>9</v>
      </c>
      <c r="X39" s="1625" t="s">
        <v>1049</v>
      </c>
      <c r="Y39" s="3620"/>
      <c r="Z39" s="3541"/>
      <c r="AA39" s="3604"/>
      <c r="AB39" s="3604"/>
      <c r="AC39" s="3604"/>
      <c r="AD39" s="3604"/>
      <c r="AE39" s="3604"/>
      <c r="AF39" s="3604"/>
      <c r="AG39" s="3604"/>
      <c r="AH39" s="3604"/>
      <c r="AI39" s="3604"/>
      <c r="AJ39" s="3604"/>
      <c r="AK39" s="3610"/>
      <c r="AL39" s="3610"/>
      <c r="AM39" s="3610"/>
      <c r="AN39" s="3611"/>
      <c r="AO39" s="3641"/>
      <c r="AP39" s="3641"/>
      <c r="AQ39" s="3535"/>
    </row>
    <row r="40" spans="1:43" s="564" customFormat="1" ht="39.75" customHeight="1" x14ac:dyDescent="0.25">
      <c r="A40" s="593"/>
      <c r="B40" s="594"/>
      <c r="C40" s="594"/>
      <c r="D40" s="3644"/>
      <c r="E40" s="249"/>
      <c r="F40" s="3620"/>
      <c r="G40" s="3644"/>
      <c r="H40" s="249"/>
      <c r="I40" s="3653"/>
      <c r="J40" s="3655"/>
      <c r="K40" s="3656"/>
      <c r="L40" s="3658"/>
      <c r="M40" s="3604"/>
      <c r="N40" s="2811"/>
      <c r="O40" s="2811"/>
      <c r="P40" s="2808"/>
      <c r="Q40" s="3608"/>
      <c r="R40" s="3596"/>
      <c r="S40" s="2845"/>
      <c r="T40" s="2845"/>
      <c r="U40" s="2718"/>
      <c r="V40" s="1621">
        <v>917000000</v>
      </c>
      <c r="W40" s="1551">
        <v>146</v>
      </c>
      <c r="X40" s="1625" t="s">
        <v>1048</v>
      </c>
      <c r="Y40" s="3620"/>
      <c r="Z40" s="3541"/>
      <c r="AA40" s="3604"/>
      <c r="AB40" s="3604"/>
      <c r="AC40" s="3604"/>
      <c r="AD40" s="3604"/>
      <c r="AE40" s="3604"/>
      <c r="AF40" s="3604"/>
      <c r="AG40" s="3604"/>
      <c r="AH40" s="3604"/>
      <c r="AI40" s="3604"/>
      <c r="AJ40" s="3604"/>
      <c r="AK40" s="3610"/>
      <c r="AL40" s="3610"/>
      <c r="AM40" s="3610"/>
      <c r="AN40" s="3611"/>
      <c r="AO40" s="3641"/>
      <c r="AP40" s="3641"/>
      <c r="AQ40" s="3535"/>
    </row>
    <row r="41" spans="1:43" s="564" customFormat="1" ht="30" customHeight="1" x14ac:dyDescent="0.25">
      <c r="A41" s="593"/>
      <c r="B41" s="594"/>
      <c r="C41" s="594"/>
      <c r="D41" s="3652"/>
      <c r="E41" s="603"/>
      <c r="F41" s="3542"/>
      <c r="G41" s="3652"/>
      <c r="H41" s="603"/>
      <c r="I41" s="3654"/>
      <c r="J41" s="3655"/>
      <c r="K41" s="3656"/>
      <c r="L41" s="3659"/>
      <c r="M41" s="3605"/>
      <c r="N41" s="2811"/>
      <c r="O41" s="2811"/>
      <c r="P41" s="2808"/>
      <c r="Q41" s="3609"/>
      <c r="R41" s="3596"/>
      <c r="S41" s="3325"/>
      <c r="T41" s="3325"/>
      <c r="U41" s="3614"/>
      <c r="V41" s="1382">
        <f>0+4000000000+620683724</f>
        <v>4620683724</v>
      </c>
      <c r="W41" s="1272">
        <v>88</v>
      </c>
      <c r="X41" s="1361" t="s">
        <v>163</v>
      </c>
      <c r="Y41" s="3542"/>
      <c r="Z41" s="3540"/>
      <c r="AA41" s="3605"/>
      <c r="AB41" s="3605"/>
      <c r="AC41" s="3605"/>
      <c r="AD41" s="3605"/>
      <c r="AE41" s="3605"/>
      <c r="AF41" s="3605"/>
      <c r="AG41" s="3605"/>
      <c r="AH41" s="3605"/>
      <c r="AI41" s="3605">
        <v>0</v>
      </c>
      <c r="AJ41" s="3605">
        <v>0</v>
      </c>
      <c r="AK41" s="3662"/>
      <c r="AL41" s="3662"/>
      <c r="AM41" s="3662"/>
      <c r="AN41" s="3664"/>
      <c r="AO41" s="3665"/>
      <c r="AP41" s="3665"/>
      <c r="AQ41" s="3622"/>
    </row>
    <row r="42" spans="1:43" s="564" customFormat="1" ht="15.75" x14ac:dyDescent="0.25">
      <c r="A42" s="588"/>
      <c r="B42" s="589"/>
      <c r="C42" s="590"/>
      <c r="D42" s="152">
        <v>6</v>
      </c>
      <c r="E42" s="604" t="s">
        <v>1050</v>
      </c>
      <c r="F42" s="604"/>
      <c r="G42" s="604"/>
      <c r="H42" s="604"/>
      <c r="I42" s="604"/>
      <c r="J42" s="604"/>
      <c r="K42" s="280"/>
      <c r="L42" s="356"/>
      <c r="M42" s="355"/>
      <c r="N42" s="357"/>
      <c r="O42" s="357"/>
      <c r="P42" s="356"/>
      <c r="Q42" s="605"/>
      <c r="R42" s="367"/>
      <c r="S42" s="356"/>
      <c r="T42" s="356"/>
      <c r="U42" s="356"/>
      <c r="V42" s="661"/>
      <c r="W42" s="1265"/>
      <c r="X42" s="604"/>
      <c r="Y42" s="357"/>
      <c r="Z42" s="357"/>
      <c r="AA42" s="355"/>
      <c r="AB42" s="355"/>
      <c r="AC42" s="355"/>
      <c r="AD42" s="355"/>
      <c r="AE42" s="355"/>
      <c r="AF42" s="355"/>
      <c r="AG42" s="355"/>
      <c r="AH42" s="607"/>
      <c r="AI42" s="607"/>
      <c r="AJ42" s="571"/>
      <c r="AK42" s="571"/>
      <c r="AL42" s="571"/>
      <c r="AM42" s="571"/>
      <c r="AN42" s="571"/>
      <c r="AO42" s="571"/>
      <c r="AP42" s="571"/>
      <c r="AQ42" s="608"/>
    </row>
    <row r="43" spans="1:43" s="564" customFormat="1" ht="15.75" x14ac:dyDescent="0.25">
      <c r="A43" s="588"/>
      <c r="B43" s="609"/>
      <c r="C43" s="609"/>
      <c r="D43" s="610"/>
      <c r="E43" s="611"/>
      <c r="F43" s="612"/>
      <c r="G43" s="613">
        <v>19</v>
      </c>
      <c r="H43" s="1433" t="s">
        <v>1051</v>
      </c>
      <c r="I43" s="1433"/>
      <c r="J43" s="1433"/>
      <c r="K43" s="166"/>
      <c r="L43" s="166"/>
      <c r="M43" s="172"/>
      <c r="N43" s="167"/>
      <c r="O43" s="172"/>
      <c r="P43" s="166"/>
      <c r="Q43" s="172"/>
      <c r="R43" s="368"/>
      <c r="S43" s="166"/>
      <c r="T43" s="166"/>
      <c r="U43" s="166"/>
      <c r="V43" s="614"/>
      <c r="W43" s="167"/>
      <c r="X43" s="1433"/>
      <c r="Y43" s="172"/>
      <c r="Z43" s="172"/>
      <c r="AA43" s="172"/>
      <c r="AB43" s="172"/>
      <c r="AC43" s="172"/>
      <c r="AD43" s="172"/>
      <c r="AE43" s="172"/>
      <c r="AF43" s="172"/>
      <c r="AG43" s="172"/>
      <c r="AH43" s="172"/>
      <c r="AI43" s="172"/>
      <c r="AJ43" s="582"/>
      <c r="AK43" s="582"/>
      <c r="AL43" s="582"/>
      <c r="AM43" s="582"/>
      <c r="AN43" s="582"/>
      <c r="AO43" s="582"/>
      <c r="AP43" s="582"/>
      <c r="AQ43" s="592"/>
    </row>
    <row r="44" spans="1:43" s="564" customFormat="1" ht="82.5" customHeight="1" x14ac:dyDescent="0.25">
      <c r="A44" s="179"/>
      <c r="B44" s="178"/>
      <c r="C44" s="178"/>
      <c r="D44" s="615"/>
      <c r="E44" s="609"/>
      <c r="F44" s="616"/>
      <c r="G44" s="178"/>
      <c r="H44" s="178"/>
      <c r="I44" s="178"/>
      <c r="J44" s="1604">
        <v>75</v>
      </c>
      <c r="K44" s="599" t="s">
        <v>1052</v>
      </c>
      <c r="L44" s="599" t="s">
        <v>1053</v>
      </c>
      <c r="M44" s="1477">
        <v>36</v>
      </c>
      <c r="N44" s="617"/>
      <c r="O44" s="2824" t="s">
        <v>1054</v>
      </c>
      <c r="P44" s="2845" t="s">
        <v>1055</v>
      </c>
      <c r="Q44" s="1610">
        <v>0</v>
      </c>
      <c r="R44" s="3598">
        <f>SUM(V44:V52)</f>
        <v>68355000</v>
      </c>
      <c r="S44" s="2845" t="s">
        <v>1056</v>
      </c>
      <c r="T44" s="599" t="s">
        <v>1057</v>
      </c>
      <c r="U44" s="1262" t="s">
        <v>1058</v>
      </c>
      <c r="V44" s="1760"/>
      <c r="W44" s="1677"/>
      <c r="X44" s="1761"/>
      <c r="Y44" s="3582">
        <v>20555</v>
      </c>
      <c r="Z44" s="3541">
        <v>21361</v>
      </c>
      <c r="AA44" s="3541">
        <v>30460</v>
      </c>
      <c r="AB44" s="3541">
        <v>9593</v>
      </c>
      <c r="AC44" s="3541">
        <v>1762</v>
      </c>
      <c r="AD44" s="3541">
        <v>101</v>
      </c>
      <c r="AE44" s="3541">
        <v>308</v>
      </c>
      <c r="AF44" s="3541">
        <v>277</v>
      </c>
      <c r="AG44" s="3541">
        <v>0</v>
      </c>
      <c r="AH44" s="3541">
        <v>0</v>
      </c>
      <c r="AI44" s="3541">
        <v>0</v>
      </c>
      <c r="AJ44" s="3541">
        <v>0</v>
      </c>
      <c r="AK44" s="3541">
        <v>2907</v>
      </c>
      <c r="AL44" s="3541">
        <v>2589</v>
      </c>
      <c r="AM44" s="3541">
        <v>2954</v>
      </c>
      <c r="AN44" s="3541">
        <v>41916</v>
      </c>
      <c r="AO44" s="1085"/>
      <c r="AP44" s="1086"/>
      <c r="AQ44" s="2824" t="s">
        <v>997</v>
      </c>
    </row>
    <row r="45" spans="1:43" s="564" customFormat="1" ht="54" customHeight="1" x14ac:dyDescent="0.25">
      <c r="A45" s="179"/>
      <c r="B45" s="178"/>
      <c r="C45" s="178"/>
      <c r="D45" s="615"/>
      <c r="E45" s="609"/>
      <c r="F45" s="616"/>
      <c r="G45" s="178"/>
      <c r="H45" s="178"/>
      <c r="I45" s="178"/>
      <c r="J45" s="3515">
        <v>76</v>
      </c>
      <c r="K45" s="2823" t="s">
        <v>1059</v>
      </c>
      <c r="L45" s="672"/>
      <c r="M45" s="1476"/>
      <c r="N45" s="617"/>
      <c r="O45" s="2824"/>
      <c r="P45" s="3300"/>
      <c r="Q45" s="3520">
        <f>+(V45+V46)/R44</f>
        <v>0.41481969131738716</v>
      </c>
      <c r="R45" s="3599"/>
      <c r="S45" s="2845"/>
      <c r="T45" s="3586" t="s">
        <v>1060</v>
      </c>
      <c r="U45" s="3575" t="s">
        <v>1061</v>
      </c>
      <c r="V45" s="1762">
        <v>10000000</v>
      </c>
      <c r="W45" s="1393">
        <v>20</v>
      </c>
      <c r="X45" s="1740" t="s">
        <v>621</v>
      </c>
      <c r="Y45" s="3581"/>
      <c r="Z45" s="3541"/>
      <c r="AA45" s="3541"/>
      <c r="AB45" s="3541"/>
      <c r="AC45" s="3541"/>
      <c r="AD45" s="3541"/>
      <c r="AE45" s="3541"/>
      <c r="AF45" s="3541"/>
      <c r="AG45" s="3541"/>
      <c r="AH45" s="3541"/>
      <c r="AI45" s="3541"/>
      <c r="AJ45" s="3541"/>
      <c r="AK45" s="3541"/>
      <c r="AL45" s="3541"/>
      <c r="AM45" s="3541"/>
      <c r="AN45" s="3541"/>
      <c r="AO45" s="1085"/>
      <c r="AP45" s="1086"/>
      <c r="AQ45" s="2824"/>
    </row>
    <row r="46" spans="1:43" s="564" customFormat="1" ht="51.75" customHeight="1" x14ac:dyDescent="0.25">
      <c r="A46" s="595"/>
      <c r="B46" s="249"/>
      <c r="C46" s="249"/>
      <c r="D46" s="615"/>
      <c r="E46" s="609"/>
      <c r="F46" s="616"/>
      <c r="G46" s="178"/>
      <c r="H46" s="178"/>
      <c r="I46" s="178"/>
      <c r="J46" s="3516"/>
      <c r="K46" s="2825"/>
      <c r="L46" s="602" t="s">
        <v>1062</v>
      </c>
      <c r="M46" s="1472">
        <v>1200</v>
      </c>
      <c r="N46" s="2824" t="s">
        <v>1063</v>
      </c>
      <c r="O46" s="2824"/>
      <c r="P46" s="3300"/>
      <c r="Q46" s="3520"/>
      <c r="R46" s="3599"/>
      <c r="S46" s="2845"/>
      <c r="T46" s="3587"/>
      <c r="U46" s="3575"/>
      <c r="V46" s="1367">
        <f>0+18355000</f>
        <v>18355000</v>
      </c>
      <c r="W46" s="1746">
        <v>88</v>
      </c>
      <c r="X46" s="1747" t="s">
        <v>163</v>
      </c>
      <c r="Y46" s="3581"/>
      <c r="Z46" s="3541"/>
      <c r="AA46" s="3541"/>
      <c r="AB46" s="3541"/>
      <c r="AC46" s="3541"/>
      <c r="AD46" s="3541"/>
      <c r="AE46" s="3541"/>
      <c r="AF46" s="3541"/>
      <c r="AG46" s="3541"/>
      <c r="AH46" s="3541"/>
      <c r="AI46" s="3541"/>
      <c r="AJ46" s="3541"/>
      <c r="AK46" s="3541"/>
      <c r="AL46" s="3541"/>
      <c r="AM46" s="3541"/>
      <c r="AN46" s="3541"/>
      <c r="AO46" s="1085">
        <v>43500</v>
      </c>
      <c r="AP46" s="1086">
        <v>43798</v>
      </c>
      <c r="AQ46" s="2824"/>
    </row>
    <row r="47" spans="1:43" s="564" customFormat="1" ht="67.5" customHeight="1" x14ac:dyDescent="0.25">
      <c r="A47" s="595"/>
      <c r="B47" s="249"/>
      <c r="C47" s="249"/>
      <c r="D47" s="615"/>
      <c r="E47" s="609"/>
      <c r="F47" s="616"/>
      <c r="G47" s="178"/>
      <c r="H47" s="178"/>
      <c r="I47" s="178"/>
      <c r="J47" s="1446">
        <v>77</v>
      </c>
      <c r="K47" s="509" t="s">
        <v>1064</v>
      </c>
      <c r="L47" s="509" t="s">
        <v>1065</v>
      </c>
      <c r="M47" s="1471">
        <v>80</v>
      </c>
      <c r="N47" s="2824"/>
      <c r="O47" s="2824"/>
      <c r="P47" s="2845"/>
      <c r="Q47" s="1607">
        <v>0</v>
      </c>
      <c r="R47" s="3598"/>
      <c r="S47" s="2845"/>
      <c r="T47" s="509" t="s">
        <v>1066</v>
      </c>
      <c r="U47" s="1467" t="s">
        <v>1067</v>
      </c>
      <c r="V47" s="1763"/>
      <c r="W47" s="1712"/>
      <c r="X47" s="1764"/>
      <c r="Y47" s="3582"/>
      <c r="Z47" s="3541"/>
      <c r="AA47" s="3541"/>
      <c r="AB47" s="3541"/>
      <c r="AC47" s="3541"/>
      <c r="AD47" s="3541"/>
      <c r="AE47" s="3541"/>
      <c r="AF47" s="3541"/>
      <c r="AG47" s="3541"/>
      <c r="AH47" s="3541"/>
      <c r="AI47" s="3541"/>
      <c r="AJ47" s="3541"/>
      <c r="AK47" s="3541"/>
      <c r="AL47" s="3541"/>
      <c r="AM47" s="3541"/>
      <c r="AN47" s="3541"/>
      <c r="AO47" s="1085"/>
      <c r="AP47" s="1086"/>
      <c r="AQ47" s="2824"/>
    </row>
    <row r="48" spans="1:43" s="564" customFormat="1" ht="106.5" customHeight="1" x14ac:dyDescent="0.25">
      <c r="A48" s="595"/>
      <c r="B48" s="249"/>
      <c r="C48" s="249"/>
      <c r="D48" s="615"/>
      <c r="E48" s="609"/>
      <c r="F48" s="616"/>
      <c r="G48" s="178"/>
      <c r="H48" s="178"/>
      <c r="I48" s="178"/>
      <c r="J48" s="1446">
        <v>78</v>
      </c>
      <c r="K48" s="509" t="s">
        <v>1068</v>
      </c>
      <c r="L48" s="509" t="s">
        <v>1069</v>
      </c>
      <c r="M48" s="1471">
        <v>15</v>
      </c>
      <c r="N48" s="2824"/>
      <c r="O48" s="2824"/>
      <c r="P48" s="2845"/>
      <c r="Q48" s="839">
        <f>V48/R44</f>
        <v>0.58518030868261284</v>
      </c>
      <c r="R48" s="3598"/>
      <c r="S48" s="2845"/>
      <c r="T48" s="509" t="s">
        <v>1070</v>
      </c>
      <c r="U48" s="1468" t="s">
        <v>1071</v>
      </c>
      <c r="V48" s="1414">
        <v>40000000</v>
      </c>
      <c r="W48" s="1713">
        <v>88</v>
      </c>
      <c r="X48" s="1747" t="s">
        <v>163</v>
      </c>
      <c r="Y48" s="3582"/>
      <c r="Z48" s="3541"/>
      <c r="AA48" s="3541"/>
      <c r="AB48" s="3541"/>
      <c r="AC48" s="3541"/>
      <c r="AD48" s="3541"/>
      <c r="AE48" s="3541"/>
      <c r="AF48" s="3541"/>
      <c r="AG48" s="3541"/>
      <c r="AH48" s="3541"/>
      <c r="AI48" s="3541"/>
      <c r="AJ48" s="3541"/>
      <c r="AK48" s="3541"/>
      <c r="AL48" s="3541"/>
      <c r="AM48" s="3541"/>
      <c r="AN48" s="3541"/>
      <c r="AO48" s="1085"/>
      <c r="AP48" s="1086"/>
      <c r="AQ48" s="2824"/>
    </row>
    <row r="49" spans="1:43" s="564" customFormat="1" ht="99" customHeight="1" x14ac:dyDescent="0.25">
      <c r="A49" s="595"/>
      <c r="B49" s="249"/>
      <c r="C49" s="249"/>
      <c r="D49" s="615"/>
      <c r="E49" s="609"/>
      <c r="F49" s="616"/>
      <c r="G49" s="178"/>
      <c r="H49" s="178"/>
      <c r="I49" s="178"/>
      <c r="J49" s="1446">
        <v>79</v>
      </c>
      <c r="K49" s="509" t="s">
        <v>1072</v>
      </c>
      <c r="L49" s="509" t="s">
        <v>1073</v>
      </c>
      <c r="M49" s="1471">
        <v>230</v>
      </c>
      <c r="N49" s="2824"/>
      <c r="O49" s="2824"/>
      <c r="P49" s="2845"/>
      <c r="Q49" s="839">
        <f>+V49/R44</f>
        <v>0</v>
      </c>
      <c r="R49" s="3598"/>
      <c r="S49" s="2845"/>
      <c r="T49" s="509" t="s">
        <v>1074</v>
      </c>
      <c r="U49" s="1468" t="s">
        <v>1075</v>
      </c>
      <c r="V49" s="1366"/>
      <c r="W49" s="1713"/>
      <c r="X49" s="1389"/>
      <c r="Y49" s="3582"/>
      <c r="Z49" s="3541"/>
      <c r="AA49" s="3541"/>
      <c r="AB49" s="3541"/>
      <c r="AC49" s="3541"/>
      <c r="AD49" s="3541"/>
      <c r="AE49" s="3541"/>
      <c r="AF49" s="3541"/>
      <c r="AG49" s="3541"/>
      <c r="AH49" s="3541"/>
      <c r="AI49" s="3541"/>
      <c r="AJ49" s="3541"/>
      <c r="AK49" s="3541"/>
      <c r="AL49" s="3541"/>
      <c r="AM49" s="3541"/>
      <c r="AN49" s="3541"/>
      <c r="AO49" s="1085"/>
      <c r="AP49" s="1086"/>
      <c r="AQ49" s="2824"/>
    </row>
    <row r="50" spans="1:43" s="564" customFormat="1" ht="79.5" customHeight="1" x14ac:dyDescent="0.25">
      <c r="A50" s="595"/>
      <c r="B50" s="249"/>
      <c r="C50" s="249"/>
      <c r="D50" s="615"/>
      <c r="E50" s="609"/>
      <c r="F50" s="616"/>
      <c r="G50" s="178"/>
      <c r="H50" s="178"/>
      <c r="I50" s="178"/>
      <c r="J50" s="1446">
        <v>80</v>
      </c>
      <c r="K50" s="509" t="s">
        <v>1076</v>
      </c>
      <c r="L50" s="509" t="s">
        <v>1077</v>
      </c>
      <c r="M50" s="1471">
        <v>4700</v>
      </c>
      <c r="N50" s="2824"/>
      <c r="O50" s="2824"/>
      <c r="P50" s="2845"/>
      <c r="Q50" s="839">
        <v>0</v>
      </c>
      <c r="R50" s="3598"/>
      <c r="S50" s="2845"/>
      <c r="T50" s="509" t="s">
        <v>1078</v>
      </c>
      <c r="U50" s="1468" t="s">
        <v>1079</v>
      </c>
      <c r="V50" s="1414"/>
      <c r="W50" s="1713"/>
      <c r="X50" s="1389"/>
      <c r="Y50" s="3582"/>
      <c r="Z50" s="3541"/>
      <c r="AA50" s="3541"/>
      <c r="AB50" s="3541"/>
      <c r="AC50" s="3541"/>
      <c r="AD50" s="3541"/>
      <c r="AE50" s="3541"/>
      <c r="AF50" s="3541"/>
      <c r="AG50" s="3541"/>
      <c r="AH50" s="3541"/>
      <c r="AI50" s="3541"/>
      <c r="AJ50" s="3541"/>
      <c r="AK50" s="3541"/>
      <c r="AL50" s="3541"/>
      <c r="AM50" s="3541"/>
      <c r="AN50" s="3541"/>
      <c r="AO50" s="1085"/>
      <c r="AP50" s="1086"/>
      <c r="AQ50" s="2824"/>
    </row>
    <row r="51" spans="1:43" s="564" customFormat="1" ht="90" customHeight="1" x14ac:dyDescent="0.25">
      <c r="A51" s="595"/>
      <c r="B51" s="249"/>
      <c r="C51" s="249"/>
      <c r="D51" s="615"/>
      <c r="E51" s="609"/>
      <c r="F51" s="616"/>
      <c r="G51" s="178"/>
      <c r="H51" s="178"/>
      <c r="I51" s="178"/>
      <c r="J51" s="1446">
        <v>81</v>
      </c>
      <c r="K51" s="509" t="s">
        <v>1080</v>
      </c>
      <c r="L51" s="509" t="s">
        <v>1081</v>
      </c>
      <c r="M51" s="1471">
        <v>41</v>
      </c>
      <c r="N51" s="2824"/>
      <c r="O51" s="2824"/>
      <c r="P51" s="2845"/>
      <c r="Q51" s="839">
        <v>0</v>
      </c>
      <c r="R51" s="3598"/>
      <c r="S51" s="2845"/>
      <c r="T51" s="509" t="s">
        <v>1057</v>
      </c>
      <c r="U51" s="1468" t="s">
        <v>1082</v>
      </c>
      <c r="V51" s="1414"/>
      <c r="W51" s="1713"/>
      <c r="X51" s="1389"/>
      <c r="Y51" s="3582"/>
      <c r="Z51" s="3541"/>
      <c r="AA51" s="3541"/>
      <c r="AB51" s="3541"/>
      <c r="AC51" s="3541"/>
      <c r="AD51" s="3541"/>
      <c r="AE51" s="3541"/>
      <c r="AF51" s="3541"/>
      <c r="AG51" s="3541"/>
      <c r="AH51" s="3541"/>
      <c r="AI51" s="3541"/>
      <c r="AJ51" s="3541"/>
      <c r="AK51" s="3541"/>
      <c r="AL51" s="3541"/>
      <c r="AM51" s="3541"/>
      <c r="AN51" s="3541"/>
      <c r="AO51" s="1086"/>
      <c r="AP51" s="1086"/>
      <c r="AQ51" s="2824"/>
    </row>
    <row r="52" spans="1:43" s="564" customFormat="1" ht="91.5" customHeight="1" x14ac:dyDescent="0.25">
      <c r="A52" s="595"/>
      <c r="B52" s="249"/>
      <c r="C52" s="249"/>
      <c r="D52" s="615"/>
      <c r="E52" s="609"/>
      <c r="F52" s="616"/>
      <c r="G52" s="178"/>
      <c r="H52" s="178"/>
      <c r="I52" s="178"/>
      <c r="J52" s="1603">
        <v>82</v>
      </c>
      <c r="K52" s="602" t="s">
        <v>1083</v>
      </c>
      <c r="L52" s="602" t="s">
        <v>1084</v>
      </c>
      <c r="M52" s="1472">
        <v>40</v>
      </c>
      <c r="N52" s="2825"/>
      <c r="O52" s="2824"/>
      <c r="P52" s="2845"/>
      <c r="Q52" s="1606">
        <v>0</v>
      </c>
      <c r="R52" s="3598"/>
      <c r="S52" s="2845"/>
      <c r="T52" s="602" t="s">
        <v>1057</v>
      </c>
      <c r="U52" s="1473" t="s">
        <v>1085</v>
      </c>
      <c r="V52" s="1391"/>
      <c r="W52" s="1713"/>
      <c r="X52" s="1389"/>
      <c r="Y52" s="3582"/>
      <c r="Z52" s="3541"/>
      <c r="AA52" s="3541"/>
      <c r="AB52" s="3541"/>
      <c r="AC52" s="3541"/>
      <c r="AD52" s="3541"/>
      <c r="AE52" s="3541"/>
      <c r="AF52" s="3541"/>
      <c r="AG52" s="3541"/>
      <c r="AH52" s="3541"/>
      <c r="AI52" s="3541"/>
      <c r="AJ52" s="3541"/>
      <c r="AK52" s="3541"/>
      <c r="AL52" s="3541"/>
      <c r="AM52" s="3541"/>
      <c r="AN52" s="3541"/>
      <c r="AO52" s="1086"/>
      <c r="AP52" s="1086"/>
      <c r="AQ52" s="2824"/>
    </row>
    <row r="53" spans="1:43" s="564" customFormat="1" ht="15.75" x14ac:dyDescent="0.25">
      <c r="A53" s="595"/>
      <c r="B53" s="249"/>
      <c r="C53" s="249"/>
      <c r="D53" s="595"/>
      <c r="E53" s="249"/>
      <c r="F53" s="600"/>
      <c r="G53" s="613">
        <v>20</v>
      </c>
      <c r="H53" s="1433" t="s">
        <v>1086</v>
      </c>
      <c r="I53" s="1433"/>
      <c r="J53" s="1433"/>
      <c r="K53" s="166"/>
      <c r="L53" s="166"/>
      <c r="M53" s="172"/>
      <c r="N53" s="167"/>
      <c r="O53" s="172"/>
      <c r="P53" s="166"/>
      <c r="Q53" s="172"/>
      <c r="R53" s="368"/>
      <c r="S53" s="166"/>
      <c r="T53" s="166"/>
      <c r="U53" s="166"/>
      <c r="V53" s="614"/>
      <c r="W53" s="490"/>
      <c r="X53" s="490"/>
      <c r="Y53" s="172"/>
      <c r="Z53" s="172"/>
      <c r="AA53" s="172"/>
      <c r="AB53" s="172"/>
      <c r="AC53" s="172"/>
      <c r="AD53" s="172"/>
      <c r="AE53" s="172"/>
      <c r="AF53" s="172"/>
      <c r="AG53" s="172"/>
      <c r="AH53" s="172"/>
      <c r="AI53" s="172"/>
      <c r="AJ53" s="582"/>
      <c r="AK53" s="582"/>
      <c r="AL53" s="582"/>
      <c r="AM53" s="582"/>
      <c r="AN53" s="582"/>
      <c r="AO53" s="582"/>
      <c r="AP53" s="582"/>
      <c r="AQ53" s="592"/>
    </row>
    <row r="54" spans="1:43" s="564" customFormat="1" ht="39.75" customHeight="1" x14ac:dyDescent="0.25">
      <c r="A54" s="359"/>
      <c r="B54" s="131"/>
      <c r="C54" s="131"/>
      <c r="D54" s="618"/>
      <c r="E54" s="619"/>
      <c r="F54" s="620"/>
      <c r="G54" s="3335"/>
      <c r="H54" s="3335"/>
      <c r="I54" s="3336"/>
      <c r="J54" s="3515">
        <v>83</v>
      </c>
      <c r="K54" s="2774" t="s">
        <v>1087</v>
      </c>
      <c r="L54" s="1262" t="s">
        <v>1088</v>
      </c>
      <c r="M54" s="1477">
        <v>54</v>
      </c>
      <c r="N54" s="1457"/>
      <c r="O54" s="2597" t="s">
        <v>1089</v>
      </c>
      <c r="P54" s="2645" t="s">
        <v>1090</v>
      </c>
      <c r="Q54" s="3600">
        <f>(V54+V55)/$R$54</f>
        <v>0.41657615396447573</v>
      </c>
      <c r="R54" s="3597">
        <f>SUM(V54:V74)</f>
        <v>536696586.86000001</v>
      </c>
      <c r="S54" s="2645" t="s">
        <v>1091</v>
      </c>
      <c r="T54" s="2774" t="s">
        <v>1092</v>
      </c>
      <c r="U54" s="2774" t="s">
        <v>1093</v>
      </c>
      <c r="V54" s="1411">
        <f>19800000+100000000</f>
        <v>119800000</v>
      </c>
      <c r="W54" s="1713">
        <v>20</v>
      </c>
      <c r="X54" s="1389" t="s">
        <v>61</v>
      </c>
      <c r="Y54" s="3515">
        <v>20555</v>
      </c>
      <c r="Z54" s="3515">
        <v>21361</v>
      </c>
      <c r="AA54" s="2547">
        <v>30460</v>
      </c>
      <c r="AB54" s="2547">
        <v>9593</v>
      </c>
      <c r="AC54" s="2547">
        <v>1762</v>
      </c>
      <c r="AD54" s="2547">
        <v>101</v>
      </c>
      <c r="AE54" s="2547">
        <v>308</v>
      </c>
      <c r="AF54" s="2547">
        <v>277</v>
      </c>
      <c r="AG54" s="2547">
        <v>0</v>
      </c>
      <c r="AH54" s="2547">
        <v>0</v>
      </c>
      <c r="AI54" s="2547">
        <v>0</v>
      </c>
      <c r="AJ54" s="2547">
        <v>0</v>
      </c>
      <c r="AK54" s="2547">
        <v>2907</v>
      </c>
      <c r="AL54" s="2547">
        <v>2589</v>
      </c>
      <c r="AM54" s="2547">
        <v>2954</v>
      </c>
      <c r="AN54" s="2547">
        <v>41916</v>
      </c>
      <c r="AO54" s="685">
        <v>43500</v>
      </c>
      <c r="AP54" s="685">
        <v>43798</v>
      </c>
      <c r="AQ54" s="3534" t="s">
        <v>997</v>
      </c>
    </row>
    <row r="55" spans="1:43" s="564" customFormat="1" ht="39" customHeight="1" x14ac:dyDescent="0.25">
      <c r="A55" s="359"/>
      <c r="B55" s="131"/>
      <c r="C55" s="131"/>
      <c r="D55" s="618"/>
      <c r="E55" s="619"/>
      <c r="F55" s="620"/>
      <c r="G55" s="3335"/>
      <c r="H55" s="3335"/>
      <c r="I55" s="3336"/>
      <c r="J55" s="3516"/>
      <c r="K55" s="2775"/>
      <c r="L55" s="1262"/>
      <c r="M55" s="1477"/>
      <c r="N55" s="1457"/>
      <c r="O55" s="2597"/>
      <c r="P55" s="2645"/>
      <c r="Q55" s="3602"/>
      <c r="R55" s="3597"/>
      <c r="S55" s="2645"/>
      <c r="T55" s="2775"/>
      <c r="U55" s="2775"/>
      <c r="V55" s="1411">
        <f>0+103775000</f>
        <v>103775000</v>
      </c>
      <c r="W55" s="1713">
        <v>88</v>
      </c>
      <c r="X55" s="1389" t="s">
        <v>163</v>
      </c>
      <c r="Y55" s="3576"/>
      <c r="Z55" s="3576"/>
      <c r="AA55" s="2562"/>
      <c r="AB55" s="2562"/>
      <c r="AC55" s="2562"/>
      <c r="AD55" s="2562"/>
      <c r="AE55" s="2562"/>
      <c r="AF55" s="2562"/>
      <c r="AG55" s="2562"/>
      <c r="AH55" s="2562"/>
      <c r="AI55" s="2562"/>
      <c r="AJ55" s="2562"/>
      <c r="AK55" s="2562"/>
      <c r="AL55" s="2562"/>
      <c r="AM55" s="2562"/>
      <c r="AN55" s="2562"/>
      <c r="AO55" s="685"/>
      <c r="AP55" s="685"/>
      <c r="AQ55" s="3535"/>
    </row>
    <row r="56" spans="1:43" s="564" customFormat="1" ht="61.5" customHeight="1" x14ac:dyDescent="0.25">
      <c r="A56" s="359"/>
      <c r="B56" s="131"/>
      <c r="C56" s="131"/>
      <c r="D56" s="618"/>
      <c r="E56" s="619"/>
      <c r="F56" s="620"/>
      <c r="G56" s="3335"/>
      <c r="H56" s="3335"/>
      <c r="I56" s="3336"/>
      <c r="J56" s="1446">
        <v>84</v>
      </c>
      <c r="K56" s="1468" t="s">
        <v>1094</v>
      </c>
      <c r="L56" s="1468" t="s">
        <v>1095</v>
      </c>
      <c r="M56" s="1446">
        <v>30</v>
      </c>
      <c r="N56" s="1457"/>
      <c r="O56" s="2597"/>
      <c r="P56" s="2645"/>
      <c r="Q56" s="622">
        <f>+V56/R54</f>
        <v>0</v>
      </c>
      <c r="R56" s="3597"/>
      <c r="S56" s="2645"/>
      <c r="T56" s="1435" t="s">
        <v>1096</v>
      </c>
      <c r="U56" s="1435" t="s">
        <v>1097</v>
      </c>
      <c r="V56" s="1414"/>
      <c r="W56" s="1388"/>
      <c r="X56" s="1389"/>
      <c r="Y56" s="3576"/>
      <c r="Z56" s="3576"/>
      <c r="AA56" s="2562"/>
      <c r="AB56" s="2562"/>
      <c r="AC56" s="2562"/>
      <c r="AD56" s="2562"/>
      <c r="AE56" s="2562"/>
      <c r="AF56" s="2562"/>
      <c r="AG56" s="2562"/>
      <c r="AH56" s="2562"/>
      <c r="AI56" s="2562"/>
      <c r="AJ56" s="2562"/>
      <c r="AK56" s="2562"/>
      <c r="AL56" s="2562"/>
      <c r="AM56" s="2562"/>
      <c r="AN56" s="2562"/>
      <c r="AO56" s="685"/>
      <c r="AP56" s="685"/>
      <c r="AQ56" s="3535"/>
    </row>
    <row r="57" spans="1:43" s="564" customFormat="1" ht="60" customHeight="1" x14ac:dyDescent="0.25">
      <c r="A57" s="359"/>
      <c r="B57" s="131"/>
      <c r="C57" s="131"/>
      <c r="D57" s="618"/>
      <c r="E57" s="619"/>
      <c r="F57" s="620"/>
      <c r="G57" s="3335"/>
      <c r="H57" s="3335"/>
      <c r="I57" s="3336"/>
      <c r="J57" s="1446">
        <v>85</v>
      </c>
      <c r="K57" s="1468" t="s">
        <v>1098</v>
      </c>
      <c r="L57" s="1468" t="s">
        <v>1099</v>
      </c>
      <c r="M57" s="1446">
        <v>30</v>
      </c>
      <c r="N57" s="1457"/>
      <c r="O57" s="2597"/>
      <c r="P57" s="2645"/>
      <c r="Q57" s="622">
        <f>+V57/R54</f>
        <v>0</v>
      </c>
      <c r="R57" s="3597"/>
      <c r="S57" s="2645"/>
      <c r="T57" s="1432" t="s">
        <v>1100</v>
      </c>
      <c r="U57" s="1435" t="s">
        <v>1101</v>
      </c>
      <c r="V57" s="1411">
        <f>16050000-16050000</f>
        <v>0</v>
      </c>
      <c r="W57" s="1388"/>
      <c r="X57" s="1389"/>
      <c r="Y57" s="3576"/>
      <c r="Z57" s="3576"/>
      <c r="AA57" s="2562"/>
      <c r="AB57" s="2562"/>
      <c r="AC57" s="2562"/>
      <c r="AD57" s="2562"/>
      <c r="AE57" s="2562"/>
      <c r="AF57" s="2562"/>
      <c r="AG57" s="2562"/>
      <c r="AH57" s="2562"/>
      <c r="AI57" s="2562"/>
      <c r="AJ57" s="2562"/>
      <c r="AK57" s="2562"/>
      <c r="AL57" s="2562"/>
      <c r="AM57" s="2562"/>
      <c r="AN57" s="2562"/>
      <c r="AO57" s="685"/>
      <c r="AP57" s="1087"/>
      <c r="AQ57" s="3535"/>
    </row>
    <row r="58" spans="1:43" s="564" customFormat="1" ht="63" customHeight="1" x14ac:dyDescent="0.25">
      <c r="A58" s="359"/>
      <c r="B58" s="131"/>
      <c r="C58" s="131"/>
      <c r="D58" s="618"/>
      <c r="E58" s="619"/>
      <c r="F58" s="620"/>
      <c r="G58" s="3335"/>
      <c r="H58" s="3335"/>
      <c r="I58" s="3336"/>
      <c r="J58" s="3515">
        <v>87</v>
      </c>
      <c r="K58" s="3612" t="s">
        <v>1102</v>
      </c>
      <c r="L58" s="3612" t="s">
        <v>1103</v>
      </c>
      <c r="M58" s="3515">
        <v>30</v>
      </c>
      <c r="N58" s="1457"/>
      <c r="O58" s="2597"/>
      <c r="P58" s="2645"/>
      <c r="Q58" s="3600">
        <f>(+V58+V59)/R54</f>
        <v>0.18609210948094382</v>
      </c>
      <c r="R58" s="3597"/>
      <c r="S58" s="2645"/>
      <c r="T58" s="2514" t="s">
        <v>1104</v>
      </c>
      <c r="U58" s="2514" t="s">
        <v>1105</v>
      </c>
      <c r="V58" s="1448">
        <v>80000000</v>
      </c>
      <c r="W58" s="1449">
        <v>21</v>
      </c>
      <c r="X58" s="1614" t="s">
        <v>1106</v>
      </c>
      <c r="Y58" s="3576"/>
      <c r="Z58" s="3576"/>
      <c r="AA58" s="2562"/>
      <c r="AB58" s="2562"/>
      <c r="AC58" s="2562"/>
      <c r="AD58" s="2562"/>
      <c r="AE58" s="2562"/>
      <c r="AF58" s="2562"/>
      <c r="AG58" s="2562"/>
      <c r="AH58" s="2562"/>
      <c r="AI58" s="2562"/>
      <c r="AJ58" s="2562"/>
      <c r="AK58" s="2562"/>
      <c r="AL58" s="2562"/>
      <c r="AM58" s="2562"/>
      <c r="AN58" s="2562"/>
      <c r="AO58" s="685"/>
      <c r="AP58" s="1087"/>
      <c r="AQ58" s="3535"/>
    </row>
    <row r="59" spans="1:43" s="564" customFormat="1" ht="53.25" customHeight="1" x14ac:dyDescent="0.25">
      <c r="A59" s="359"/>
      <c r="B59" s="131"/>
      <c r="C59" s="131"/>
      <c r="D59" s="618"/>
      <c r="E59" s="619"/>
      <c r="F59" s="620"/>
      <c r="G59" s="3335"/>
      <c r="H59" s="3335"/>
      <c r="I59" s="3336"/>
      <c r="J59" s="3516"/>
      <c r="K59" s="3613"/>
      <c r="L59" s="3613"/>
      <c r="M59" s="3516"/>
      <c r="N59" s="1457"/>
      <c r="O59" s="2597"/>
      <c r="P59" s="2645"/>
      <c r="Q59" s="3602"/>
      <c r="R59" s="3597"/>
      <c r="S59" s="2645"/>
      <c r="T59" s="2512"/>
      <c r="U59" s="2512"/>
      <c r="V59" s="1411">
        <v>19875000</v>
      </c>
      <c r="W59" s="1449">
        <v>20</v>
      </c>
      <c r="X59" s="1614" t="s">
        <v>61</v>
      </c>
      <c r="Y59" s="3576"/>
      <c r="Z59" s="3576"/>
      <c r="AA59" s="2562"/>
      <c r="AB59" s="2562"/>
      <c r="AC59" s="2562"/>
      <c r="AD59" s="2562"/>
      <c r="AE59" s="2562"/>
      <c r="AF59" s="2562"/>
      <c r="AG59" s="2562"/>
      <c r="AH59" s="2562"/>
      <c r="AI59" s="2562"/>
      <c r="AJ59" s="2562"/>
      <c r="AK59" s="2562"/>
      <c r="AL59" s="2562"/>
      <c r="AM59" s="2562"/>
      <c r="AN59" s="2562"/>
      <c r="AO59" s="685">
        <v>43500</v>
      </c>
      <c r="AP59" s="685">
        <v>43798</v>
      </c>
      <c r="AQ59" s="3535"/>
    </row>
    <row r="60" spans="1:43" s="564" customFormat="1" ht="67.5" customHeight="1" x14ac:dyDescent="0.25">
      <c r="A60" s="359"/>
      <c r="B60" s="131"/>
      <c r="C60" s="131"/>
      <c r="D60" s="618"/>
      <c r="E60" s="619"/>
      <c r="F60" s="620"/>
      <c r="G60" s="3335"/>
      <c r="H60" s="3335"/>
      <c r="I60" s="3336"/>
      <c r="J60" s="2540">
        <v>88</v>
      </c>
      <c r="K60" s="2514" t="s">
        <v>1107</v>
      </c>
      <c r="L60" s="2514" t="s">
        <v>1108</v>
      </c>
      <c r="M60" s="2540">
        <v>36</v>
      </c>
      <c r="N60" s="1457"/>
      <c r="O60" s="2597"/>
      <c r="P60" s="2645"/>
      <c r="Q60" s="3600">
        <f>(+V60+V61+V62)/R54</f>
        <v>0.11990201088568928</v>
      </c>
      <c r="R60" s="3597"/>
      <c r="S60" s="2645"/>
      <c r="T60" s="2514" t="s">
        <v>1109</v>
      </c>
      <c r="U60" s="1435" t="s">
        <v>1110</v>
      </c>
      <c r="V60" s="1412">
        <f>17175500+15000000-4016958+196458</f>
        <v>28355000</v>
      </c>
      <c r="W60" s="1449">
        <v>20</v>
      </c>
      <c r="X60" s="1614" t="s">
        <v>61</v>
      </c>
      <c r="Y60" s="3576"/>
      <c r="Z60" s="3576"/>
      <c r="AA60" s="2562"/>
      <c r="AB60" s="2562"/>
      <c r="AC60" s="2562"/>
      <c r="AD60" s="2562"/>
      <c r="AE60" s="2562"/>
      <c r="AF60" s="2562"/>
      <c r="AG60" s="2562"/>
      <c r="AH60" s="2562"/>
      <c r="AI60" s="2562"/>
      <c r="AJ60" s="2562"/>
      <c r="AK60" s="2562"/>
      <c r="AL60" s="2562"/>
      <c r="AM60" s="2562"/>
      <c r="AN60" s="2562"/>
      <c r="AO60" s="685">
        <v>43500</v>
      </c>
      <c r="AP60" s="685">
        <v>43798</v>
      </c>
      <c r="AQ60" s="3535"/>
    </row>
    <row r="61" spans="1:43" s="564" customFormat="1" ht="67.5" customHeight="1" x14ac:dyDescent="0.25">
      <c r="A61" s="359"/>
      <c r="B61" s="131"/>
      <c r="C61" s="131"/>
      <c r="D61" s="618"/>
      <c r="E61" s="619"/>
      <c r="F61" s="620"/>
      <c r="G61" s="3335"/>
      <c r="H61" s="3335"/>
      <c r="I61" s="3336"/>
      <c r="J61" s="2597"/>
      <c r="K61" s="2645"/>
      <c r="L61" s="2645"/>
      <c r="M61" s="2597"/>
      <c r="N61" s="1457"/>
      <c r="O61" s="2597"/>
      <c r="P61" s="2645"/>
      <c r="Q61" s="3601"/>
      <c r="R61" s="3597"/>
      <c r="S61" s="2645"/>
      <c r="T61" s="2645"/>
      <c r="U61" s="1432" t="s">
        <v>1111</v>
      </c>
      <c r="V61" s="1413">
        <f>17175500+15000000-4016958-196458</f>
        <v>27962084</v>
      </c>
      <c r="W61" s="1451">
        <v>20</v>
      </c>
      <c r="X61" s="1474" t="s">
        <v>61</v>
      </c>
      <c r="Y61" s="3576"/>
      <c r="Z61" s="3576"/>
      <c r="AA61" s="2562"/>
      <c r="AB61" s="2562"/>
      <c r="AC61" s="2562"/>
      <c r="AD61" s="2562"/>
      <c r="AE61" s="2562"/>
      <c r="AF61" s="2562"/>
      <c r="AG61" s="2562"/>
      <c r="AH61" s="2562"/>
      <c r="AI61" s="2562"/>
      <c r="AJ61" s="2562"/>
      <c r="AK61" s="2562"/>
      <c r="AL61" s="2562"/>
      <c r="AM61" s="2562"/>
      <c r="AN61" s="2562"/>
      <c r="AO61" s="685"/>
      <c r="AP61" s="685"/>
      <c r="AQ61" s="3535"/>
    </row>
    <row r="62" spans="1:43" s="564" customFormat="1" ht="88.5" customHeight="1" x14ac:dyDescent="0.25">
      <c r="A62" s="359"/>
      <c r="B62" s="131"/>
      <c r="C62" s="131"/>
      <c r="D62" s="618"/>
      <c r="E62" s="619"/>
      <c r="F62" s="620"/>
      <c r="G62" s="3335"/>
      <c r="H62" s="3335"/>
      <c r="I62" s="3336"/>
      <c r="J62" s="2519"/>
      <c r="K62" s="2512"/>
      <c r="L62" s="2512"/>
      <c r="M62" s="2519"/>
      <c r="N62" s="1457" t="s">
        <v>1112</v>
      </c>
      <c r="O62" s="2597"/>
      <c r="P62" s="2645"/>
      <c r="Q62" s="3602"/>
      <c r="R62" s="3597"/>
      <c r="S62" s="2645"/>
      <c r="T62" s="3614"/>
      <c r="U62" s="1387" t="s">
        <v>1113</v>
      </c>
      <c r="V62" s="1975">
        <f>0+8033916</f>
        <v>8033916</v>
      </c>
      <c r="W62" s="1461">
        <v>20</v>
      </c>
      <c r="X62" s="1619" t="s">
        <v>61</v>
      </c>
      <c r="Y62" s="3578"/>
      <c r="Z62" s="3576"/>
      <c r="AA62" s="2562"/>
      <c r="AB62" s="2562"/>
      <c r="AC62" s="2562"/>
      <c r="AD62" s="2562"/>
      <c r="AE62" s="2562"/>
      <c r="AF62" s="2562"/>
      <c r="AG62" s="2562"/>
      <c r="AH62" s="2562"/>
      <c r="AI62" s="2562"/>
      <c r="AJ62" s="2562"/>
      <c r="AK62" s="2562"/>
      <c r="AL62" s="2562"/>
      <c r="AM62" s="2562"/>
      <c r="AN62" s="2562"/>
      <c r="AO62" s="685">
        <v>43500</v>
      </c>
      <c r="AP62" s="685">
        <v>43798</v>
      </c>
      <c r="AQ62" s="3535"/>
    </row>
    <row r="63" spans="1:43" s="564" customFormat="1" ht="30" customHeight="1" x14ac:dyDescent="0.25">
      <c r="A63" s="359"/>
      <c r="B63" s="131"/>
      <c r="C63" s="131"/>
      <c r="D63" s="618"/>
      <c r="E63" s="619"/>
      <c r="F63" s="620"/>
      <c r="G63" s="3335"/>
      <c r="H63" s="3335"/>
      <c r="I63" s="3336"/>
      <c r="J63" s="3515">
        <v>86</v>
      </c>
      <c r="K63" s="2514" t="s">
        <v>1114</v>
      </c>
      <c r="L63" s="2514" t="s">
        <v>1115</v>
      </c>
      <c r="M63" s="2540">
        <v>1</v>
      </c>
      <c r="N63" s="1457" t="s">
        <v>1116</v>
      </c>
      <c r="O63" s="2597"/>
      <c r="P63" s="2645"/>
      <c r="Q63" s="3600">
        <f>(V63+V64+V65)/R54</f>
        <v>0</v>
      </c>
      <c r="R63" s="3597"/>
      <c r="S63" s="2645"/>
      <c r="T63" s="2514" t="s">
        <v>1104</v>
      </c>
      <c r="U63" s="1431" t="s">
        <v>1117</v>
      </c>
      <c r="V63" s="1175"/>
      <c r="W63" s="1460"/>
      <c r="X63" s="1475"/>
      <c r="Y63" s="3576"/>
      <c r="Z63" s="3576"/>
      <c r="AA63" s="2562"/>
      <c r="AB63" s="2562"/>
      <c r="AC63" s="2562"/>
      <c r="AD63" s="2562"/>
      <c r="AE63" s="2562"/>
      <c r="AF63" s="2562"/>
      <c r="AG63" s="2562"/>
      <c r="AH63" s="2562"/>
      <c r="AI63" s="2562"/>
      <c r="AJ63" s="2562"/>
      <c r="AK63" s="2562"/>
      <c r="AL63" s="2562"/>
      <c r="AM63" s="2562"/>
      <c r="AN63" s="2562"/>
      <c r="AO63" s="685"/>
      <c r="AP63" s="685"/>
      <c r="AQ63" s="3535"/>
    </row>
    <row r="64" spans="1:43" s="564" customFormat="1" ht="32.25" customHeight="1" x14ac:dyDescent="0.25">
      <c r="A64" s="359"/>
      <c r="B64" s="131"/>
      <c r="C64" s="131"/>
      <c r="D64" s="618"/>
      <c r="E64" s="619"/>
      <c r="F64" s="620"/>
      <c r="G64" s="3335"/>
      <c r="H64" s="3335"/>
      <c r="I64" s="3336"/>
      <c r="J64" s="3576"/>
      <c r="K64" s="2645"/>
      <c r="L64" s="2645"/>
      <c r="M64" s="2597"/>
      <c r="N64" s="1457" t="s">
        <v>1118</v>
      </c>
      <c r="O64" s="2597"/>
      <c r="P64" s="2645"/>
      <c r="Q64" s="3601"/>
      <c r="R64" s="3597"/>
      <c r="S64" s="2645"/>
      <c r="T64" s="2645"/>
      <c r="U64" s="1435" t="s">
        <v>1119</v>
      </c>
      <c r="V64" s="1173"/>
      <c r="W64" s="1449"/>
      <c r="X64" s="1614"/>
      <c r="Y64" s="3576"/>
      <c r="Z64" s="3576"/>
      <c r="AA64" s="2562"/>
      <c r="AB64" s="2562"/>
      <c r="AC64" s="2562"/>
      <c r="AD64" s="2562"/>
      <c r="AE64" s="2562"/>
      <c r="AF64" s="2562"/>
      <c r="AG64" s="2562"/>
      <c r="AH64" s="2562"/>
      <c r="AI64" s="2562"/>
      <c r="AJ64" s="2562"/>
      <c r="AK64" s="2562"/>
      <c r="AL64" s="2562"/>
      <c r="AM64" s="2562"/>
      <c r="AN64" s="2562"/>
      <c r="AO64" s="685"/>
      <c r="AP64" s="685"/>
      <c r="AQ64" s="3535"/>
    </row>
    <row r="65" spans="1:43" s="564" customFormat="1" ht="35.25" customHeight="1" x14ac:dyDescent="0.25">
      <c r="A65" s="359"/>
      <c r="B65" s="131"/>
      <c r="C65" s="131"/>
      <c r="D65" s="618"/>
      <c r="E65" s="619"/>
      <c r="F65" s="620"/>
      <c r="G65" s="3335"/>
      <c r="H65" s="3335"/>
      <c r="I65" s="3336"/>
      <c r="J65" s="3516"/>
      <c r="K65" s="2512"/>
      <c r="L65" s="2512"/>
      <c r="M65" s="2519"/>
      <c r="N65" s="1457" t="s">
        <v>1120</v>
      </c>
      <c r="O65" s="2597"/>
      <c r="P65" s="2645"/>
      <c r="Q65" s="3602"/>
      <c r="R65" s="3597"/>
      <c r="S65" s="2645"/>
      <c r="T65" s="2512"/>
      <c r="U65" s="1435" t="s">
        <v>1121</v>
      </c>
      <c r="V65" s="1174"/>
      <c r="W65" s="1449"/>
      <c r="X65" s="1614"/>
      <c r="Y65" s="3576"/>
      <c r="Z65" s="3576"/>
      <c r="AA65" s="2562"/>
      <c r="AB65" s="2562"/>
      <c r="AC65" s="2562"/>
      <c r="AD65" s="2562"/>
      <c r="AE65" s="2562"/>
      <c r="AF65" s="2562"/>
      <c r="AG65" s="2562"/>
      <c r="AH65" s="2562"/>
      <c r="AI65" s="2562"/>
      <c r="AJ65" s="2562"/>
      <c r="AK65" s="2562"/>
      <c r="AL65" s="2562"/>
      <c r="AM65" s="2562"/>
      <c r="AN65" s="2562"/>
      <c r="AO65" s="685"/>
      <c r="AP65" s="685"/>
      <c r="AQ65" s="3535"/>
    </row>
    <row r="66" spans="1:43" s="564" customFormat="1" ht="77.25" customHeight="1" x14ac:dyDescent="0.25">
      <c r="A66" s="359"/>
      <c r="B66" s="131"/>
      <c r="C66" s="131"/>
      <c r="D66" s="618"/>
      <c r="E66" s="619"/>
      <c r="F66" s="620"/>
      <c r="G66" s="3335"/>
      <c r="H66" s="3335"/>
      <c r="I66" s="3336"/>
      <c r="J66" s="1446">
        <v>89</v>
      </c>
      <c r="K66" s="1468" t="s">
        <v>1122</v>
      </c>
      <c r="L66" s="1468" t="s">
        <v>1123</v>
      </c>
      <c r="M66" s="1446">
        <v>20000</v>
      </c>
      <c r="N66" s="1457"/>
      <c r="O66" s="2597"/>
      <c r="P66" s="2645"/>
      <c r="Q66" s="622">
        <f>+V66/R54</f>
        <v>0</v>
      </c>
      <c r="R66" s="3597"/>
      <c r="S66" s="2645"/>
      <c r="T66" s="1432" t="s">
        <v>1124</v>
      </c>
      <c r="U66" s="1435" t="s">
        <v>1125</v>
      </c>
      <c r="V66" s="1173"/>
      <c r="W66" s="1449"/>
      <c r="X66" s="1614"/>
      <c r="Y66" s="3576"/>
      <c r="Z66" s="3576"/>
      <c r="AA66" s="2562"/>
      <c r="AB66" s="2562"/>
      <c r="AC66" s="2562"/>
      <c r="AD66" s="2562"/>
      <c r="AE66" s="2562"/>
      <c r="AF66" s="2562"/>
      <c r="AG66" s="2562"/>
      <c r="AH66" s="2562"/>
      <c r="AI66" s="2562"/>
      <c r="AJ66" s="2562"/>
      <c r="AK66" s="2562"/>
      <c r="AL66" s="2562"/>
      <c r="AM66" s="2562"/>
      <c r="AN66" s="2562"/>
      <c r="AO66" s="685"/>
      <c r="AP66" s="685"/>
      <c r="AQ66" s="3535"/>
    </row>
    <row r="67" spans="1:43" s="564" customFormat="1" ht="48" customHeight="1" x14ac:dyDescent="0.25">
      <c r="A67" s="359"/>
      <c r="B67" s="131"/>
      <c r="C67" s="131"/>
      <c r="D67" s="618"/>
      <c r="E67" s="619"/>
      <c r="F67" s="620"/>
      <c r="G67" s="3335"/>
      <c r="H67" s="3335"/>
      <c r="I67" s="3336"/>
      <c r="J67" s="3515">
        <v>90</v>
      </c>
      <c r="K67" s="2540" t="s">
        <v>1126</v>
      </c>
      <c r="L67" s="2514" t="s">
        <v>1127</v>
      </c>
      <c r="M67" s="2549">
        <v>130</v>
      </c>
      <c r="N67" s="1457"/>
      <c r="O67" s="2597"/>
      <c r="P67" s="2645"/>
      <c r="Q67" s="3615">
        <f>(+V67+V70+V68)/R54</f>
        <v>8.7612291844639062E-2</v>
      </c>
      <c r="R67" s="3597"/>
      <c r="S67" s="2718"/>
      <c r="T67" s="2522" t="s">
        <v>1128</v>
      </c>
      <c r="U67" s="3618" t="s">
        <v>1129</v>
      </c>
      <c r="V67" s="1414">
        <f>15475000+11156000</f>
        <v>26631000</v>
      </c>
      <c r="W67" s="1388">
        <v>20</v>
      </c>
      <c r="X67" s="1389" t="s">
        <v>61</v>
      </c>
      <c r="Y67" s="3576"/>
      <c r="Z67" s="3576"/>
      <c r="AA67" s="2562"/>
      <c r="AB67" s="2562"/>
      <c r="AC67" s="2562"/>
      <c r="AD67" s="2562"/>
      <c r="AE67" s="2562"/>
      <c r="AF67" s="2562"/>
      <c r="AG67" s="2562"/>
      <c r="AH67" s="2562"/>
      <c r="AI67" s="2562"/>
      <c r="AJ67" s="2562"/>
      <c r="AK67" s="2562"/>
      <c r="AL67" s="2562"/>
      <c r="AM67" s="2562"/>
      <c r="AN67" s="2562"/>
      <c r="AO67" s="840"/>
      <c r="AP67" s="840"/>
      <c r="AQ67" s="3535"/>
    </row>
    <row r="68" spans="1:43" s="564" customFormat="1" ht="52.5" customHeight="1" x14ac:dyDescent="0.25">
      <c r="A68" s="359"/>
      <c r="B68" s="131"/>
      <c r="C68" s="131"/>
      <c r="D68" s="618"/>
      <c r="E68" s="619"/>
      <c r="F68" s="620"/>
      <c r="G68" s="3335"/>
      <c r="H68" s="3335"/>
      <c r="I68" s="3336"/>
      <c r="J68" s="3576"/>
      <c r="K68" s="2597"/>
      <c r="L68" s="2645"/>
      <c r="M68" s="2727"/>
      <c r="N68" s="1457"/>
      <c r="O68" s="2597"/>
      <c r="P68" s="2645"/>
      <c r="Q68" s="3616"/>
      <c r="R68" s="3597"/>
      <c r="S68" s="2718"/>
      <c r="T68" s="2522"/>
      <c r="U68" s="3619"/>
      <c r="V68" s="1414">
        <f>0+17146218</f>
        <v>17146218</v>
      </c>
      <c r="W68" s="1388">
        <v>25</v>
      </c>
      <c r="X68" s="1389" t="s">
        <v>1035</v>
      </c>
      <c r="Y68" s="3576"/>
      <c r="Z68" s="3576"/>
      <c r="AA68" s="2562"/>
      <c r="AB68" s="2562"/>
      <c r="AC68" s="2562"/>
      <c r="AD68" s="2562"/>
      <c r="AE68" s="2562"/>
      <c r="AF68" s="2562"/>
      <c r="AG68" s="2562"/>
      <c r="AH68" s="2562"/>
      <c r="AI68" s="2562"/>
      <c r="AJ68" s="2562"/>
      <c r="AK68" s="2562"/>
      <c r="AL68" s="2562"/>
      <c r="AM68" s="2562"/>
      <c r="AN68" s="2562"/>
      <c r="AO68" s="840"/>
      <c r="AP68" s="840"/>
      <c r="AQ68" s="3535"/>
    </row>
    <row r="69" spans="1:43" s="564" customFormat="1" ht="107.25" customHeight="1" x14ac:dyDescent="0.25">
      <c r="A69" s="359"/>
      <c r="B69" s="131"/>
      <c r="C69" s="131"/>
      <c r="D69" s="618"/>
      <c r="E69" s="619"/>
      <c r="F69" s="620"/>
      <c r="G69" s="3335"/>
      <c r="H69" s="3335"/>
      <c r="I69" s="3336"/>
      <c r="J69" s="3576"/>
      <c r="K69" s="2597"/>
      <c r="L69" s="2512"/>
      <c r="M69" s="2728"/>
      <c r="N69" s="1457"/>
      <c r="O69" s="2597"/>
      <c r="P69" s="2645"/>
      <c r="Q69" s="3616"/>
      <c r="R69" s="3597"/>
      <c r="S69" s="2718"/>
      <c r="T69" s="2522"/>
      <c r="U69" s="1462" t="s">
        <v>1130</v>
      </c>
      <c r="V69" s="1411">
        <f>29875000-29875000</f>
        <v>0</v>
      </c>
      <c r="W69" s="1388">
        <v>20</v>
      </c>
      <c r="X69" s="1389" t="s">
        <v>61</v>
      </c>
      <c r="Y69" s="3576"/>
      <c r="Z69" s="3576"/>
      <c r="AA69" s="2562"/>
      <c r="AB69" s="2562"/>
      <c r="AC69" s="2562"/>
      <c r="AD69" s="2562"/>
      <c r="AE69" s="2562"/>
      <c r="AF69" s="2562"/>
      <c r="AG69" s="2562"/>
      <c r="AH69" s="2562"/>
      <c r="AI69" s="2562"/>
      <c r="AJ69" s="2562"/>
      <c r="AK69" s="2562"/>
      <c r="AL69" s="2562"/>
      <c r="AM69" s="2562"/>
      <c r="AN69" s="2562"/>
      <c r="AO69" s="685">
        <v>43500</v>
      </c>
      <c r="AP69" s="685">
        <v>43798</v>
      </c>
      <c r="AQ69" s="3535"/>
    </row>
    <row r="70" spans="1:43" s="564" customFormat="1" ht="81.75" customHeight="1" x14ac:dyDescent="0.25">
      <c r="A70" s="359"/>
      <c r="B70" s="131"/>
      <c r="C70" s="131"/>
      <c r="D70" s="618"/>
      <c r="E70" s="619"/>
      <c r="F70" s="620"/>
      <c r="G70" s="3335"/>
      <c r="H70" s="3335"/>
      <c r="I70" s="3336"/>
      <c r="J70" s="3516"/>
      <c r="K70" s="2519"/>
      <c r="L70" s="1430"/>
      <c r="M70" s="1476"/>
      <c r="N70" s="1457"/>
      <c r="O70" s="2597"/>
      <c r="P70" s="2645"/>
      <c r="Q70" s="3617"/>
      <c r="R70" s="3597"/>
      <c r="S70" s="2718"/>
      <c r="T70" s="2522"/>
      <c r="U70" s="1390" t="s">
        <v>1131</v>
      </c>
      <c r="V70" s="1411">
        <f>14400000-11156000</f>
        <v>3244000</v>
      </c>
      <c r="W70" s="1388">
        <v>20</v>
      </c>
      <c r="X70" s="1389" t="s">
        <v>61</v>
      </c>
      <c r="Y70" s="3576"/>
      <c r="Z70" s="3576"/>
      <c r="AA70" s="2562"/>
      <c r="AB70" s="2562"/>
      <c r="AC70" s="2562"/>
      <c r="AD70" s="2562"/>
      <c r="AE70" s="2562"/>
      <c r="AF70" s="2562"/>
      <c r="AG70" s="2562"/>
      <c r="AH70" s="2562"/>
      <c r="AI70" s="2562"/>
      <c r="AJ70" s="2562"/>
      <c r="AK70" s="2562"/>
      <c r="AL70" s="2562"/>
      <c r="AM70" s="2562"/>
      <c r="AN70" s="2562"/>
      <c r="AO70" s="685"/>
      <c r="AP70" s="685"/>
      <c r="AQ70" s="3535"/>
    </row>
    <row r="71" spans="1:43" s="564" customFormat="1" ht="41.25" customHeight="1" x14ac:dyDescent="0.25">
      <c r="A71" s="359"/>
      <c r="B71" s="131"/>
      <c r="C71" s="131"/>
      <c r="D71" s="618"/>
      <c r="E71" s="619"/>
      <c r="F71" s="620"/>
      <c r="G71" s="3335"/>
      <c r="H71" s="3335"/>
      <c r="I71" s="3336"/>
      <c r="J71" s="3515">
        <v>91</v>
      </c>
      <c r="K71" s="2514" t="s">
        <v>1132</v>
      </c>
      <c r="L71" s="2514" t="s">
        <v>1133</v>
      </c>
      <c r="M71" s="2549">
        <v>54</v>
      </c>
      <c r="N71" s="1457"/>
      <c r="O71" s="2597"/>
      <c r="P71" s="2645"/>
      <c r="Q71" s="3600">
        <f>(+V71+V73+V72)/R54</f>
        <v>0.18981743382425206</v>
      </c>
      <c r="R71" s="3597"/>
      <c r="S71" s="2645"/>
      <c r="T71" s="2645" t="s">
        <v>1134</v>
      </c>
      <c r="U71" s="2514" t="s">
        <v>1135</v>
      </c>
      <c r="V71" s="1448">
        <f>60000000+31988604.86</f>
        <v>91988604.859999999</v>
      </c>
      <c r="W71" s="1449">
        <v>21</v>
      </c>
      <c r="X71" s="1614" t="s">
        <v>1106</v>
      </c>
      <c r="Y71" s="3576"/>
      <c r="Z71" s="3576"/>
      <c r="AA71" s="2562"/>
      <c r="AB71" s="2562"/>
      <c r="AC71" s="2562"/>
      <c r="AD71" s="2562"/>
      <c r="AE71" s="2562"/>
      <c r="AF71" s="2562"/>
      <c r="AG71" s="2562"/>
      <c r="AH71" s="2562"/>
      <c r="AI71" s="2562"/>
      <c r="AJ71" s="2562"/>
      <c r="AK71" s="2562"/>
      <c r="AL71" s="2562"/>
      <c r="AM71" s="2562"/>
      <c r="AN71" s="2562"/>
      <c r="AO71" s="685">
        <v>43500</v>
      </c>
      <c r="AP71" s="685">
        <v>43798</v>
      </c>
      <c r="AQ71" s="3535"/>
    </row>
    <row r="72" spans="1:43" s="564" customFormat="1" ht="41.25" customHeight="1" x14ac:dyDescent="0.25">
      <c r="A72" s="359"/>
      <c r="B72" s="131"/>
      <c r="C72" s="131"/>
      <c r="D72" s="618"/>
      <c r="E72" s="619"/>
      <c r="F72" s="620"/>
      <c r="G72" s="3335"/>
      <c r="H72" s="3335"/>
      <c r="I72" s="3336"/>
      <c r="J72" s="3576"/>
      <c r="K72" s="2645"/>
      <c r="L72" s="2645"/>
      <c r="M72" s="2727"/>
      <c r="N72" s="1457"/>
      <c r="O72" s="2597"/>
      <c r="P72" s="2645"/>
      <c r="Q72" s="3601"/>
      <c r="R72" s="3597"/>
      <c r="S72" s="2645"/>
      <c r="T72" s="2645"/>
      <c r="U72" s="2645"/>
      <c r="V72" s="1448">
        <v>9885764</v>
      </c>
      <c r="W72" s="1388">
        <v>20</v>
      </c>
      <c r="X72" s="1389" t="s">
        <v>61</v>
      </c>
      <c r="Y72" s="3576"/>
      <c r="Z72" s="3576"/>
      <c r="AA72" s="2562"/>
      <c r="AB72" s="2562"/>
      <c r="AC72" s="2562"/>
      <c r="AD72" s="2562"/>
      <c r="AE72" s="2562"/>
      <c r="AF72" s="2562"/>
      <c r="AG72" s="2562"/>
      <c r="AH72" s="2562"/>
      <c r="AI72" s="2562"/>
      <c r="AJ72" s="2562"/>
      <c r="AK72" s="2562"/>
      <c r="AL72" s="2562"/>
      <c r="AM72" s="2562"/>
      <c r="AN72" s="2562"/>
      <c r="AO72" s="685"/>
      <c r="AP72" s="685"/>
      <c r="AQ72" s="3535"/>
    </row>
    <row r="73" spans="1:43" s="564" customFormat="1" ht="37.5" customHeight="1" x14ac:dyDescent="0.25">
      <c r="A73" s="359"/>
      <c r="B73" s="131"/>
      <c r="C73" s="131"/>
      <c r="D73" s="618"/>
      <c r="E73" s="619"/>
      <c r="F73" s="620"/>
      <c r="G73" s="3335"/>
      <c r="H73" s="3335"/>
      <c r="I73" s="3336"/>
      <c r="J73" s="3516"/>
      <c r="K73" s="2512"/>
      <c r="L73" s="2512"/>
      <c r="M73" s="2728"/>
      <c r="N73" s="1457"/>
      <c r="O73" s="2597"/>
      <c r="P73" s="2645"/>
      <c r="Q73" s="3602"/>
      <c r="R73" s="3597"/>
      <c r="S73" s="2645"/>
      <c r="T73" s="2512"/>
      <c r="U73" s="2512"/>
      <c r="V73" s="1411">
        <f>17146218-17146218</f>
        <v>0</v>
      </c>
      <c r="W73" s="1388">
        <v>25</v>
      </c>
      <c r="X73" s="1389" t="s">
        <v>1136</v>
      </c>
      <c r="Y73" s="3576"/>
      <c r="Z73" s="3576"/>
      <c r="AA73" s="2562"/>
      <c r="AB73" s="2562"/>
      <c r="AC73" s="2562"/>
      <c r="AD73" s="2562"/>
      <c r="AE73" s="2562"/>
      <c r="AF73" s="2562"/>
      <c r="AG73" s="2562"/>
      <c r="AH73" s="2562"/>
      <c r="AI73" s="2562"/>
      <c r="AJ73" s="2562"/>
      <c r="AK73" s="2562"/>
      <c r="AL73" s="2562"/>
      <c r="AM73" s="2562"/>
      <c r="AN73" s="2562"/>
      <c r="AO73" s="685">
        <v>43500</v>
      </c>
      <c r="AP73" s="685">
        <v>43798</v>
      </c>
      <c r="AQ73" s="3535"/>
    </row>
    <row r="74" spans="1:43" s="564" customFormat="1" ht="60.75" customHeight="1" x14ac:dyDescent="0.25">
      <c r="A74" s="359"/>
      <c r="B74" s="131"/>
      <c r="C74" s="131"/>
      <c r="D74" s="618"/>
      <c r="E74" s="619"/>
      <c r="F74" s="620"/>
      <c r="G74" s="3335"/>
      <c r="H74" s="3335"/>
      <c r="I74" s="3336"/>
      <c r="J74" s="1603">
        <v>92</v>
      </c>
      <c r="K74" s="1473" t="s">
        <v>1137</v>
      </c>
      <c r="L74" s="1473" t="s">
        <v>1138</v>
      </c>
      <c r="M74" s="1472">
        <v>1</v>
      </c>
      <c r="N74" s="1457"/>
      <c r="O74" s="2597"/>
      <c r="P74" s="2645"/>
      <c r="Q74" s="623">
        <f>+V74/R54</f>
        <v>0</v>
      </c>
      <c r="R74" s="3597"/>
      <c r="S74" s="2645"/>
      <c r="T74" s="1432" t="s">
        <v>1139</v>
      </c>
      <c r="U74" s="1432" t="s">
        <v>1140</v>
      </c>
      <c r="V74" s="1391">
        <f>30000000-30000000</f>
        <v>0</v>
      </c>
      <c r="W74" s="1449">
        <v>20</v>
      </c>
      <c r="X74" s="1614" t="s">
        <v>61</v>
      </c>
      <c r="Y74" s="3516"/>
      <c r="Z74" s="3516"/>
      <c r="AA74" s="2517"/>
      <c r="AB74" s="2517"/>
      <c r="AC74" s="2517"/>
      <c r="AD74" s="2517"/>
      <c r="AE74" s="2517"/>
      <c r="AF74" s="2517"/>
      <c r="AG74" s="2517"/>
      <c r="AH74" s="2517"/>
      <c r="AI74" s="2517"/>
      <c r="AJ74" s="2517"/>
      <c r="AK74" s="2517"/>
      <c r="AL74" s="2517"/>
      <c r="AM74" s="2517"/>
      <c r="AN74" s="2517"/>
      <c r="AO74" s="685">
        <v>43500</v>
      </c>
      <c r="AP74" s="685">
        <v>43798</v>
      </c>
      <c r="AQ74" s="3622"/>
    </row>
    <row r="75" spans="1:43" s="564" customFormat="1" ht="15.75" x14ac:dyDescent="0.25">
      <c r="A75" s="595"/>
      <c r="B75" s="249"/>
      <c r="C75" s="249"/>
      <c r="D75" s="595"/>
      <c r="E75" s="249"/>
      <c r="F75" s="600"/>
      <c r="G75" s="613">
        <v>21</v>
      </c>
      <c r="H75" s="1433" t="s">
        <v>1141</v>
      </c>
      <c r="I75" s="1433"/>
      <c r="J75" s="1433"/>
      <c r="K75" s="166"/>
      <c r="L75" s="166"/>
      <c r="M75" s="172"/>
      <c r="N75" s="167"/>
      <c r="O75" s="172"/>
      <c r="P75" s="166"/>
      <c r="Q75" s="292"/>
      <c r="R75" s="368"/>
      <c r="S75" s="166"/>
      <c r="T75" s="286"/>
      <c r="U75" s="286"/>
      <c r="V75" s="1270"/>
      <c r="W75" s="226"/>
      <c r="X75" s="1363"/>
      <c r="Y75" s="172"/>
      <c r="Z75" s="172"/>
      <c r="AA75" s="172"/>
      <c r="AB75" s="172"/>
      <c r="AC75" s="172"/>
      <c r="AD75" s="172"/>
      <c r="AE75" s="172"/>
      <c r="AF75" s="172"/>
      <c r="AG75" s="172"/>
      <c r="AH75" s="172"/>
      <c r="AI75" s="172"/>
      <c r="AJ75" s="582"/>
      <c r="AK75" s="582"/>
      <c r="AL75" s="582"/>
      <c r="AM75" s="582"/>
      <c r="AN75" s="582"/>
      <c r="AO75" s="582"/>
      <c r="AP75" s="582"/>
      <c r="AQ75" s="592"/>
    </row>
    <row r="76" spans="1:43" s="564" customFormat="1" ht="48" customHeight="1" x14ac:dyDescent="0.25">
      <c r="A76" s="179"/>
      <c r="B76" s="178"/>
      <c r="C76" s="178"/>
      <c r="D76" s="615"/>
      <c r="E76" s="609"/>
      <c r="F76" s="616"/>
      <c r="G76" s="178"/>
      <c r="H76" s="178"/>
      <c r="I76" s="202"/>
      <c r="J76" s="3515">
        <v>93</v>
      </c>
      <c r="K76" s="3517" t="s">
        <v>1142</v>
      </c>
      <c r="L76" s="599" t="s">
        <v>1143</v>
      </c>
      <c r="M76" s="624">
        <v>36</v>
      </c>
      <c r="N76" s="1456"/>
      <c r="O76" s="2823" t="s">
        <v>1144</v>
      </c>
      <c r="P76" s="3475" t="s">
        <v>1145</v>
      </c>
      <c r="Q76" s="3520">
        <f>+(V76+V77)/$R$76</f>
        <v>0.29715469969062219</v>
      </c>
      <c r="R76" s="3599">
        <f>SUM(V76:V82)</f>
        <v>109129992</v>
      </c>
      <c r="S76" s="3300" t="s">
        <v>1146</v>
      </c>
      <c r="T76" s="3519" t="s">
        <v>1147</v>
      </c>
      <c r="U76" s="3519" t="s">
        <v>1148</v>
      </c>
      <c r="V76" s="1269">
        <f>11861000+4073490</f>
        <v>15934490</v>
      </c>
      <c r="W76" s="1463">
        <v>20</v>
      </c>
      <c r="X76" s="1619" t="s">
        <v>61</v>
      </c>
      <c r="Y76" s="3620">
        <v>20555</v>
      </c>
      <c r="Z76" s="3541">
        <v>21361</v>
      </c>
      <c r="AA76" s="3604">
        <v>30460</v>
      </c>
      <c r="AB76" s="3604">
        <v>9593</v>
      </c>
      <c r="AC76" s="3604">
        <v>1762</v>
      </c>
      <c r="AD76" s="3604">
        <v>101</v>
      </c>
      <c r="AE76" s="3604">
        <v>308</v>
      </c>
      <c r="AF76" s="3604">
        <v>277</v>
      </c>
      <c r="AG76" s="3604">
        <v>0</v>
      </c>
      <c r="AH76" s="3604">
        <v>0</v>
      </c>
      <c r="AI76" s="3604">
        <v>0</v>
      </c>
      <c r="AJ76" s="3610">
        <v>0</v>
      </c>
      <c r="AK76" s="3610">
        <v>2907</v>
      </c>
      <c r="AL76" s="2562">
        <v>2589</v>
      </c>
      <c r="AM76" s="3610">
        <v>2954</v>
      </c>
      <c r="AN76" s="3611">
        <v>41916</v>
      </c>
      <c r="AO76" s="1088">
        <v>43500</v>
      </c>
      <c r="AP76" s="1088">
        <v>43798</v>
      </c>
      <c r="AQ76" s="3535" t="s">
        <v>997</v>
      </c>
    </row>
    <row r="77" spans="1:43" s="564" customFormat="1" ht="35.25" customHeight="1" x14ac:dyDescent="0.25">
      <c r="A77" s="179"/>
      <c r="B77" s="178"/>
      <c r="C77" s="178"/>
      <c r="D77" s="615"/>
      <c r="E77" s="609"/>
      <c r="F77" s="616"/>
      <c r="G77" s="178"/>
      <c r="H77" s="178"/>
      <c r="I77" s="202"/>
      <c r="J77" s="3516"/>
      <c r="K77" s="3518"/>
      <c r="L77" s="672"/>
      <c r="M77" s="1172"/>
      <c r="N77" s="1457"/>
      <c r="O77" s="2824"/>
      <c r="P77" s="3300"/>
      <c r="Q77" s="3520"/>
      <c r="R77" s="3599"/>
      <c r="S77" s="3300"/>
      <c r="T77" s="3519"/>
      <c r="U77" s="3519"/>
      <c r="V77" s="1408">
        <f>0+16494000</f>
        <v>16494000</v>
      </c>
      <c r="W77" s="1463">
        <v>88</v>
      </c>
      <c r="X77" s="1619" t="s">
        <v>163</v>
      </c>
      <c r="Y77" s="3620"/>
      <c r="Z77" s="3541"/>
      <c r="AA77" s="3604"/>
      <c r="AB77" s="3604"/>
      <c r="AC77" s="3604"/>
      <c r="AD77" s="3604"/>
      <c r="AE77" s="3604"/>
      <c r="AF77" s="3604"/>
      <c r="AG77" s="3604"/>
      <c r="AH77" s="3604"/>
      <c r="AI77" s="3604"/>
      <c r="AJ77" s="3610"/>
      <c r="AK77" s="3610"/>
      <c r="AL77" s="2562"/>
      <c r="AM77" s="3610"/>
      <c r="AN77" s="3611"/>
      <c r="AO77" s="1088"/>
      <c r="AP77" s="1088"/>
      <c r="AQ77" s="3535"/>
    </row>
    <row r="78" spans="1:43" s="564" customFormat="1" ht="46.5" customHeight="1" x14ac:dyDescent="0.25">
      <c r="A78" s="179"/>
      <c r="B78" s="178"/>
      <c r="C78" s="178"/>
      <c r="D78" s="615"/>
      <c r="E78" s="609"/>
      <c r="F78" s="616"/>
      <c r="G78" s="178"/>
      <c r="H78" s="178"/>
      <c r="I78" s="202"/>
      <c r="J78" s="3515">
        <v>94</v>
      </c>
      <c r="K78" s="3517" t="s">
        <v>1149</v>
      </c>
      <c r="L78" s="672"/>
      <c r="M78" s="1172"/>
      <c r="N78" s="1457"/>
      <c r="O78" s="2824"/>
      <c r="P78" s="2845"/>
      <c r="Q78" s="3521">
        <f>(V78+V79)/R76</f>
        <v>0.64143686549523438</v>
      </c>
      <c r="R78" s="3598"/>
      <c r="S78" s="2845"/>
      <c r="T78" s="2845" t="s">
        <v>1150</v>
      </c>
      <c r="U78" s="2845" t="s">
        <v>1151</v>
      </c>
      <c r="V78" s="1470">
        <v>60000000</v>
      </c>
      <c r="W78" s="1459">
        <v>21</v>
      </c>
      <c r="X78" s="1475" t="s">
        <v>1106</v>
      </c>
      <c r="Y78" s="3541"/>
      <c r="Z78" s="3541"/>
      <c r="AA78" s="3604"/>
      <c r="AB78" s="3604"/>
      <c r="AC78" s="3604"/>
      <c r="AD78" s="3604"/>
      <c r="AE78" s="3604"/>
      <c r="AF78" s="3604"/>
      <c r="AG78" s="3604"/>
      <c r="AH78" s="3604"/>
      <c r="AI78" s="3604"/>
      <c r="AJ78" s="3610"/>
      <c r="AK78" s="3610"/>
      <c r="AL78" s="2562"/>
      <c r="AM78" s="3610"/>
      <c r="AN78" s="3611"/>
      <c r="AO78" s="1088">
        <v>43500</v>
      </c>
      <c r="AP78" s="1088">
        <v>43798</v>
      </c>
      <c r="AQ78" s="3535"/>
    </row>
    <row r="79" spans="1:43" s="564" customFormat="1" ht="35.25" customHeight="1" x14ac:dyDescent="0.25">
      <c r="A79" s="179"/>
      <c r="B79" s="178"/>
      <c r="C79" s="178"/>
      <c r="D79" s="615"/>
      <c r="E79" s="609"/>
      <c r="F79" s="616"/>
      <c r="G79" s="178"/>
      <c r="H79" s="178"/>
      <c r="I79" s="202"/>
      <c r="J79" s="3516"/>
      <c r="K79" s="3518"/>
      <c r="L79" s="1550" t="s">
        <v>1152</v>
      </c>
      <c r="M79" s="1472">
        <v>65</v>
      </c>
      <c r="N79" s="1457" t="s">
        <v>1153</v>
      </c>
      <c r="O79" s="2824"/>
      <c r="P79" s="2845"/>
      <c r="Q79" s="3522"/>
      <c r="R79" s="3598"/>
      <c r="S79" s="2845"/>
      <c r="T79" s="3325"/>
      <c r="U79" s="3325"/>
      <c r="V79" s="1326">
        <v>10000000</v>
      </c>
      <c r="W79" s="1438">
        <v>20</v>
      </c>
      <c r="X79" s="1614" t="s">
        <v>61</v>
      </c>
      <c r="Y79" s="3541"/>
      <c r="Z79" s="3541"/>
      <c r="AA79" s="3604"/>
      <c r="AB79" s="3604"/>
      <c r="AC79" s="3604"/>
      <c r="AD79" s="3604"/>
      <c r="AE79" s="3604"/>
      <c r="AF79" s="3604"/>
      <c r="AG79" s="3604"/>
      <c r="AH79" s="3604"/>
      <c r="AI79" s="3604"/>
      <c r="AJ79" s="3610"/>
      <c r="AK79" s="3610"/>
      <c r="AL79" s="2562"/>
      <c r="AM79" s="3610"/>
      <c r="AN79" s="3611"/>
      <c r="AO79" s="1088">
        <v>43500</v>
      </c>
      <c r="AP79" s="1088">
        <v>43798</v>
      </c>
      <c r="AQ79" s="3535"/>
    </row>
    <row r="80" spans="1:43" s="564" customFormat="1" ht="33" customHeight="1" x14ac:dyDescent="0.25">
      <c r="A80" s="179"/>
      <c r="B80" s="178"/>
      <c r="C80" s="178"/>
      <c r="D80" s="615"/>
      <c r="E80" s="609"/>
      <c r="F80" s="616"/>
      <c r="G80" s="178"/>
      <c r="H80" s="178"/>
      <c r="I80" s="202"/>
      <c r="J80" s="3515">
        <v>95</v>
      </c>
      <c r="K80" s="3235" t="s">
        <v>1154</v>
      </c>
      <c r="L80" s="3235" t="s">
        <v>1155</v>
      </c>
      <c r="M80" s="2549">
        <v>500</v>
      </c>
      <c r="N80" s="1457" t="s">
        <v>1156</v>
      </c>
      <c r="O80" s="2824"/>
      <c r="P80" s="2845"/>
      <c r="Q80" s="3523">
        <f>+V80/R76</f>
        <v>0</v>
      </c>
      <c r="R80" s="3598"/>
      <c r="S80" s="2845"/>
      <c r="T80" s="3235" t="s">
        <v>1157</v>
      </c>
      <c r="U80" s="2514" t="s">
        <v>1158</v>
      </c>
      <c r="V80" s="2668">
        <f>10000000-10000000</f>
        <v>0</v>
      </c>
      <c r="W80" s="2511"/>
      <c r="X80" s="3517"/>
      <c r="Y80" s="3541"/>
      <c r="Z80" s="3541"/>
      <c r="AA80" s="3604"/>
      <c r="AB80" s="3604"/>
      <c r="AC80" s="3604"/>
      <c r="AD80" s="3604"/>
      <c r="AE80" s="3604"/>
      <c r="AF80" s="3604"/>
      <c r="AG80" s="3604"/>
      <c r="AH80" s="3604"/>
      <c r="AI80" s="3604"/>
      <c r="AJ80" s="3610"/>
      <c r="AK80" s="3610"/>
      <c r="AL80" s="2562"/>
      <c r="AM80" s="3610"/>
      <c r="AN80" s="3611"/>
      <c r="AO80" s="3621"/>
      <c r="AP80" s="3623"/>
      <c r="AQ80" s="3535"/>
    </row>
    <row r="81" spans="1:43" s="564" customFormat="1" ht="59.25" customHeight="1" x14ac:dyDescent="0.25">
      <c r="A81" s="179"/>
      <c r="B81" s="178"/>
      <c r="C81" s="178"/>
      <c r="D81" s="615"/>
      <c r="E81" s="609"/>
      <c r="F81" s="616"/>
      <c r="G81" s="178"/>
      <c r="H81" s="178"/>
      <c r="I81" s="202"/>
      <c r="J81" s="3516"/>
      <c r="K81" s="3325"/>
      <c r="L81" s="3325"/>
      <c r="M81" s="2728"/>
      <c r="N81" s="1457" t="s">
        <v>1159</v>
      </c>
      <c r="O81" s="2824"/>
      <c r="P81" s="2845"/>
      <c r="Q81" s="3524"/>
      <c r="R81" s="3598"/>
      <c r="S81" s="2845"/>
      <c r="T81" s="3325"/>
      <c r="U81" s="2512"/>
      <c r="V81" s="3525"/>
      <c r="W81" s="2509"/>
      <c r="X81" s="3518"/>
      <c r="Y81" s="3541"/>
      <c r="Z81" s="3541"/>
      <c r="AA81" s="3604"/>
      <c r="AB81" s="3604"/>
      <c r="AC81" s="3604"/>
      <c r="AD81" s="3604"/>
      <c r="AE81" s="3604"/>
      <c r="AF81" s="3604"/>
      <c r="AG81" s="3604"/>
      <c r="AH81" s="3604"/>
      <c r="AI81" s="3604"/>
      <c r="AJ81" s="3610"/>
      <c r="AK81" s="3610"/>
      <c r="AL81" s="2562"/>
      <c r="AM81" s="3610"/>
      <c r="AN81" s="3611"/>
      <c r="AO81" s="3622"/>
      <c r="AP81" s="3624"/>
      <c r="AQ81" s="3535"/>
    </row>
    <row r="82" spans="1:43" s="564" customFormat="1" ht="78.75" customHeight="1" x14ac:dyDescent="0.25">
      <c r="A82" s="179"/>
      <c r="B82" s="178"/>
      <c r="C82" s="178"/>
      <c r="D82" s="615"/>
      <c r="E82" s="609"/>
      <c r="F82" s="616"/>
      <c r="G82" s="178"/>
      <c r="H82" s="178"/>
      <c r="I82" s="202"/>
      <c r="J82" s="1603">
        <v>96</v>
      </c>
      <c r="K82" s="602" t="s">
        <v>1160</v>
      </c>
      <c r="L82" s="602" t="s">
        <v>1161</v>
      </c>
      <c r="M82" s="838">
        <v>2</v>
      </c>
      <c r="N82" s="1469"/>
      <c r="O82" s="2825"/>
      <c r="P82" s="3325"/>
      <c r="Q82" s="626">
        <f>+V82/R76</f>
        <v>6.1408434814143487E-2</v>
      </c>
      <c r="R82" s="3598"/>
      <c r="S82" s="2845"/>
      <c r="T82" s="1539" t="s">
        <v>1162</v>
      </c>
      <c r="U82" s="1539" t="s">
        <v>1163</v>
      </c>
      <c r="V82" s="1326">
        <f>10774992-4073490</f>
        <v>6701502</v>
      </c>
      <c r="W82" s="1438">
        <v>20</v>
      </c>
      <c r="X82" s="1614" t="s">
        <v>61</v>
      </c>
      <c r="Y82" s="3541"/>
      <c r="Z82" s="3541"/>
      <c r="AA82" s="3604"/>
      <c r="AB82" s="3604"/>
      <c r="AC82" s="3604"/>
      <c r="AD82" s="3604"/>
      <c r="AE82" s="3604"/>
      <c r="AF82" s="3604"/>
      <c r="AG82" s="3604"/>
      <c r="AH82" s="3604"/>
      <c r="AI82" s="3604"/>
      <c r="AJ82" s="3610"/>
      <c r="AK82" s="3610"/>
      <c r="AL82" s="2562"/>
      <c r="AM82" s="3610"/>
      <c r="AN82" s="3611"/>
      <c r="AO82" s="1088">
        <v>43500</v>
      </c>
      <c r="AP82" s="1088">
        <v>43798</v>
      </c>
      <c r="AQ82" s="3535"/>
    </row>
    <row r="83" spans="1:43" s="564" customFormat="1" ht="15.75" x14ac:dyDescent="0.25">
      <c r="A83" s="595"/>
      <c r="B83" s="249"/>
      <c r="C83" s="249"/>
      <c r="D83" s="595"/>
      <c r="E83" s="249"/>
      <c r="F83" s="600"/>
      <c r="G83" s="613">
        <v>22</v>
      </c>
      <c r="H83" s="1433" t="s">
        <v>1164</v>
      </c>
      <c r="I83" s="1433"/>
      <c r="J83" s="1433"/>
      <c r="K83" s="166"/>
      <c r="L83" s="166"/>
      <c r="M83" s="172"/>
      <c r="N83" s="167"/>
      <c r="O83" s="172"/>
      <c r="P83" s="182"/>
      <c r="Q83" s="172"/>
      <c r="R83" s="368"/>
      <c r="S83" s="166"/>
      <c r="T83" s="166"/>
      <c r="U83" s="286"/>
      <c r="V83" s="1270"/>
      <c r="W83" s="226"/>
      <c r="X83" s="1363"/>
      <c r="Y83" s="172"/>
      <c r="Z83" s="172"/>
      <c r="AA83" s="172"/>
      <c r="AB83" s="172"/>
      <c r="AC83" s="172"/>
      <c r="AD83" s="172"/>
      <c r="AE83" s="172"/>
      <c r="AF83" s="172"/>
      <c r="AG83" s="172"/>
      <c r="AH83" s="172"/>
      <c r="AI83" s="172"/>
      <c r="AJ83" s="582"/>
      <c r="AK83" s="582"/>
      <c r="AL83" s="582"/>
      <c r="AM83" s="582"/>
      <c r="AN83" s="582"/>
      <c r="AO83" s="582"/>
      <c r="AP83" s="582"/>
      <c r="AQ83" s="592"/>
    </row>
    <row r="84" spans="1:43" s="564" customFormat="1" ht="45" customHeight="1" x14ac:dyDescent="0.25">
      <c r="A84" s="627"/>
      <c r="B84" s="399"/>
      <c r="C84" s="399"/>
      <c r="D84" s="627"/>
      <c r="E84" s="399"/>
      <c r="F84" s="628"/>
      <c r="G84" s="3628"/>
      <c r="H84" s="3628"/>
      <c r="I84" s="3234"/>
      <c r="J84" s="3576">
        <v>97</v>
      </c>
      <c r="K84" s="2845" t="s">
        <v>1165</v>
      </c>
      <c r="L84" s="2845" t="s">
        <v>1166</v>
      </c>
      <c r="M84" s="3541">
        <v>52</v>
      </c>
      <c r="N84" s="1596"/>
      <c r="O84" s="2824" t="s">
        <v>1167</v>
      </c>
      <c r="P84" s="2845" t="s">
        <v>1168</v>
      </c>
      <c r="Q84" s="3625">
        <f>(+V84+V85+V89)/R84</f>
        <v>1</v>
      </c>
      <c r="R84" s="3598">
        <f>+V84+V85+V89</f>
        <v>30000000</v>
      </c>
      <c r="S84" s="2845" t="s">
        <v>1169</v>
      </c>
      <c r="T84" s="3300" t="s">
        <v>1170</v>
      </c>
      <c r="U84" s="3529" t="s">
        <v>1171</v>
      </c>
      <c r="V84" s="1392">
        <f>10000000</f>
        <v>10000000</v>
      </c>
      <c r="W84" s="1535">
        <v>20</v>
      </c>
      <c r="X84" s="1625" t="s">
        <v>1172</v>
      </c>
      <c r="Y84" s="3620">
        <v>20555</v>
      </c>
      <c r="Z84" s="3541">
        <v>21361</v>
      </c>
      <c r="AA84" s="3541">
        <v>30460</v>
      </c>
      <c r="AB84" s="3541">
        <v>9593</v>
      </c>
      <c r="AC84" s="3541">
        <v>1762</v>
      </c>
      <c r="AD84" s="3541">
        <v>101</v>
      </c>
      <c r="AE84" s="3541">
        <v>308</v>
      </c>
      <c r="AF84" s="3541">
        <v>277</v>
      </c>
      <c r="AG84" s="3541">
        <v>0</v>
      </c>
      <c r="AH84" s="3541">
        <v>0</v>
      </c>
      <c r="AI84" s="3541">
        <v>0</v>
      </c>
      <c r="AJ84" s="3541">
        <v>0</v>
      </c>
      <c r="AK84" s="3604">
        <v>2907</v>
      </c>
      <c r="AL84" s="3604">
        <v>2589</v>
      </c>
      <c r="AM84" s="3604">
        <v>2954</v>
      </c>
      <c r="AN84" s="3541">
        <v>41916</v>
      </c>
      <c r="AO84" s="3626">
        <v>43497</v>
      </c>
      <c r="AP84" s="3626">
        <v>43800</v>
      </c>
      <c r="AQ84" s="3535" t="s">
        <v>997</v>
      </c>
    </row>
    <row r="85" spans="1:43" s="564" customFormat="1" ht="15.75" x14ac:dyDescent="0.25">
      <c r="A85" s="627"/>
      <c r="B85" s="399"/>
      <c r="C85" s="399"/>
      <c r="D85" s="627"/>
      <c r="E85" s="399"/>
      <c r="F85" s="628"/>
      <c r="G85" s="3628"/>
      <c r="H85" s="3628"/>
      <c r="I85" s="3234"/>
      <c r="J85" s="3576"/>
      <c r="K85" s="2845"/>
      <c r="L85" s="2845"/>
      <c r="M85" s="3541"/>
      <c r="N85" s="1596"/>
      <c r="O85" s="2824"/>
      <c r="P85" s="2845"/>
      <c r="Q85" s="3625"/>
      <c r="R85" s="3598"/>
      <c r="S85" s="2845"/>
      <c r="T85" s="3300"/>
      <c r="U85" s="3529"/>
      <c r="V85" s="3526">
        <f>0+20000000-9000000</f>
        <v>11000000</v>
      </c>
      <c r="W85" s="3627">
        <v>88</v>
      </c>
      <c r="X85" s="3514" t="s">
        <v>163</v>
      </c>
      <c r="Y85" s="3620"/>
      <c r="Z85" s="3541"/>
      <c r="AA85" s="3541"/>
      <c r="AB85" s="3541"/>
      <c r="AC85" s="3541"/>
      <c r="AD85" s="3541"/>
      <c r="AE85" s="3541"/>
      <c r="AF85" s="3541"/>
      <c r="AG85" s="3541"/>
      <c r="AH85" s="3541"/>
      <c r="AI85" s="3541"/>
      <c r="AJ85" s="3541"/>
      <c r="AK85" s="3541"/>
      <c r="AL85" s="3541"/>
      <c r="AM85" s="3541"/>
      <c r="AN85" s="3541"/>
      <c r="AO85" s="3611"/>
      <c r="AP85" s="3611"/>
      <c r="AQ85" s="3535"/>
    </row>
    <row r="86" spans="1:43" s="564" customFormat="1" ht="18" customHeight="1" x14ac:dyDescent="0.25">
      <c r="A86" s="627"/>
      <c r="B86" s="399"/>
      <c r="C86" s="399"/>
      <c r="D86" s="627"/>
      <c r="E86" s="399"/>
      <c r="F86" s="628"/>
      <c r="G86" s="3628"/>
      <c r="H86" s="3628"/>
      <c r="I86" s="3234"/>
      <c r="J86" s="3576"/>
      <c r="K86" s="2845"/>
      <c r="L86" s="2845"/>
      <c r="M86" s="3541"/>
      <c r="N86" s="1596" t="s">
        <v>1173</v>
      </c>
      <c r="O86" s="2824"/>
      <c r="P86" s="2845"/>
      <c r="Q86" s="3625"/>
      <c r="R86" s="3598"/>
      <c r="S86" s="2845"/>
      <c r="T86" s="3300"/>
      <c r="U86" s="3529"/>
      <c r="V86" s="3527"/>
      <c r="W86" s="3627"/>
      <c r="X86" s="3514"/>
      <c r="Y86" s="3620"/>
      <c r="Z86" s="3541"/>
      <c r="AA86" s="3541"/>
      <c r="AB86" s="3541"/>
      <c r="AC86" s="3541"/>
      <c r="AD86" s="3541"/>
      <c r="AE86" s="3541"/>
      <c r="AF86" s="3541"/>
      <c r="AG86" s="3541"/>
      <c r="AH86" s="3541"/>
      <c r="AI86" s="3541"/>
      <c r="AJ86" s="3541"/>
      <c r="AK86" s="3541"/>
      <c r="AL86" s="3541"/>
      <c r="AM86" s="3541"/>
      <c r="AN86" s="3541"/>
      <c r="AO86" s="3611"/>
      <c r="AP86" s="3611"/>
      <c r="AQ86" s="3535"/>
    </row>
    <row r="87" spans="1:43" s="564" customFormat="1" ht="15.75" x14ac:dyDescent="0.25">
      <c r="A87" s="627"/>
      <c r="B87" s="399"/>
      <c r="C87" s="399"/>
      <c r="D87" s="627"/>
      <c r="E87" s="399"/>
      <c r="F87" s="628"/>
      <c r="G87" s="3628"/>
      <c r="H87" s="3628"/>
      <c r="I87" s="3234"/>
      <c r="J87" s="3576"/>
      <c r="K87" s="2845"/>
      <c r="L87" s="2845"/>
      <c r="M87" s="3541"/>
      <c r="N87" s="1596" t="s">
        <v>1174</v>
      </c>
      <c r="O87" s="2824"/>
      <c r="P87" s="2845"/>
      <c r="Q87" s="3625"/>
      <c r="R87" s="3598"/>
      <c r="S87" s="2845"/>
      <c r="T87" s="3300"/>
      <c r="U87" s="3529"/>
      <c r="V87" s="3527"/>
      <c r="W87" s="3627"/>
      <c r="X87" s="3514"/>
      <c r="Y87" s="3620"/>
      <c r="Z87" s="3541"/>
      <c r="AA87" s="3541"/>
      <c r="AB87" s="3541"/>
      <c r="AC87" s="3541"/>
      <c r="AD87" s="3541"/>
      <c r="AE87" s="3541"/>
      <c r="AF87" s="3541"/>
      <c r="AG87" s="3541"/>
      <c r="AH87" s="3541"/>
      <c r="AI87" s="3541"/>
      <c r="AJ87" s="3541"/>
      <c r="AK87" s="3541"/>
      <c r="AL87" s="3541"/>
      <c r="AM87" s="3541"/>
      <c r="AN87" s="3541"/>
      <c r="AO87" s="3611"/>
      <c r="AP87" s="3611"/>
      <c r="AQ87" s="3535"/>
    </row>
    <row r="88" spans="1:43" s="564" customFormat="1" ht="15.75" x14ac:dyDescent="0.25">
      <c r="A88" s="627"/>
      <c r="B88" s="399"/>
      <c r="C88" s="399"/>
      <c r="D88" s="627"/>
      <c r="E88" s="399"/>
      <c r="F88" s="628"/>
      <c r="G88" s="3628"/>
      <c r="H88" s="3628"/>
      <c r="I88" s="3234"/>
      <c r="J88" s="3576"/>
      <c r="K88" s="2845"/>
      <c r="L88" s="2845"/>
      <c r="M88" s="3541"/>
      <c r="N88" s="1596"/>
      <c r="O88" s="2824"/>
      <c r="P88" s="2845"/>
      <c r="Q88" s="3625"/>
      <c r="R88" s="3598"/>
      <c r="S88" s="2845"/>
      <c r="T88" s="3300"/>
      <c r="U88" s="3529"/>
      <c r="V88" s="3528"/>
      <c r="W88" s="3627"/>
      <c r="X88" s="3514"/>
      <c r="Y88" s="3620"/>
      <c r="Z88" s="3541"/>
      <c r="AA88" s="3541"/>
      <c r="AB88" s="3541"/>
      <c r="AC88" s="3541"/>
      <c r="AD88" s="3541"/>
      <c r="AE88" s="3541"/>
      <c r="AF88" s="3541"/>
      <c r="AG88" s="3541"/>
      <c r="AH88" s="3541"/>
      <c r="AI88" s="3541"/>
      <c r="AJ88" s="3541"/>
      <c r="AK88" s="3541"/>
      <c r="AL88" s="3541"/>
      <c r="AM88" s="3541"/>
      <c r="AN88" s="3541"/>
      <c r="AO88" s="3611"/>
      <c r="AP88" s="3611"/>
      <c r="AQ88" s="3535"/>
    </row>
    <row r="89" spans="1:43" s="564" customFormat="1" ht="45" customHeight="1" x14ac:dyDescent="0.25">
      <c r="A89" s="627"/>
      <c r="B89" s="399"/>
      <c r="C89" s="399"/>
      <c r="D89" s="629"/>
      <c r="E89" s="630"/>
      <c r="F89" s="631"/>
      <c r="G89" s="3628"/>
      <c r="H89" s="3628"/>
      <c r="I89" s="3234"/>
      <c r="J89" s="3576"/>
      <c r="K89" s="2845"/>
      <c r="L89" s="2845"/>
      <c r="M89" s="3541"/>
      <c r="N89" s="1596"/>
      <c r="O89" s="2824"/>
      <c r="P89" s="2845"/>
      <c r="Q89" s="3625"/>
      <c r="R89" s="3598"/>
      <c r="S89" s="2845"/>
      <c r="T89" s="2845"/>
      <c r="U89" s="1179" t="s">
        <v>1175</v>
      </c>
      <c r="V89" s="1765">
        <f>0+9000000</f>
        <v>9000000</v>
      </c>
      <c r="W89" s="3627"/>
      <c r="X89" s="3514"/>
      <c r="Y89" s="3620"/>
      <c r="Z89" s="3541"/>
      <c r="AA89" s="3541"/>
      <c r="AB89" s="3541"/>
      <c r="AC89" s="3541"/>
      <c r="AD89" s="3541"/>
      <c r="AE89" s="3541"/>
      <c r="AF89" s="3541"/>
      <c r="AG89" s="3541"/>
      <c r="AH89" s="3541"/>
      <c r="AI89" s="3541"/>
      <c r="AJ89" s="3541"/>
      <c r="AK89" s="3541"/>
      <c r="AL89" s="3541"/>
      <c r="AM89" s="3541"/>
      <c r="AN89" s="3541"/>
      <c r="AO89" s="3611"/>
      <c r="AP89" s="3611"/>
      <c r="AQ89" s="3535"/>
    </row>
    <row r="90" spans="1:43" s="564" customFormat="1" ht="15.75" x14ac:dyDescent="0.25">
      <c r="A90" s="632"/>
      <c r="B90" s="633"/>
      <c r="C90" s="634"/>
      <c r="D90" s="152">
        <v>7</v>
      </c>
      <c r="E90" s="604" t="s">
        <v>1176</v>
      </c>
      <c r="F90" s="604"/>
      <c r="G90" s="1445"/>
      <c r="H90" s="1445"/>
      <c r="I90" s="1445"/>
      <c r="J90" s="1445"/>
      <c r="K90" s="635"/>
      <c r="L90" s="635"/>
      <c r="M90" s="1445"/>
      <c r="N90" s="636"/>
      <c r="O90" s="636"/>
      <c r="P90" s="1211"/>
      <c r="Q90" s="637"/>
      <c r="R90" s="638"/>
      <c r="S90" s="635"/>
      <c r="T90" s="635"/>
      <c r="U90" s="635"/>
      <c r="V90" s="1271"/>
      <c r="W90" s="158"/>
      <c r="X90" s="1364"/>
      <c r="Y90" s="636"/>
      <c r="Z90" s="636"/>
      <c r="AA90" s="354"/>
      <c r="AB90" s="354"/>
      <c r="AC90" s="354"/>
      <c r="AD90" s="354"/>
      <c r="AE90" s="354"/>
      <c r="AF90" s="354"/>
      <c r="AG90" s="354"/>
      <c r="AH90" s="639"/>
      <c r="AI90" s="639"/>
      <c r="AJ90" s="640"/>
      <c r="AK90" s="640"/>
      <c r="AL90" s="641"/>
      <c r="AM90" s="640"/>
      <c r="AN90" s="642"/>
      <c r="AO90" s="642"/>
      <c r="AP90" s="642"/>
      <c r="AQ90" s="643"/>
    </row>
    <row r="91" spans="1:43" s="564" customFormat="1" ht="15.75" x14ac:dyDescent="0.25">
      <c r="A91" s="632"/>
      <c r="B91" s="633"/>
      <c r="C91" s="633"/>
      <c r="D91" s="574"/>
      <c r="E91" s="575"/>
      <c r="F91" s="576"/>
      <c r="G91" s="644">
        <v>23</v>
      </c>
      <c r="H91" s="645" t="s">
        <v>1177</v>
      </c>
      <c r="I91" s="646"/>
      <c r="J91" s="646"/>
      <c r="K91" s="489"/>
      <c r="L91" s="489"/>
      <c r="M91" s="488"/>
      <c r="N91" s="490"/>
      <c r="O91" s="488"/>
      <c r="P91" s="1212"/>
      <c r="Q91" s="488"/>
      <c r="R91" s="647"/>
      <c r="S91" s="489"/>
      <c r="T91" s="489"/>
      <c r="U91" s="489"/>
      <c r="V91" s="648"/>
      <c r="W91" s="490"/>
      <c r="X91" s="646"/>
      <c r="Y91" s="488"/>
      <c r="Z91" s="488"/>
      <c r="AA91" s="488"/>
      <c r="AB91" s="488"/>
      <c r="AC91" s="488"/>
      <c r="AD91" s="488"/>
      <c r="AE91" s="488"/>
      <c r="AF91" s="488"/>
      <c r="AG91" s="488"/>
      <c r="AH91" s="488"/>
      <c r="AI91" s="488"/>
      <c r="AJ91" s="649"/>
      <c r="AK91" s="649"/>
      <c r="AL91" s="650"/>
      <c r="AM91" s="649"/>
      <c r="AN91" s="649"/>
      <c r="AO91" s="649"/>
      <c r="AP91" s="649"/>
      <c r="AQ91" s="651"/>
    </row>
    <row r="92" spans="1:43" s="564" customFormat="1" ht="89.25" customHeight="1" x14ac:dyDescent="0.25">
      <c r="A92" s="632"/>
      <c r="B92" s="633"/>
      <c r="C92" s="633"/>
      <c r="D92" s="584"/>
      <c r="E92" s="585"/>
      <c r="F92" s="586"/>
      <c r="G92" s="1554"/>
      <c r="H92" s="1555"/>
      <c r="I92" s="1556"/>
      <c r="J92" s="1604">
        <v>98</v>
      </c>
      <c r="K92" s="599" t="s">
        <v>1178</v>
      </c>
      <c r="L92" s="599" t="s">
        <v>1179</v>
      </c>
      <c r="M92" s="1477">
        <v>55</v>
      </c>
      <c r="N92" s="1596"/>
      <c r="O92" s="2824" t="s">
        <v>1180</v>
      </c>
      <c r="P92" s="2845" t="s">
        <v>1181</v>
      </c>
      <c r="Q92" s="625">
        <v>0</v>
      </c>
      <c r="R92" s="3598">
        <f>+V94+V96</f>
        <v>0</v>
      </c>
      <c r="S92" s="2845" t="s">
        <v>1182</v>
      </c>
      <c r="T92" s="599" t="s">
        <v>1183</v>
      </c>
      <c r="U92" s="1467" t="s">
        <v>1184</v>
      </c>
      <c r="V92" s="1175"/>
      <c r="W92" s="3603"/>
      <c r="X92" s="3629"/>
      <c r="Y92" s="3488">
        <v>20555</v>
      </c>
      <c r="Z92" s="3488">
        <v>21361</v>
      </c>
      <c r="AA92" s="3632">
        <v>30460</v>
      </c>
      <c r="AB92" s="3632">
        <v>9593</v>
      </c>
      <c r="AC92" s="3632">
        <v>1762</v>
      </c>
      <c r="AD92" s="3632">
        <v>93</v>
      </c>
      <c r="AE92" s="3632">
        <v>238</v>
      </c>
      <c r="AF92" s="3632">
        <v>245</v>
      </c>
      <c r="AG92" s="3632">
        <v>0</v>
      </c>
      <c r="AH92" s="3632">
        <v>0</v>
      </c>
      <c r="AI92" s="3632">
        <v>0</v>
      </c>
      <c r="AJ92" s="3633">
        <v>0</v>
      </c>
      <c r="AK92" s="3633">
        <v>2629</v>
      </c>
      <c r="AL92" s="3633">
        <v>2665</v>
      </c>
      <c r="AM92" s="3633">
        <v>2683</v>
      </c>
      <c r="AN92" s="3642">
        <v>43946</v>
      </c>
      <c r="AO92" s="686"/>
      <c r="AP92" s="1086"/>
      <c r="AQ92" s="3622" t="s">
        <v>997</v>
      </c>
    </row>
    <row r="93" spans="1:43" s="564" customFormat="1" ht="81" customHeight="1" x14ac:dyDescent="0.25">
      <c r="A93" s="632"/>
      <c r="B93" s="633"/>
      <c r="C93" s="633"/>
      <c r="D93" s="584"/>
      <c r="E93" s="585"/>
      <c r="F93" s="586"/>
      <c r="G93" s="1555"/>
      <c r="H93" s="1555"/>
      <c r="I93" s="1556"/>
      <c r="J93" s="1446">
        <v>99</v>
      </c>
      <c r="K93" s="509" t="s">
        <v>1185</v>
      </c>
      <c r="L93" s="509" t="s">
        <v>1186</v>
      </c>
      <c r="M93" s="1471">
        <v>150</v>
      </c>
      <c r="N93" s="652"/>
      <c r="O93" s="2824"/>
      <c r="P93" s="2845"/>
      <c r="Q93" s="653">
        <v>0</v>
      </c>
      <c r="R93" s="3598"/>
      <c r="S93" s="2845"/>
      <c r="T93" s="509" t="s">
        <v>1187</v>
      </c>
      <c r="U93" s="654" t="s">
        <v>1188</v>
      </c>
      <c r="V93" s="1173"/>
      <c r="W93" s="3604"/>
      <c r="X93" s="3630"/>
      <c r="Y93" s="3488"/>
      <c r="Z93" s="3488"/>
      <c r="AA93" s="3632"/>
      <c r="AB93" s="3632"/>
      <c r="AC93" s="3632"/>
      <c r="AD93" s="3632"/>
      <c r="AE93" s="3632"/>
      <c r="AF93" s="3632"/>
      <c r="AG93" s="3632"/>
      <c r="AH93" s="3632"/>
      <c r="AI93" s="3632"/>
      <c r="AJ93" s="3633"/>
      <c r="AK93" s="3633"/>
      <c r="AL93" s="3633"/>
      <c r="AM93" s="3633"/>
      <c r="AN93" s="3642"/>
      <c r="AO93" s="840"/>
      <c r="AP93" s="1623"/>
      <c r="AQ93" s="3640"/>
    </row>
    <row r="94" spans="1:43" s="564" customFormat="1" ht="72" customHeight="1" x14ac:dyDescent="0.25">
      <c r="A94" s="632"/>
      <c r="B94" s="633"/>
      <c r="C94" s="633"/>
      <c r="D94" s="584"/>
      <c r="E94" s="585"/>
      <c r="F94" s="586"/>
      <c r="G94" s="1555"/>
      <c r="H94" s="1555"/>
      <c r="I94" s="1556"/>
      <c r="J94" s="1446">
        <v>100</v>
      </c>
      <c r="K94" s="509" t="s">
        <v>1189</v>
      </c>
      <c r="L94" s="509" t="s">
        <v>1190</v>
      </c>
      <c r="M94" s="1471">
        <v>6</v>
      </c>
      <c r="N94" s="1596"/>
      <c r="O94" s="2824"/>
      <c r="P94" s="2845"/>
      <c r="Q94" s="653">
        <v>0</v>
      </c>
      <c r="R94" s="3598"/>
      <c r="S94" s="2845"/>
      <c r="T94" s="509" t="s">
        <v>1189</v>
      </c>
      <c r="U94" s="654" t="s">
        <v>1191</v>
      </c>
      <c r="V94" s="1448"/>
      <c r="W94" s="3604"/>
      <c r="X94" s="3630"/>
      <c r="Y94" s="3488"/>
      <c r="Z94" s="3488"/>
      <c r="AA94" s="3632"/>
      <c r="AB94" s="3632"/>
      <c r="AC94" s="3632"/>
      <c r="AD94" s="3632"/>
      <c r="AE94" s="3632"/>
      <c r="AF94" s="3632"/>
      <c r="AG94" s="3632"/>
      <c r="AH94" s="3632"/>
      <c r="AI94" s="3632"/>
      <c r="AJ94" s="3633"/>
      <c r="AK94" s="3633"/>
      <c r="AL94" s="3633"/>
      <c r="AM94" s="3633"/>
      <c r="AN94" s="3642"/>
      <c r="AO94" s="840"/>
      <c r="AP94" s="1623"/>
      <c r="AQ94" s="3640"/>
    </row>
    <row r="95" spans="1:43" s="564" customFormat="1" ht="49.5" customHeight="1" x14ac:dyDescent="0.25">
      <c r="A95" s="632"/>
      <c r="B95" s="633"/>
      <c r="C95" s="633"/>
      <c r="D95" s="584"/>
      <c r="E95" s="585"/>
      <c r="F95" s="586"/>
      <c r="G95" s="1555"/>
      <c r="H95" s="1555"/>
      <c r="I95" s="1556"/>
      <c r="J95" s="1446">
        <v>101</v>
      </c>
      <c r="K95" s="509" t="s">
        <v>1192</v>
      </c>
      <c r="L95" s="509" t="s">
        <v>1193</v>
      </c>
      <c r="M95" s="1471">
        <v>54</v>
      </c>
      <c r="N95" s="1596"/>
      <c r="O95" s="2824"/>
      <c r="P95" s="2845"/>
      <c r="Q95" s="653">
        <v>0</v>
      </c>
      <c r="R95" s="3598"/>
      <c r="S95" s="2845"/>
      <c r="T95" s="509" t="s">
        <v>1194</v>
      </c>
      <c r="U95" s="1468" t="s">
        <v>1195</v>
      </c>
      <c r="V95" s="1173"/>
      <c r="W95" s="3604"/>
      <c r="X95" s="3630"/>
      <c r="Y95" s="3488"/>
      <c r="Z95" s="3488"/>
      <c r="AA95" s="3632"/>
      <c r="AB95" s="3632"/>
      <c r="AC95" s="3632"/>
      <c r="AD95" s="3632"/>
      <c r="AE95" s="3632"/>
      <c r="AF95" s="3632"/>
      <c r="AG95" s="3632"/>
      <c r="AH95" s="3632"/>
      <c r="AI95" s="3632"/>
      <c r="AJ95" s="3633"/>
      <c r="AK95" s="3633"/>
      <c r="AL95" s="3633"/>
      <c r="AM95" s="3633"/>
      <c r="AN95" s="3642"/>
      <c r="AO95" s="840"/>
      <c r="AP95" s="1623"/>
      <c r="AQ95" s="3640"/>
    </row>
    <row r="96" spans="1:43" s="564" customFormat="1" ht="60.75" customHeight="1" x14ac:dyDescent="0.25">
      <c r="A96" s="632"/>
      <c r="B96" s="633"/>
      <c r="C96" s="633"/>
      <c r="D96" s="584"/>
      <c r="E96" s="585"/>
      <c r="F96" s="586"/>
      <c r="G96" s="1555"/>
      <c r="H96" s="1555"/>
      <c r="I96" s="1556"/>
      <c r="J96" s="1603">
        <v>102</v>
      </c>
      <c r="K96" s="602" t="s">
        <v>1196</v>
      </c>
      <c r="L96" s="602" t="s">
        <v>1197</v>
      </c>
      <c r="M96" s="1584">
        <v>1</v>
      </c>
      <c r="N96" s="1596"/>
      <c r="O96" s="2824"/>
      <c r="P96" s="2845"/>
      <c r="Q96" s="626">
        <v>0</v>
      </c>
      <c r="R96" s="3598"/>
      <c r="S96" s="2845"/>
      <c r="T96" s="602" t="s">
        <v>1198</v>
      </c>
      <c r="U96" s="1432" t="s">
        <v>1199</v>
      </c>
      <c r="V96" s="1453"/>
      <c r="W96" s="3605"/>
      <c r="X96" s="3631"/>
      <c r="Y96" s="3488"/>
      <c r="Z96" s="3488"/>
      <c r="AA96" s="3632"/>
      <c r="AB96" s="3632"/>
      <c r="AC96" s="3632"/>
      <c r="AD96" s="3632"/>
      <c r="AE96" s="3632"/>
      <c r="AF96" s="3632"/>
      <c r="AG96" s="3632"/>
      <c r="AH96" s="3632"/>
      <c r="AI96" s="3632"/>
      <c r="AJ96" s="3633"/>
      <c r="AK96" s="3633"/>
      <c r="AL96" s="3633"/>
      <c r="AM96" s="3633"/>
      <c r="AN96" s="3642"/>
      <c r="AO96" s="1089"/>
      <c r="AP96" s="1086"/>
      <c r="AQ96" s="3534"/>
    </row>
    <row r="97" spans="1:43" s="564" customFormat="1" ht="15.75" x14ac:dyDescent="0.25">
      <c r="A97" s="655"/>
      <c r="B97" s="656"/>
      <c r="C97" s="656"/>
      <c r="D97" s="655"/>
      <c r="E97" s="656"/>
      <c r="F97" s="657"/>
      <c r="G97" s="613">
        <v>24</v>
      </c>
      <c r="H97" s="1433" t="s">
        <v>1200</v>
      </c>
      <c r="I97" s="1433"/>
      <c r="J97" s="1433"/>
      <c r="K97" s="166"/>
      <c r="L97" s="166"/>
      <c r="M97" s="1433"/>
      <c r="N97" s="167"/>
      <c r="O97" s="1433"/>
      <c r="P97" s="182"/>
      <c r="Q97" s="578"/>
      <c r="R97" s="658"/>
      <c r="S97" s="166"/>
      <c r="T97" s="166"/>
      <c r="U97" s="166"/>
      <c r="V97" s="614"/>
      <c r="W97" s="171"/>
      <c r="X97" s="1433"/>
      <c r="Y97" s="1433"/>
      <c r="Z97" s="1433"/>
      <c r="AA97" s="1433"/>
      <c r="AB97" s="1433"/>
      <c r="AC97" s="1433"/>
      <c r="AD97" s="1433"/>
      <c r="AE97" s="1433"/>
      <c r="AF97" s="1433"/>
      <c r="AG97" s="1433"/>
      <c r="AH97" s="581"/>
      <c r="AI97" s="581"/>
      <c r="AJ97" s="582"/>
      <c r="AK97" s="582"/>
      <c r="AL97" s="582"/>
      <c r="AM97" s="582"/>
      <c r="AN97" s="582"/>
      <c r="AO97" s="582"/>
      <c r="AP97" s="582"/>
      <c r="AQ97" s="592"/>
    </row>
    <row r="98" spans="1:43" s="564" customFormat="1" ht="58.5" customHeight="1" x14ac:dyDescent="0.25">
      <c r="A98" s="359"/>
      <c r="B98" s="131"/>
      <c r="C98" s="131"/>
      <c r="D98" s="359"/>
      <c r="E98" s="131"/>
      <c r="F98" s="360"/>
      <c r="G98" s="1555"/>
      <c r="H98" s="1555"/>
      <c r="I98" s="1556"/>
      <c r="J98" s="1604">
        <v>103</v>
      </c>
      <c r="K98" s="599" t="s">
        <v>1201</v>
      </c>
      <c r="L98" s="599" t="s">
        <v>1202</v>
      </c>
      <c r="M98" s="1477">
        <v>1</v>
      </c>
      <c r="N98" s="1596"/>
      <c r="O98" s="2823" t="s">
        <v>1203</v>
      </c>
      <c r="P98" s="3235" t="s">
        <v>1204</v>
      </c>
      <c r="Q98" s="625">
        <f>+V98/R98</f>
        <v>1.3996309129478067E-2</v>
      </c>
      <c r="R98" s="3638">
        <f>SUM(V98:V104)</f>
        <v>709972887</v>
      </c>
      <c r="S98" s="3517" t="s">
        <v>1205</v>
      </c>
      <c r="T98" s="3235" t="s">
        <v>1206</v>
      </c>
      <c r="U98" s="1552" t="s">
        <v>1207</v>
      </c>
      <c r="V98" s="1674">
        <v>9937000</v>
      </c>
      <c r="W98" s="1677" t="s">
        <v>60</v>
      </c>
      <c r="X98" s="1389" t="s">
        <v>61</v>
      </c>
      <c r="Y98" s="3271">
        <v>21554</v>
      </c>
      <c r="Z98" s="3271">
        <v>22392</v>
      </c>
      <c r="AA98" s="3271">
        <v>31677</v>
      </c>
      <c r="AB98" s="2823">
        <v>10302</v>
      </c>
      <c r="AC98" s="2823">
        <v>1874</v>
      </c>
      <c r="AD98" s="2823">
        <v>93</v>
      </c>
      <c r="AE98" s="2823">
        <v>238</v>
      </c>
      <c r="AF98" s="2823">
        <v>245</v>
      </c>
      <c r="AG98" s="2823">
        <v>0</v>
      </c>
      <c r="AH98" s="2823">
        <v>0</v>
      </c>
      <c r="AI98" s="2823">
        <v>0</v>
      </c>
      <c r="AJ98" s="2823">
        <v>0</v>
      </c>
      <c r="AK98" s="2823">
        <v>2629</v>
      </c>
      <c r="AL98" s="2823">
        <v>2629</v>
      </c>
      <c r="AM98" s="2823">
        <v>2683</v>
      </c>
      <c r="AN98" s="2823">
        <v>43946</v>
      </c>
      <c r="AO98" s="685">
        <v>43703</v>
      </c>
      <c r="AP98" s="1088">
        <v>43714</v>
      </c>
      <c r="AQ98" s="3621" t="s">
        <v>997</v>
      </c>
    </row>
    <row r="99" spans="1:43" s="564" customFormat="1" ht="30.75" customHeight="1" x14ac:dyDescent="0.25">
      <c r="A99" s="359"/>
      <c r="B99" s="131"/>
      <c r="C99" s="131"/>
      <c r="D99" s="359"/>
      <c r="E99" s="131"/>
      <c r="F99" s="360"/>
      <c r="G99" s="1555"/>
      <c r="H99" s="1555"/>
      <c r="I99" s="1556"/>
      <c r="J99" s="3515">
        <v>104</v>
      </c>
      <c r="K99" s="2823" t="s">
        <v>1208</v>
      </c>
      <c r="L99" s="509" t="s">
        <v>1209</v>
      </c>
      <c r="M99" s="1471">
        <v>50</v>
      </c>
      <c r="N99" s="2824" t="s">
        <v>1210</v>
      </c>
      <c r="O99" s="2824"/>
      <c r="P99" s="2845"/>
      <c r="Q99" s="3635">
        <f>(+V99+V100)/R98</f>
        <v>3.9936736344693684E-2</v>
      </c>
      <c r="R99" s="3572"/>
      <c r="S99" s="3569"/>
      <c r="T99" s="2845"/>
      <c r="U99" s="3517" t="s">
        <v>1211</v>
      </c>
      <c r="V99" s="1411">
        <v>9937000</v>
      </c>
      <c r="W99" s="1677" t="s">
        <v>60</v>
      </c>
      <c r="X99" s="1389" t="s">
        <v>61</v>
      </c>
      <c r="Y99" s="3266"/>
      <c r="Z99" s="3266"/>
      <c r="AA99" s="3266"/>
      <c r="AB99" s="2824"/>
      <c r="AC99" s="2824"/>
      <c r="AD99" s="2824"/>
      <c r="AE99" s="2824"/>
      <c r="AF99" s="2824"/>
      <c r="AG99" s="2824"/>
      <c r="AH99" s="2824"/>
      <c r="AI99" s="2824"/>
      <c r="AJ99" s="2824"/>
      <c r="AK99" s="2824"/>
      <c r="AL99" s="2824"/>
      <c r="AM99" s="2824"/>
      <c r="AN99" s="2824"/>
      <c r="AO99" s="685">
        <v>43500</v>
      </c>
      <c r="AP99" s="1088">
        <v>43798</v>
      </c>
      <c r="AQ99" s="3641"/>
    </row>
    <row r="100" spans="1:43" s="564" customFormat="1" ht="33.75" customHeight="1" x14ac:dyDescent="0.25">
      <c r="A100" s="359"/>
      <c r="B100" s="131"/>
      <c r="C100" s="131"/>
      <c r="D100" s="359"/>
      <c r="E100" s="131"/>
      <c r="F100" s="360"/>
      <c r="G100" s="1555"/>
      <c r="H100" s="1555"/>
      <c r="I100" s="1556"/>
      <c r="J100" s="3516"/>
      <c r="K100" s="2825"/>
      <c r="L100" s="602"/>
      <c r="M100" s="1472"/>
      <c r="N100" s="2824"/>
      <c r="O100" s="2824"/>
      <c r="P100" s="2845"/>
      <c r="Q100" s="3522"/>
      <c r="R100" s="3572"/>
      <c r="S100" s="3569"/>
      <c r="T100" s="2845"/>
      <c r="U100" s="3518"/>
      <c r="V100" s="1384">
        <f>0+18417000</f>
        <v>18417000</v>
      </c>
      <c r="W100" s="1677">
        <v>88</v>
      </c>
      <c r="X100" s="1389" t="s">
        <v>1212</v>
      </c>
      <c r="Y100" s="3266"/>
      <c r="Z100" s="3266"/>
      <c r="AA100" s="3266"/>
      <c r="AB100" s="2824"/>
      <c r="AC100" s="2824"/>
      <c r="AD100" s="2824"/>
      <c r="AE100" s="2824"/>
      <c r="AF100" s="2824"/>
      <c r="AG100" s="2824"/>
      <c r="AH100" s="2824"/>
      <c r="AI100" s="2824"/>
      <c r="AJ100" s="2824"/>
      <c r="AK100" s="2824"/>
      <c r="AL100" s="2824"/>
      <c r="AM100" s="2824"/>
      <c r="AN100" s="2824"/>
      <c r="AO100" s="685"/>
      <c r="AP100" s="1088"/>
      <c r="AQ100" s="3641"/>
    </row>
    <row r="101" spans="1:43" s="564" customFormat="1" ht="47.25" customHeight="1" x14ac:dyDescent="0.25">
      <c r="A101" s="359"/>
      <c r="B101" s="131"/>
      <c r="C101" s="131"/>
      <c r="D101" s="359"/>
      <c r="E101" s="131"/>
      <c r="F101" s="360"/>
      <c r="G101" s="1555"/>
      <c r="H101" s="1555"/>
      <c r="I101" s="1556"/>
      <c r="J101" s="3515">
        <v>105</v>
      </c>
      <c r="K101" s="3517" t="s">
        <v>1213</v>
      </c>
      <c r="L101" s="602"/>
      <c r="M101" s="1472"/>
      <c r="N101" s="2824"/>
      <c r="O101" s="2824"/>
      <c r="P101" s="2845"/>
      <c r="Q101" s="3635">
        <f>(+V101+V102)/R98</f>
        <v>0.87564172996369649</v>
      </c>
      <c r="R101" s="3572"/>
      <c r="S101" s="3569"/>
      <c r="T101" s="2845"/>
      <c r="U101" s="2774" t="s">
        <v>1214</v>
      </c>
      <c r="V101" s="1384">
        <v>9937000</v>
      </c>
      <c r="W101" s="1677" t="s">
        <v>60</v>
      </c>
      <c r="X101" s="1766" t="s">
        <v>61</v>
      </c>
      <c r="Y101" s="3266"/>
      <c r="Z101" s="3266"/>
      <c r="AA101" s="3266"/>
      <c r="AB101" s="2824"/>
      <c r="AC101" s="2824"/>
      <c r="AD101" s="2824"/>
      <c r="AE101" s="2824"/>
      <c r="AF101" s="2824"/>
      <c r="AG101" s="2824"/>
      <c r="AH101" s="2824"/>
      <c r="AI101" s="2824"/>
      <c r="AJ101" s="2824"/>
      <c r="AK101" s="2824"/>
      <c r="AL101" s="2824"/>
      <c r="AM101" s="2824"/>
      <c r="AN101" s="2824"/>
      <c r="AO101" s="685"/>
      <c r="AP101" s="1088"/>
      <c r="AQ101" s="3641"/>
    </row>
    <row r="102" spans="1:43" s="564" customFormat="1" ht="42.75" customHeight="1" x14ac:dyDescent="0.25">
      <c r="A102" s="359"/>
      <c r="B102" s="131"/>
      <c r="C102" s="131"/>
      <c r="D102" s="359"/>
      <c r="E102" s="131"/>
      <c r="F102" s="360"/>
      <c r="G102" s="1555"/>
      <c r="H102" s="1555"/>
      <c r="I102" s="1556"/>
      <c r="J102" s="3516"/>
      <c r="K102" s="3518"/>
      <c r="L102" s="1550" t="s">
        <v>1209</v>
      </c>
      <c r="M102" s="1472">
        <v>47</v>
      </c>
      <c r="N102" s="2824"/>
      <c r="O102" s="2824"/>
      <c r="P102" s="2845"/>
      <c r="Q102" s="3522"/>
      <c r="R102" s="3572"/>
      <c r="S102" s="3569"/>
      <c r="T102" s="2845"/>
      <c r="U102" s="3585"/>
      <c r="V102" s="1751">
        <v>611744887</v>
      </c>
      <c r="W102" s="1393">
        <v>88</v>
      </c>
      <c r="X102" s="1740" t="s">
        <v>1212</v>
      </c>
      <c r="Y102" s="3588"/>
      <c r="Z102" s="3266"/>
      <c r="AA102" s="3266"/>
      <c r="AB102" s="2824"/>
      <c r="AC102" s="2824"/>
      <c r="AD102" s="2824"/>
      <c r="AE102" s="2824"/>
      <c r="AF102" s="2824"/>
      <c r="AG102" s="2824"/>
      <c r="AH102" s="2824"/>
      <c r="AI102" s="2824"/>
      <c r="AJ102" s="2824"/>
      <c r="AK102" s="2824"/>
      <c r="AL102" s="2824"/>
      <c r="AM102" s="2824"/>
      <c r="AN102" s="2824"/>
      <c r="AO102" s="685">
        <v>43500</v>
      </c>
      <c r="AP102" s="1088">
        <v>43798</v>
      </c>
      <c r="AQ102" s="3641"/>
    </row>
    <row r="103" spans="1:43" s="564" customFormat="1" ht="33" customHeight="1" x14ac:dyDescent="0.25">
      <c r="A103" s="359"/>
      <c r="B103" s="131"/>
      <c r="C103" s="131"/>
      <c r="D103" s="359"/>
      <c r="E103" s="131"/>
      <c r="F103" s="360"/>
      <c r="G103" s="1555"/>
      <c r="H103" s="1555"/>
      <c r="I103" s="1556"/>
      <c r="J103" s="3515">
        <v>106</v>
      </c>
      <c r="K103" s="2823" t="s">
        <v>1215</v>
      </c>
      <c r="L103" s="1550" t="s">
        <v>1216</v>
      </c>
      <c r="M103" s="1603">
        <v>1</v>
      </c>
      <c r="N103" s="2824"/>
      <c r="O103" s="2824"/>
      <c r="P103" s="2845"/>
      <c r="Q103" s="3635">
        <f>(+V103+V104)/R98</f>
        <v>7.0425224562131766E-2</v>
      </c>
      <c r="R103" s="3572"/>
      <c r="S103" s="3569"/>
      <c r="T103" s="2845"/>
      <c r="U103" s="3636" t="s">
        <v>1217</v>
      </c>
      <c r="V103" s="1751">
        <v>15900000</v>
      </c>
      <c r="W103" s="1393" t="s">
        <v>60</v>
      </c>
      <c r="X103" s="1740" t="s">
        <v>61</v>
      </c>
      <c r="Y103" s="3634"/>
      <c r="Z103" s="3267"/>
      <c r="AA103" s="3267"/>
      <c r="AB103" s="2825"/>
      <c r="AC103" s="2825"/>
      <c r="AD103" s="2825"/>
      <c r="AE103" s="2825"/>
      <c r="AF103" s="2825"/>
      <c r="AG103" s="2825"/>
      <c r="AH103" s="2825"/>
      <c r="AI103" s="2825"/>
      <c r="AJ103" s="2825"/>
      <c r="AK103" s="2825"/>
      <c r="AL103" s="2825"/>
      <c r="AM103" s="2825"/>
      <c r="AN103" s="2825"/>
      <c r="AO103" s="685">
        <v>43490</v>
      </c>
      <c r="AP103" s="1088">
        <v>43798</v>
      </c>
      <c r="AQ103" s="3641"/>
    </row>
    <row r="104" spans="1:43" s="564" customFormat="1" ht="45" customHeight="1" x14ac:dyDescent="0.25">
      <c r="A104" s="359"/>
      <c r="B104" s="131"/>
      <c r="C104" s="131"/>
      <c r="D104" s="359"/>
      <c r="E104" s="131"/>
      <c r="F104" s="360"/>
      <c r="G104" s="1555"/>
      <c r="H104" s="1555"/>
      <c r="I104" s="1555"/>
      <c r="J104" s="3516"/>
      <c r="K104" s="2825"/>
      <c r="L104" s="1550"/>
      <c r="M104" s="1603"/>
      <c r="N104" s="1508"/>
      <c r="O104" s="1508"/>
      <c r="P104" s="1540"/>
      <c r="Q104" s="3522"/>
      <c r="R104" s="3639"/>
      <c r="S104" s="1615"/>
      <c r="T104" s="1540"/>
      <c r="U104" s="3637"/>
      <c r="V104" s="1751">
        <f>0+34100000</f>
        <v>34100000</v>
      </c>
      <c r="W104" s="1393">
        <v>88</v>
      </c>
      <c r="X104" s="1740" t="s">
        <v>1212</v>
      </c>
      <c r="Y104" s="1767"/>
      <c r="Z104" s="1768"/>
      <c r="AA104" s="1768"/>
      <c r="AB104" s="1509"/>
      <c r="AC104" s="1509"/>
      <c r="AD104" s="1509"/>
      <c r="AE104" s="1509"/>
      <c r="AF104" s="1509"/>
      <c r="AG104" s="1509"/>
      <c r="AH104" s="1509"/>
      <c r="AI104" s="1509"/>
      <c r="AJ104" s="1509"/>
      <c r="AK104" s="1509"/>
      <c r="AL104" s="1509"/>
      <c r="AM104" s="1509"/>
      <c r="AN104" s="1509"/>
      <c r="AO104" s="685"/>
      <c r="AP104" s="1088"/>
      <c r="AQ104" s="1591"/>
    </row>
    <row r="105" spans="1:43" s="564" customFormat="1" ht="41.25" customHeight="1" x14ac:dyDescent="0.25">
      <c r="A105" s="359"/>
      <c r="B105" s="131"/>
      <c r="C105" s="131"/>
      <c r="D105" s="359"/>
      <c r="E105" s="131"/>
      <c r="F105" s="360"/>
      <c r="G105" s="1555"/>
      <c r="H105" s="1555"/>
      <c r="I105" s="1555"/>
      <c r="J105" s="2663">
        <v>107</v>
      </c>
      <c r="K105" s="3546" t="s">
        <v>1218</v>
      </c>
      <c r="L105" s="3546" t="s">
        <v>1219</v>
      </c>
      <c r="M105" s="2663">
        <v>1</v>
      </c>
      <c r="N105" s="2540" t="s">
        <v>1220</v>
      </c>
      <c r="O105" s="2663" t="s">
        <v>1221</v>
      </c>
      <c r="P105" s="2513" t="s">
        <v>1222</v>
      </c>
      <c r="Q105" s="3543">
        <f>SUM(V105:V108)/R105</f>
        <v>1</v>
      </c>
      <c r="R105" s="2662">
        <f>SUM(V105:V108)</f>
        <v>1294717884</v>
      </c>
      <c r="S105" s="3546" t="s">
        <v>1205</v>
      </c>
      <c r="T105" s="3546" t="s">
        <v>1206</v>
      </c>
      <c r="U105" s="2514" t="s">
        <v>1223</v>
      </c>
      <c r="V105" s="1769">
        <v>150000000</v>
      </c>
      <c r="W105" s="1712">
        <v>35</v>
      </c>
      <c r="X105" s="1764" t="s">
        <v>1224</v>
      </c>
      <c r="Y105" s="3316">
        <v>21554</v>
      </c>
      <c r="Z105" s="3547">
        <v>22392</v>
      </c>
      <c r="AA105" s="3339">
        <v>31677</v>
      </c>
      <c r="AB105" s="2518">
        <v>10302</v>
      </c>
      <c r="AC105" s="2510">
        <v>15916</v>
      </c>
      <c r="AD105" s="2518">
        <v>15683</v>
      </c>
      <c r="AE105" s="2518">
        <v>238</v>
      </c>
      <c r="AF105" s="2510">
        <v>245</v>
      </c>
      <c r="AG105" s="2518">
        <v>0</v>
      </c>
      <c r="AH105" s="2518">
        <v>0</v>
      </c>
      <c r="AI105" s="2518">
        <v>0</v>
      </c>
      <c r="AJ105" s="3643">
        <v>0</v>
      </c>
      <c r="AK105" s="3643">
        <v>2629</v>
      </c>
      <c r="AL105" s="3643">
        <v>2665</v>
      </c>
      <c r="AM105" s="3643">
        <v>2683</v>
      </c>
      <c r="AN105" s="3640">
        <v>43946</v>
      </c>
      <c r="AO105" s="685">
        <v>43500</v>
      </c>
      <c r="AP105" s="685">
        <v>43798</v>
      </c>
      <c r="AQ105" s="3640" t="s">
        <v>997</v>
      </c>
    </row>
    <row r="106" spans="1:43" s="564" customFormat="1" ht="32.25" customHeight="1" x14ac:dyDescent="0.25">
      <c r="A106" s="359"/>
      <c r="B106" s="131"/>
      <c r="C106" s="131"/>
      <c r="D106" s="359"/>
      <c r="E106" s="131"/>
      <c r="F106" s="360"/>
      <c r="G106" s="1555"/>
      <c r="H106" s="1555"/>
      <c r="I106" s="1555"/>
      <c r="J106" s="2663"/>
      <c r="K106" s="3546"/>
      <c r="L106" s="3546"/>
      <c r="M106" s="2663"/>
      <c r="N106" s="2597"/>
      <c r="O106" s="2663"/>
      <c r="P106" s="2513"/>
      <c r="Q106" s="3544"/>
      <c r="R106" s="2662"/>
      <c r="S106" s="3546"/>
      <c r="T106" s="3546"/>
      <c r="U106" s="2512"/>
      <c r="V106" s="1770">
        <v>44717884</v>
      </c>
      <c r="W106" s="1713">
        <v>20</v>
      </c>
      <c r="X106" s="1389" t="s">
        <v>1225</v>
      </c>
      <c r="Y106" s="3316"/>
      <c r="Z106" s="3547"/>
      <c r="AA106" s="3339"/>
      <c r="AB106" s="2518"/>
      <c r="AC106" s="2510"/>
      <c r="AD106" s="2518"/>
      <c r="AE106" s="2518"/>
      <c r="AF106" s="2510"/>
      <c r="AG106" s="2518"/>
      <c r="AH106" s="2518"/>
      <c r="AI106" s="2518"/>
      <c r="AJ106" s="3643"/>
      <c r="AK106" s="3643"/>
      <c r="AL106" s="3643"/>
      <c r="AM106" s="3643"/>
      <c r="AN106" s="3640"/>
      <c r="AO106" s="685">
        <v>43500</v>
      </c>
      <c r="AP106" s="685">
        <v>43798</v>
      </c>
      <c r="AQ106" s="3640"/>
    </row>
    <row r="107" spans="1:43" s="564" customFormat="1" ht="41.25" customHeight="1" x14ac:dyDescent="0.25">
      <c r="A107" s="359"/>
      <c r="B107" s="131"/>
      <c r="C107" s="131"/>
      <c r="D107" s="362"/>
      <c r="E107" s="508"/>
      <c r="F107" s="363"/>
      <c r="G107" s="1555"/>
      <c r="H107" s="1555"/>
      <c r="I107" s="1555"/>
      <c r="J107" s="2663"/>
      <c r="K107" s="3546"/>
      <c r="L107" s="3546"/>
      <c r="M107" s="2663"/>
      <c r="N107" s="2597"/>
      <c r="O107" s="2663"/>
      <c r="P107" s="2513"/>
      <c r="Q107" s="3544"/>
      <c r="R107" s="2662"/>
      <c r="S107" s="3546"/>
      <c r="T107" s="3546"/>
      <c r="U107" s="1462" t="s">
        <v>1226</v>
      </c>
      <c r="V107" s="1770">
        <v>1000000000</v>
      </c>
      <c r="W107" s="1713">
        <v>88</v>
      </c>
      <c r="X107" s="1740" t="s">
        <v>1212</v>
      </c>
      <c r="Y107" s="3316"/>
      <c r="Z107" s="3547"/>
      <c r="AA107" s="3339"/>
      <c r="AB107" s="2518"/>
      <c r="AC107" s="2510"/>
      <c r="AD107" s="2518"/>
      <c r="AE107" s="2518"/>
      <c r="AF107" s="2510"/>
      <c r="AG107" s="2518"/>
      <c r="AH107" s="2518"/>
      <c r="AI107" s="2518"/>
      <c r="AJ107" s="3643"/>
      <c r="AK107" s="3643"/>
      <c r="AL107" s="3643"/>
      <c r="AM107" s="3643"/>
      <c r="AN107" s="3640"/>
      <c r="AO107" s="685"/>
      <c r="AP107" s="685"/>
      <c r="AQ107" s="3640"/>
    </row>
    <row r="108" spans="1:43" s="564" customFormat="1" ht="76.5" customHeight="1" x14ac:dyDescent="0.25">
      <c r="A108" s="359"/>
      <c r="B108" s="131"/>
      <c r="C108" s="131"/>
      <c r="D108" s="131"/>
      <c r="E108" s="131"/>
      <c r="F108" s="131"/>
      <c r="G108" s="1555"/>
      <c r="H108" s="1555"/>
      <c r="I108" s="1555"/>
      <c r="J108" s="2663"/>
      <c r="K108" s="3546"/>
      <c r="L108" s="3546"/>
      <c r="M108" s="2663"/>
      <c r="N108" s="2519"/>
      <c r="O108" s="2663"/>
      <c r="P108" s="2513"/>
      <c r="Q108" s="3545"/>
      <c r="R108" s="2662"/>
      <c r="S108" s="3546"/>
      <c r="T108" s="3546"/>
      <c r="U108" s="1435" t="s">
        <v>1227</v>
      </c>
      <c r="V108" s="1771">
        <v>100000000</v>
      </c>
      <c r="W108" s="1713">
        <v>20</v>
      </c>
      <c r="X108" s="1389" t="s">
        <v>1225</v>
      </c>
      <c r="Y108" s="3316"/>
      <c r="Z108" s="3547"/>
      <c r="AA108" s="3339"/>
      <c r="AB108" s="2518"/>
      <c r="AC108" s="2510"/>
      <c r="AD108" s="2518"/>
      <c r="AE108" s="2518"/>
      <c r="AF108" s="2510"/>
      <c r="AG108" s="2518"/>
      <c r="AH108" s="2518"/>
      <c r="AI108" s="2518"/>
      <c r="AJ108" s="3643"/>
      <c r="AK108" s="3643"/>
      <c r="AL108" s="3643"/>
      <c r="AM108" s="3643"/>
      <c r="AN108" s="3640"/>
      <c r="AO108" s="685">
        <v>43500</v>
      </c>
      <c r="AP108" s="685">
        <v>43798</v>
      </c>
      <c r="AQ108" s="3640"/>
    </row>
    <row r="109" spans="1:43" s="564" customFormat="1" ht="15.75" x14ac:dyDescent="0.25">
      <c r="A109" s="632"/>
      <c r="B109" s="633"/>
      <c r="C109" s="634"/>
      <c r="D109" s="152">
        <v>8</v>
      </c>
      <c r="E109" s="604" t="s">
        <v>1228</v>
      </c>
      <c r="F109" s="604"/>
      <c r="G109" s="567"/>
      <c r="H109" s="567"/>
      <c r="I109" s="567"/>
      <c r="J109" s="604"/>
      <c r="K109" s="280"/>
      <c r="L109" s="280"/>
      <c r="M109" s="317"/>
      <c r="N109" s="659"/>
      <c r="O109" s="659"/>
      <c r="P109" s="1213"/>
      <c r="Q109" s="660"/>
      <c r="R109" s="366"/>
      <c r="S109" s="280"/>
      <c r="T109" s="280"/>
      <c r="U109" s="280"/>
      <c r="V109" s="661"/>
      <c r="W109" s="316"/>
      <c r="X109" s="604"/>
      <c r="Y109" s="659"/>
      <c r="Z109" s="659"/>
      <c r="AA109" s="662"/>
      <c r="AB109" s="662"/>
      <c r="AC109" s="662"/>
      <c r="AD109" s="662"/>
      <c r="AE109" s="662"/>
      <c r="AF109" s="662"/>
      <c r="AG109" s="662"/>
      <c r="AH109" s="316"/>
      <c r="AI109" s="316"/>
      <c r="AJ109" s="663"/>
      <c r="AK109" s="663"/>
      <c r="AL109" s="663"/>
      <c r="AM109" s="663"/>
      <c r="AN109" s="664"/>
      <c r="AO109" s="664"/>
      <c r="AP109" s="664"/>
      <c r="AQ109" s="665"/>
    </row>
    <row r="110" spans="1:43" s="564" customFormat="1" ht="15.75" x14ac:dyDescent="0.25">
      <c r="A110" s="632"/>
      <c r="B110" s="633"/>
      <c r="C110" s="633"/>
      <c r="D110" s="666"/>
      <c r="E110" s="667"/>
      <c r="F110" s="668"/>
      <c r="G110" s="613">
        <v>25</v>
      </c>
      <c r="H110" s="1433" t="s">
        <v>1229</v>
      </c>
      <c r="I110" s="1433"/>
      <c r="J110" s="1433"/>
      <c r="K110" s="166"/>
      <c r="L110" s="166"/>
      <c r="M110" s="172"/>
      <c r="N110" s="167"/>
      <c r="O110" s="172"/>
      <c r="P110" s="182"/>
      <c r="Q110" s="172"/>
      <c r="R110" s="368"/>
      <c r="S110" s="166"/>
      <c r="T110" s="166"/>
      <c r="U110" s="166"/>
      <c r="V110" s="614"/>
      <c r="W110" s="167"/>
      <c r="X110" s="1433"/>
      <c r="Y110" s="172"/>
      <c r="Z110" s="172"/>
      <c r="AA110" s="172"/>
      <c r="AB110" s="172"/>
      <c r="AC110" s="172"/>
      <c r="AD110" s="172"/>
      <c r="AE110" s="172"/>
      <c r="AF110" s="172"/>
      <c r="AG110" s="172"/>
      <c r="AH110" s="172"/>
      <c r="AI110" s="172"/>
      <c r="AJ110" s="582"/>
      <c r="AK110" s="582"/>
      <c r="AL110" s="582"/>
      <c r="AM110" s="582"/>
      <c r="AN110" s="582"/>
      <c r="AO110" s="582"/>
      <c r="AP110" s="582"/>
      <c r="AQ110" s="592"/>
    </row>
    <row r="111" spans="1:43" s="564" customFormat="1" ht="36.75" customHeight="1" x14ac:dyDescent="0.25">
      <c r="A111" s="632"/>
      <c r="B111" s="633"/>
      <c r="C111" s="633"/>
      <c r="D111" s="669"/>
      <c r="E111" s="670"/>
      <c r="F111" s="671"/>
      <c r="G111" s="178"/>
      <c r="H111" s="178"/>
      <c r="I111" s="178"/>
      <c r="J111" s="3515">
        <v>108</v>
      </c>
      <c r="K111" s="3517" t="s">
        <v>1230</v>
      </c>
      <c r="L111" s="3517" t="s">
        <v>1231</v>
      </c>
      <c r="M111" s="2549">
        <v>4</v>
      </c>
      <c r="N111" s="2823" t="s">
        <v>1232</v>
      </c>
      <c r="O111" s="2823" t="s">
        <v>1233</v>
      </c>
      <c r="P111" s="2845" t="s">
        <v>1234</v>
      </c>
      <c r="Q111" s="3635">
        <f>(+V111+V112)/R111</f>
        <v>0.27072585259981274</v>
      </c>
      <c r="R111" s="3572">
        <f>+V111+V113</f>
        <v>36705028</v>
      </c>
      <c r="S111" s="2845" t="s">
        <v>1235</v>
      </c>
      <c r="T111" s="3517" t="s">
        <v>1236</v>
      </c>
      <c r="U111" s="2774" t="s">
        <v>1237</v>
      </c>
      <c r="V111" s="3548">
        <v>9937000</v>
      </c>
      <c r="W111" s="2810">
        <v>20</v>
      </c>
      <c r="X111" s="3530" t="s">
        <v>621</v>
      </c>
      <c r="Y111" s="3489">
        <v>21554</v>
      </c>
      <c r="Z111" s="3489">
        <v>22392</v>
      </c>
      <c r="AA111" s="3489">
        <v>31677</v>
      </c>
      <c r="AB111" s="3489">
        <v>10302</v>
      </c>
      <c r="AC111" s="3489">
        <v>15916</v>
      </c>
      <c r="AD111" s="3489">
        <v>15683</v>
      </c>
      <c r="AE111" s="3489">
        <v>238</v>
      </c>
      <c r="AF111" s="3489">
        <v>245</v>
      </c>
      <c r="AG111" s="3489">
        <v>0</v>
      </c>
      <c r="AH111" s="3489">
        <v>0</v>
      </c>
      <c r="AI111" s="3489">
        <v>0</v>
      </c>
      <c r="AJ111" s="3489">
        <v>0</v>
      </c>
      <c r="AK111" s="3489">
        <v>2629</v>
      </c>
      <c r="AL111" s="3489">
        <v>2665</v>
      </c>
      <c r="AM111" s="3489">
        <v>2683</v>
      </c>
      <c r="AN111" s="3489">
        <v>43946</v>
      </c>
      <c r="AO111" s="3537">
        <v>43739</v>
      </c>
      <c r="AP111" s="3537">
        <v>43800</v>
      </c>
      <c r="AQ111" s="3534" t="s">
        <v>997</v>
      </c>
    </row>
    <row r="112" spans="1:43" s="564" customFormat="1" ht="36" customHeight="1" x14ac:dyDescent="0.25">
      <c r="A112" s="632"/>
      <c r="B112" s="633"/>
      <c r="C112" s="633"/>
      <c r="D112" s="669"/>
      <c r="E112" s="670"/>
      <c r="F112" s="671"/>
      <c r="G112" s="178"/>
      <c r="H112" s="178"/>
      <c r="I112" s="178"/>
      <c r="J112" s="3516"/>
      <c r="K112" s="3518"/>
      <c r="L112" s="3518"/>
      <c r="M112" s="2728"/>
      <c r="N112" s="2824"/>
      <c r="O112" s="2824"/>
      <c r="P112" s="2845"/>
      <c r="Q112" s="3522"/>
      <c r="R112" s="3572"/>
      <c r="S112" s="2845"/>
      <c r="T112" s="3518"/>
      <c r="U112" s="2775"/>
      <c r="V112" s="3549"/>
      <c r="W112" s="2810"/>
      <c r="X112" s="3530"/>
      <c r="Y112" s="3541"/>
      <c r="Z112" s="3541"/>
      <c r="AA112" s="3541"/>
      <c r="AB112" s="3541"/>
      <c r="AC112" s="3541"/>
      <c r="AD112" s="3541"/>
      <c r="AE112" s="3541"/>
      <c r="AF112" s="3541"/>
      <c r="AG112" s="3541"/>
      <c r="AH112" s="3541"/>
      <c r="AI112" s="3541"/>
      <c r="AJ112" s="3541"/>
      <c r="AK112" s="3541"/>
      <c r="AL112" s="3541"/>
      <c r="AM112" s="3541"/>
      <c r="AN112" s="3541"/>
      <c r="AO112" s="3539"/>
      <c r="AP112" s="3539"/>
      <c r="AQ112" s="3535"/>
    </row>
    <row r="113" spans="1:43" s="564" customFormat="1" ht="95.25" customHeight="1" x14ac:dyDescent="0.25">
      <c r="A113" s="632"/>
      <c r="B113" s="633"/>
      <c r="C113" s="633"/>
      <c r="D113" s="669"/>
      <c r="E113" s="670"/>
      <c r="F113" s="671"/>
      <c r="G113" s="178"/>
      <c r="H113" s="178"/>
      <c r="I113" s="178"/>
      <c r="J113" s="1603">
        <v>109</v>
      </c>
      <c r="K113" s="602" t="s">
        <v>1238</v>
      </c>
      <c r="L113" s="602" t="s">
        <v>1239</v>
      </c>
      <c r="M113" s="1472">
        <v>52</v>
      </c>
      <c r="N113" s="2825"/>
      <c r="O113" s="2825"/>
      <c r="P113" s="2845"/>
      <c r="Q113" s="1606">
        <f>(V113)/R111</f>
        <v>0.72927414740018726</v>
      </c>
      <c r="R113" s="3572"/>
      <c r="S113" s="2845"/>
      <c r="T113" s="602" t="s">
        <v>1240</v>
      </c>
      <c r="U113" s="1473" t="s">
        <v>1241</v>
      </c>
      <c r="V113" s="1622">
        <v>26768028</v>
      </c>
      <c r="W113" s="1505">
        <v>20</v>
      </c>
      <c r="X113" s="1608" t="s">
        <v>61</v>
      </c>
      <c r="Y113" s="3540"/>
      <c r="Z113" s="3540"/>
      <c r="AA113" s="3540"/>
      <c r="AB113" s="3540"/>
      <c r="AC113" s="3540"/>
      <c r="AD113" s="3540"/>
      <c r="AE113" s="3540"/>
      <c r="AF113" s="3540"/>
      <c r="AG113" s="3540"/>
      <c r="AH113" s="3540"/>
      <c r="AI113" s="3540"/>
      <c r="AJ113" s="3540"/>
      <c r="AK113" s="3540"/>
      <c r="AL113" s="3540"/>
      <c r="AM113" s="3540"/>
      <c r="AN113" s="3540"/>
      <c r="AO113" s="1612">
        <v>43497</v>
      </c>
      <c r="AP113" s="1612">
        <v>43800</v>
      </c>
      <c r="AQ113" s="3622"/>
    </row>
    <row r="114" spans="1:43" s="564" customFormat="1" ht="15.75" x14ac:dyDescent="0.25">
      <c r="A114" s="655"/>
      <c r="B114" s="656"/>
      <c r="C114" s="656"/>
      <c r="D114" s="655"/>
      <c r="E114" s="656"/>
      <c r="F114" s="657"/>
      <c r="G114" s="613">
        <v>26</v>
      </c>
      <c r="H114" s="1433" t="s">
        <v>1242</v>
      </c>
      <c r="I114" s="1433"/>
      <c r="J114" s="1433"/>
      <c r="K114" s="166"/>
      <c r="L114" s="166"/>
      <c r="M114" s="172"/>
      <c r="N114" s="167"/>
      <c r="O114" s="172"/>
      <c r="P114" s="182"/>
      <c r="Q114" s="172"/>
      <c r="R114" s="368"/>
      <c r="S114" s="166"/>
      <c r="T114" s="166"/>
      <c r="U114" s="166"/>
      <c r="V114" s="614"/>
      <c r="W114" s="167"/>
      <c r="X114" s="1433"/>
      <c r="Y114" s="172"/>
      <c r="Z114" s="172"/>
      <c r="AA114" s="172"/>
      <c r="AB114" s="172"/>
      <c r="AC114" s="172"/>
      <c r="AD114" s="172"/>
      <c r="AE114" s="172"/>
      <c r="AF114" s="172"/>
      <c r="AG114" s="172"/>
      <c r="AH114" s="172"/>
      <c r="AI114" s="172"/>
      <c r="AJ114" s="582"/>
      <c r="AK114" s="582"/>
      <c r="AL114" s="582"/>
      <c r="AM114" s="582"/>
      <c r="AN114" s="582"/>
      <c r="AO114" s="582"/>
      <c r="AP114" s="582"/>
      <c r="AQ114" s="592"/>
    </row>
    <row r="115" spans="1:43" s="564" customFormat="1" ht="53.25" customHeight="1" x14ac:dyDescent="0.25">
      <c r="A115" s="632" t="s">
        <v>441</v>
      </c>
      <c r="B115" s="633"/>
      <c r="C115" s="633"/>
      <c r="D115" s="632"/>
      <c r="E115" s="633"/>
      <c r="F115" s="634"/>
      <c r="G115" s="2811"/>
      <c r="H115" s="1498"/>
      <c r="I115" s="2811"/>
      <c r="J115" s="2520">
        <v>110</v>
      </c>
      <c r="K115" s="2808" t="s">
        <v>1243</v>
      </c>
      <c r="L115" s="2811" t="s">
        <v>1244</v>
      </c>
      <c r="M115" s="3536">
        <v>200</v>
      </c>
      <c r="N115" s="2811" t="s">
        <v>1245</v>
      </c>
      <c r="O115" s="2811" t="s">
        <v>1246</v>
      </c>
      <c r="P115" s="2808" t="s">
        <v>1247</v>
      </c>
      <c r="Q115" s="3531">
        <f>(+V115+V116+V117)/R115</f>
        <v>1</v>
      </c>
      <c r="R115" s="3532">
        <f>+V115+V116+V117</f>
        <v>706195624</v>
      </c>
      <c r="S115" s="3533" t="s">
        <v>1248</v>
      </c>
      <c r="T115" s="2808" t="s">
        <v>1249</v>
      </c>
      <c r="U115" s="2513" t="s">
        <v>1250</v>
      </c>
      <c r="V115" s="1411">
        <f>600000000+56195624</f>
        <v>656195624</v>
      </c>
      <c r="W115" s="1505">
        <v>25</v>
      </c>
      <c r="X115" s="1608" t="s">
        <v>1251</v>
      </c>
      <c r="Y115" s="3489">
        <v>21554</v>
      </c>
      <c r="Z115" s="3489">
        <v>22392</v>
      </c>
      <c r="AA115" s="3489">
        <v>31677</v>
      </c>
      <c r="AB115" s="3489">
        <v>10302</v>
      </c>
      <c r="AC115" s="3489">
        <v>15916</v>
      </c>
      <c r="AD115" s="3489">
        <v>15683</v>
      </c>
      <c r="AE115" s="3489">
        <v>238</v>
      </c>
      <c r="AF115" s="3489">
        <v>245</v>
      </c>
      <c r="AG115" s="3489">
        <v>0</v>
      </c>
      <c r="AH115" s="3489">
        <v>0</v>
      </c>
      <c r="AI115" s="3489">
        <v>0</v>
      </c>
      <c r="AJ115" s="3489">
        <v>0</v>
      </c>
      <c r="AK115" s="3489">
        <v>2629</v>
      </c>
      <c r="AL115" s="3489">
        <v>2665</v>
      </c>
      <c r="AM115" s="3489">
        <v>2683</v>
      </c>
      <c r="AN115" s="3489">
        <v>43946</v>
      </c>
      <c r="AO115" s="3537">
        <v>43466</v>
      </c>
      <c r="AP115" s="3490">
        <v>43830</v>
      </c>
      <c r="AQ115" s="3534" t="s">
        <v>997</v>
      </c>
    </row>
    <row r="116" spans="1:43" s="564" customFormat="1" ht="53.25" customHeight="1" x14ac:dyDescent="0.25">
      <c r="A116" s="632"/>
      <c r="B116" s="633"/>
      <c r="C116" s="633"/>
      <c r="D116" s="632"/>
      <c r="E116" s="633"/>
      <c r="F116" s="634"/>
      <c r="G116" s="2811"/>
      <c r="H116" s="1498"/>
      <c r="I116" s="2811"/>
      <c r="J116" s="2520"/>
      <c r="K116" s="2808"/>
      <c r="L116" s="2811"/>
      <c r="M116" s="3536"/>
      <c r="N116" s="2811"/>
      <c r="O116" s="2811"/>
      <c r="P116" s="2808"/>
      <c r="Q116" s="3531"/>
      <c r="R116" s="3532"/>
      <c r="S116" s="3533"/>
      <c r="T116" s="2808"/>
      <c r="U116" s="2513"/>
      <c r="V116" s="1411">
        <v>10000000</v>
      </c>
      <c r="W116" s="1536">
        <v>20</v>
      </c>
      <c r="X116" s="1550" t="s">
        <v>61</v>
      </c>
      <c r="Y116" s="3541"/>
      <c r="Z116" s="3541"/>
      <c r="AA116" s="3541"/>
      <c r="AB116" s="3541"/>
      <c r="AC116" s="3541"/>
      <c r="AD116" s="3541"/>
      <c r="AE116" s="3541"/>
      <c r="AF116" s="3541"/>
      <c r="AG116" s="3541"/>
      <c r="AH116" s="3541"/>
      <c r="AI116" s="3541"/>
      <c r="AJ116" s="3541"/>
      <c r="AK116" s="3541"/>
      <c r="AL116" s="3541"/>
      <c r="AM116" s="3541"/>
      <c r="AN116" s="3541"/>
      <c r="AO116" s="3538"/>
      <c r="AP116" s="3491"/>
      <c r="AQ116" s="3535"/>
    </row>
    <row r="117" spans="1:43" s="564" customFormat="1" ht="48.75" customHeight="1" x14ac:dyDescent="0.25">
      <c r="A117" s="632"/>
      <c r="B117" s="633"/>
      <c r="C117" s="633"/>
      <c r="D117" s="632"/>
      <c r="E117" s="633"/>
      <c r="F117" s="634"/>
      <c r="G117" s="2811"/>
      <c r="H117" s="1498"/>
      <c r="I117" s="2811"/>
      <c r="J117" s="2520"/>
      <c r="K117" s="2808"/>
      <c r="L117" s="2811"/>
      <c r="M117" s="3536"/>
      <c r="N117" s="2811"/>
      <c r="O117" s="2811"/>
      <c r="P117" s="2808"/>
      <c r="Q117" s="3531"/>
      <c r="R117" s="3532"/>
      <c r="S117" s="3533"/>
      <c r="T117" s="2808"/>
      <c r="U117" s="2513"/>
      <c r="V117" s="1770">
        <v>40000000</v>
      </c>
      <c r="W117" s="1272">
        <v>88</v>
      </c>
      <c r="X117" s="1361" t="s">
        <v>163</v>
      </c>
      <c r="Y117" s="3542"/>
      <c r="Z117" s="3540"/>
      <c r="AA117" s="3540"/>
      <c r="AB117" s="3540"/>
      <c r="AC117" s="3540"/>
      <c r="AD117" s="3540"/>
      <c r="AE117" s="3540"/>
      <c r="AF117" s="3540"/>
      <c r="AG117" s="3540"/>
      <c r="AH117" s="3540"/>
      <c r="AI117" s="3540"/>
      <c r="AJ117" s="3540"/>
      <c r="AK117" s="3540"/>
      <c r="AL117" s="3540"/>
      <c r="AM117" s="3540"/>
      <c r="AN117" s="3540"/>
      <c r="AO117" s="3539"/>
      <c r="AP117" s="3540"/>
      <c r="AQ117" s="3535"/>
    </row>
    <row r="118" spans="1:43" s="564" customFormat="1" ht="15.75" x14ac:dyDescent="0.25">
      <c r="A118" s="655"/>
      <c r="B118" s="656"/>
      <c r="C118" s="656"/>
      <c r="D118" s="655"/>
      <c r="E118" s="656"/>
      <c r="F118" s="657"/>
      <c r="G118" s="613">
        <v>27</v>
      </c>
      <c r="H118" s="1433" t="s">
        <v>1252</v>
      </c>
      <c r="I118" s="1433"/>
      <c r="J118" s="1433"/>
      <c r="K118" s="166"/>
      <c r="L118" s="166"/>
      <c r="M118" s="172"/>
      <c r="N118" s="167"/>
      <c r="O118" s="172"/>
      <c r="P118" s="182"/>
      <c r="Q118" s="172"/>
      <c r="R118" s="368"/>
      <c r="S118" s="166"/>
      <c r="T118" s="166"/>
      <c r="U118" s="166"/>
      <c r="V118" s="614"/>
      <c r="W118" s="490"/>
      <c r="X118" s="646"/>
      <c r="Y118" s="172"/>
      <c r="Z118" s="172"/>
      <c r="AA118" s="172"/>
      <c r="AB118" s="172"/>
      <c r="AC118" s="172"/>
      <c r="AD118" s="172"/>
      <c r="AE118" s="172"/>
      <c r="AF118" s="172"/>
      <c r="AG118" s="172"/>
      <c r="AH118" s="172"/>
      <c r="AI118" s="172"/>
      <c r="AJ118" s="582"/>
      <c r="AK118" s="582"/>
      <c r="AL118" s="582"/>
      <c r="AM118" s="582"/>
      <c r="AN118" s="582"/>
      <c r="AO118" s="582"/>
      <c r="AP118" s="582"/>
      <c r="AQ118" s="592"/>
    </row>
    <row r="119" spans="1:43" s="564" customFormat="1" ht="120" customHeight="1" x14ac:dyDescent="0.25">
      <c r="A119" s="655"/>
      <c r="B119" s="656"/>
      <c r="C119" s="656"/>
      <c r="D119" s="655"/>
      <c r="E119" s="656"/>
      <c r="F119" s="657"/>
      <c r="G119" s="178"/>
      <c r="H119" s="178"/>
      <c r="I119" s="178"/>
      <c r="J119" s="1609">
        <v>111</v>
      </c>
      <c r="K119" s="672" t="s">
        <v>1253</v>
      </c>
      <c r="L119" s="672" t="s">
        <v>1254</v>
      </c>
      <c r="M119" s="674">
        <v>1</v>
      </c>
      <c r="N119" s="1457" t="s">
        <v>1255</v>
      </c>
      <c r="O119" s="1508" t="s">
        <v>1256</v>
      </c>
      <c r="P119" s="1540" t="s">
        <v>1257</v>
      </c>
      <c r="Q119" s="1610">
        <f>+V119/R119</f>
        <v>1</v>
      </c>
      <c r="R119" s="1611">
        <f>+V119</f>
        <v>3503000000</v>
      </c>
      <c r="S119" s="672" t="s">
        <v>1258</v>
      </c>
      <c r="T119" s="672" t="s">
        <v>1259</v>
      </c>
      <c r="U119" s="1262" t="s">
        <v>1260</v>
      </c>
      <c r="V119" s="1618">
        <v>3503000000</v>
      </c>
      <c r="W119" s="1537">
        <v>25</v>
      </c>
      <c r="X119" s="1615" t="s">
        <v>1038</v>
      </c>
      <c r="Y119" s="1596">
        <v>21554</v>
      </c>
      <c r="Z119" s="1596">
        <v>22392</v>
      </c>
      <c r="AA119" s="1595">
        <v>31677</v>
      </c>
      <c r="AB119" s="1595">
        <v>10302</v>
      </c>
      <c r="AC119" s="1595">
        <v>15916</v>
      </c>
      <c r="AD119" s="1595">
        <v>15683</v>
      </c>
      <c r="AE119" s="1595">
        <v>238</v>
      </c>
      <c r="AF119" s="1595">
        <v>245</v>
      </c>
      <c r="AG119" s="1595">
        <v>0</v>
      </c>
      <c r="AH119" s="1595">
        <v>0</v>
      </c>
      <c r="AI119" s="673">
        <v>0</v>
      </c>
      <c r="AJ119" s="1587">
        <v>0</v>
      </c>
      <c r="AK119" s="1587">
        <v>2629</v>
      </c>
      <c r="AL119" s="1587">
        <v>2665</v>
      </c>
      <c r="AM119" s="1587">
        <v>2683</v>
      </c>
      <c r="AN119" s="1589">
        <f>Y119+Z119</f>
        <v>43946</v>
      </c>
      <c r="AO119" s="621">
        <v>43466</v>
      </c>
      <c r="AP119" s="621">
        <v>43830</v>
      </c>
      <c r="AQ119" s="1592" t="s">
        <v>997</v>
      </c>
    </row>
    <row r="120" spans="1:43" s="564" customFormat="1" ht="15.75" x14ac:dyDescent="0.25">
      <c r="A120" s="655"/>
      <c r="B120" s="656"/>
      <c r="C120" s="656"/>
      <c r="D120" s="655"/>
      <c r="E120" s="656"/>
      <c r="F120" s="657"/>
      <c r="G120" s="613">
        <v>28</v>
      </c>
      <c r="H120" s="1433" t="s">
        <v>1261</v>
      </c>
      <c r="I120" s="1433"/>
      <c r="J120" s="1433"/>
      <c r="K120" s="166"/>
      <c r="L120" s="166"/>
      <c r="M120" s="172"/>
      <c r="N120" s="167"/>
      <c r="O120" s="167"/>
      <c r="P120" s="182"/>
      <c r="Q120" s="476"/>
      <c r="R120" s="368"/>
      <c r="S120" s="166"/>
      <c r="T120" s="166"/>
      <c r="U120" s="166"/>
      <c r="V120" s="614"/>
      <c r="W120" s="675"/>
      <c r="X120" s="1433"/>
      <c r="Y120" s="167"/>
      <c r="Z120" s="167"/>
      <c r="AA120" s="172"/>
      <c r="AB120" s="172"/>
      <c r="AC120" s="172"/>
      <c r="AD120" s="172"/>
      <c r="AE120" s="172"/>
      <c r="AF120" s="172"/>
      <c r="AG120" s="172"/>
      <c r="AH120" s="365"/>
      <c r="AI120" s="365"/>
      <c r="AJ120" s="582"/>
      <c r="AK120" s="582"/>
      <c r="AL120" s="582"/>
      <c r="AM120" s="582"/>
      <c r="AN120" s="582"/>
      <c r="AO120" s="1090"/>
      <c r="AP120" s="582"/>
      <c r="AQ120" s="592"/>
    </row>
    <row r="121" spans="1:43" s="564" customFormat="1" ht="48" customHeight="1" x14ac:dyDescent="0.25">
      <c r="A121" s="655"/>
      <c r="B121" s="656"/>
      <c r="C121" s="656"/>
      <c r="D121" s="669"/>
      <c r="E121" s="670"/>
      <c r="F121" s="671"/>
      <c r="G121" s="1555"/>
      <c r="H121" s="1555"/>
      <c r="I121" s="1555"/>
      <c r="J121" s="3576">
        <v>112</v>
      </c>
      <c r="K121" s="2845" t="s">
        <v>1262</v>
      </c>
      <c r="L121" s="2845" t="s">
        <v>1263</v>
      </c>
      <c r="M121" s="3541">
        <v>12</v>
      </c>
      <c r="N121" s="2824" t="s">
        <v>1264</v>
      </c>
      <c r="O121" s="2824" t="s">
        <v>1265</v>
      </c>
      <c r="P121" s="2845" t="s">
        <v>1266</v>
      </c>
      <c r="Q121" s="3625">
        <f>+V121/R121</f>
        <v>0.14375937670534561</v>
      </c>
      <c r="R121" s="3598">
        <f>+V121+V123</f>
        <v>20868204</v>
      </c>
      <c r="S121" s="3235" t="s">
        <v>1267</v>
      </c>
      <c r="T121" s="2845" t="s">
        <v>1268</v>
      </c>
      <c r="U121" s="2845" t="s">
        <v>1269</v>
      </c>
      <c r="V121" s="2668">
        <v>3000000</v>
      </c>
      <c r="W121" s="2810">
        <v>20</v>
      </c>
      <c r="X121" s="3530" t="s">
        <v>61</v>
      </c>
      <c r="Y121" s="3541">
        <v>21554</v>
      </c>
      <c r="Z121" s="3541">
        <v>22392</v>
      </c>
      <c r="AA121" s="3541">
        <v>31677</v>
      </c>
      <c r="AB121" s="3541">
        <v>10302</v>
      </c>
      <c r="AC121" s="3541">
        <v>15916</v>
      </c>
      <c r="AD121" s="3541">
        <v>15683</v>
      </c>
      <c r="AE121" s="3541">
        <v>238</v>
      </c>
      <c r="AF121" s="3541">
        <v>245</v>
      </c>
      <c r="AG121" s="3541">
        <v>0</v>
      </c>
      <c r="AH121" s="3541">
        <v>0</v>
      </c>
      <c r="AI121" s="3541">
        <v>0</v>
      </c>
      <c r="AJ121" s="3541">
        <v>0</v>
      </c>
      <c r="AK121" s="3541">
        <v>2629</v>
      </c>
      <c r="AL121" s="3541">
        <v>2665</v>
      </c>
      <c r="AM121" s="3541">
        <v>2683</v>
      </c>
      <c r="AN121" s="3644">
        <f>Y121+Z121</f>
        <v>43946</v>
      </c>
      <c r="AO121" s="3623">
        <v>43591</v>
      </c>
      <c r="AP121" s="3645">
        <v>43763</v>
      </c>
      <c r="AQ121" s="3535" t="s">
        <v>997</v>
      </c>
    </row>
    <row r="122" spans="1:43" s="564" customFormat="1" ht="55.5" customHeight="1" x14ac:dyDescent="0.25">
      <c r="A122" s="655"/>
      <c r="B122" s="656"/>
      <c r="C122" s="656"/>
      <c r="D122" s="669"/>
      <c r="E122" s="670"/>
      <c r="F122" s="671"/>
      <c r="G122" s="1555"/>
      <c r="H122" s="1555"/>
      <c r="I122" s="1555"/>
      <c r="J122" s="3516"/>
      <c r="K122" s="3325"/>
      <c r="L122" s="3325"/>
      <c r="M122" s="3540"/>
      <c r="N122" s="2824"/>
      <c r="O122" s="2824"/>
      <c r="P122" s="2845"/>
      <c r="Q122" s="3522"/>
      <c r="R122" s="3598"/>
      <c r="S122" s="2845"/>
      <c r="T122" s="3325"/>
      <c r="U122" s="3325"/>
      <c r="V122" s="3525"/>
      <c r="W122" s="2810"/>
      <c r="X122" s="3530"/>
      <c r="Y122" s="3541"/>
      <c r="Z122" s="3541"/>
      <c r="AA122" s="3541"/>
      <c r="AB122" s="3541"/>
      <c r="AC122" s="3541"/>
      <c r="AD122" s="3541"/>
      <c r="AE122" s="3541"/>
      <c r="AF122" s="3541"/>
      <c r="AG122" s="3541"/>
      <c r="AH122" s="3541"/>
      <c r="AI122" s="3541"/>
      <c r="AJ122" s="3541"/>
      <c r="AK122" s="3541"/>
      <c r="AL122" s="3541"/>
      <c r="AM122" s="3541"/>
      <c r="AN122" s="3644"/>
      <c r="AO122" s="3624"/>
      <c r="AP122" s="3646"/>
      <c r="AQ122" s="3535"/>
    </row>
    <row r="123" spans="1:43" s="564" customFormat="1" ht="88.5" customHeight="1" x14ac:dyDescent="0.25">
      <c r="A123" s="655"/>
      <c r="B123" s="656"/>
      <c r="C123" s="656"/>
      <c r="D123" s="669"/>
      <c r="E123" s="670"/>
      <c r="F123" s="671"/>
      <c r="G123" s="1555"/>
      <c r="H123" s="1555"/>
      <c r="I123" s="1555"/>
      <c r="J123" s="1603">
        <v>113</v>
      </c>
      <c r="K123" s="1539" t="s">
        <v>1270</v>
      </c>
      <c r="L123" s="1539" t="s">
        <v>1271</v>
      </c>
      <c r="M123" s="1584">
        <v>1</v>
      </c>
      <c r="N123" s="2824"/>
      <c r="O123" s="2824"/>
      <c r="P123" s="2845"/>
      <c r="Q123" s="1606">
        <f>+V123/R121</f>
        <v>0.85624062329465445</v>
      </c>
      <c r="R123" s="3598"/>
      <c r="S123" s="2845"/>
      <c r="T123" s="1539" t="s">
        <v>1272</v>
      </c>
      <c r="U123" s="1539" t="s">
        <v>1273</v>
      </c>
      <c r="V123" s="1453">
        <v>17868204</v>
      </c>
      <c r="W123" s="1613">
        <v>20</v>
      </c>
      <c r="X123" s="1362" t="s">
        <v>61</v>
      </c>
      <c r="Y123" s="3541"/>
      <c r="Z123" s="3541"/>
      <c r="AA123" s="3541"/>
      <c r="AB123" s="3541"/>
      <c r="AC123" s="3541"/>
      <c r="AD123" s="3541"/>
      <c r="AE123" s="3541"/>
      <c r="AF123" s="3541"/>
      <c r="AG123" s="3541"/>
      <c r="AH123" s="3541"/>
      <c r="AI123" s="3541"/>
      <c r="AJ123" s="3541"/>
      <c r="AK123" s="3541"/>
      <c r="AL123" s="3541"/>
      <c r="AM123" s="3541"/>
      <c r="AN123" s="3541"/>
      <c r="AO123" s="685">
        <v>43602</v>
      </c>
      <c r="AP123" s="685">
        <v>43763</v>
      </c>
      <c r="AQ123" s="3535"/>
    </row>
    <row r="124" spans="1:43" s="564" customFormat="1" ht="15.75" x14ac:dyDescent="0.25">
      <c r="A124" s="655"/>
      <c r="B124" s="656"/>
      <c r="C124" s="657"/>
      <c r="D124" s="152">
        <v>16</v>
      </c>
      <c r="E124" s="604" t="s">
        <v>1274</v>
      </c>
      <c r="F124" s="604"/>
      <c r="G124" s="567"/>
      <c r="H124" s="567"/>
      <c r="I124" s="567"/>
      <c r="J124" s="567"/>
      <c r="K124" s="356"/>
      <c r="L124" s="356"/>
      <c r="M124" s="355"/>
      <c r="N124" s="357"/>
      <c r="O124" s="357"/>
      <c r="P124" s="1214"/>
      <c r="Q124" s="605"/>
      <c r="R124" s="367"/>
      <c r="S124" s="356"/>
      <c r="T124" s="356"/>
      <c r="U124" s="356"/>
      <c r="V124" s="606"/>
      <c r="W124" s="676"/>
      <c r="X124" s="567"/>
      <c r="Y124" s="357"/>
      <c r="Z124" s="357"/>
      <c r="AA124" s="355"/>
      <c r="AB124" s="355"/>
      <c r="AC124" s="355"/>
      <c r="AD124" s="355"/>
      <c r="AE124" s="355"/>
      <c r="AF124" s="355"/>
      <c r="AG124" s="355"/>
      <c r="AH124" s="607"/>
      <c r="AI124" s="607"/>
      <c r="AJ124" s="571"/>
      <c r="AK124" s="571"/>
      <c r="AL124" s="571"/>
      <c r="AM124" s="571"/>
      <c r="AN124" s="571"/>
      <c r="AO124" s="571"/>
      <c r="AP124" s="571"/>
      <c r="AQ124" s="608"/>
    </row>
    <row r="125" spans="1:43" s="564" customFormat="1" ht="15.75" x14ac:dyDescent="0.25">
      <c r="A125" s="655"/>
      <c r="B125" s="656"/>
      <c r="C125" s="657"/>
      <c r="D125" s="677"/>
      <c r="E125" s="677"/>
      <c r="F125" s="678"/>
      <c r="G125" s="613">
        <v>57</v>
      </c>
      <c r="H125" s="172" t="s">
        <v>1275</v>
      </c>
      <c r="I125" s="172"/>
      <c r="J125" s="172"/>
      <c r="K125" s="182"/>
      <c r="L125" s="182"/>
      <c r="M125" s="397"/>
      <c r="N125" s="398"/>
      <c r="O125" s="167"/>
      <c r="P125" s="182"/>
      <c r="Q125" s="476"/>
      <c r="R125" s="368"/>
      <c r="S125" s="166"/>
      <c r="T125" s="166"/>
      <c r="U125" s="166"/>
      <c r="V125" s="614"/>
      <c r="W125" s="171"/>
      <c r="X125" s="1433"/>
      <c r="Y125" s="167"/>
      <c r="Z125" s="167"/>
      <c r="AA125" s="172"/>
      <c r="AB125" s="172"/>
      <c r="AC125" s="172"/>
      <c r="AD125" s="172"/>
      <c r="AE125" s="172"/>
      <c r="AF125" s="172"/>
      <c r="AG125" s="172"/>
      <c r="AH125" s="365"/>
      <c r="AI125" s="365"/>
      <c r="AJ125" s="582"/>
      <c r="AK125" s="582"/>
      <c r="AL125" s="582"/>
      <c r="AM125" s="582"/>
      <c r="AN125" s="582"/>
      <c r="AO125" s="582"/>
      <c r="AP125" s="582"/>
      <c r="AQ125" s="592"/>
    </row>
    <row r="126" spans="1:43" s="564" customFormat="1" ht="87" customHeight="1" x14ac:dyDescent="0.25">
      <c r="A126" s="679"/>
      <c r="B126" s="680"/>
      <c r="C126" s="681"/>
      <c r="D126" s="682"/>
      <c r="E126" s="682"/>
      <c r="F126" s="683"/>
      <c r="G126" s="684"/>
      <c r="H126" s="684"/>
      <c r="I126" s="684"/>
      <c r="J126" s="3515">
        <v>182</v>
      </c>
      <c r="K126" s="3489" t="s">
        <v>1276</v>
      </c>
      <c r="L126" s="599" t="s">
        <v>1277</v>
      </c>
      <c r="M126" s="1605">
        <v>1</v>
      </c>
      <c r="N126" s="2823" t="s">
        <v>1278</v>
      </c>
      <c r="O126" s="2823" t="s">
        <v>1279</v>
      </c>
      <c r="P126" s="2823" t="s">
        <v>1280</v>
      </c>
      <c r="Q126" s="3635">
        <f>(+V126+V127)/R126</f>
        <v>1</v>
      </c>
      <c r="R126" s="3650">
        <f>V126+V127</f>
        <v>18817998</v>
      </c>
      <c r="S126" s="3489" t="s">
        <v>1281</v>
      </c>
      <c r="T126" s="3489" t="s">
        <v>1276</v>
      </c>
      <c r="U126" s="1772" t="s">
        <v>1282</v>
      </c>
      <c r="V126" s="1753">
        <f>18817998-11342000</f>
        <v>7475998</v>
      </c>
      <c r="W126" s="1754">
        <v>20</v>
      </c>
      <c r="X126" s="1764" t="s">
        <v>61</v>
      </c>
      <c r="Y126" s="1773">
        <v>21554</v>
      </c>
      <c r="Z126" s="1773">
        <v>22392</v>
      </c>
      <c r="AA126" s="1754">
        <v>31677</v>
      </c>
      <c r="AB126" s="1754">
        <v>10302</v>
      </c>
      <c r="AC126" s="1754">
        <v>15916</v>
      </c>
      <c r="AD126" s="1754">
        <v>15683</v>
      </c>
      <c r="AE126" s="1754">
        <v>238</v>
      </c>
      <c r="AF126" s="1754">
        <v>245</v>
      </c>
      <c r="AG126" s="1754">
        <v>0</v>
      </c>
      <c r="AH126" s="1754">
        <v>0</v>
      </c>
      <c r="AI126" s="1774">
        <v>0</v>
      </c>
      <c r="AJ126" s="1775">
        <v>0</v>
      </c>
      <c r="AK126" s="1775">
        <v>2629</v>
      </c>
      <c r="AL126" s="1588">
        <v>2665</v>
      </c>
      <c r="AM126" s="1588">
        <v>2683</v>
      </c>
      <c r="AN126" s="1590">
        <v>43946</v>
      </c>
      <c r="AO126" s="685">
        <v>43500</v>
      </c>
      <c r="AP126" s="686">
        <v>43798</v>
      </c>
      <c r="AQ126" s="1593" t="s">
        <v>997</v>
      </c>
    </row>
    <row r="127" spans="1:43" s="564" customFormat="1" ht="57" customHeight="1" x14ac:dyDescent="0.25">
      <c r="A127" s="679"/>
      <c r="B127" s="680"/>
      <c r="C127" s="680"/>
      <c r="D127" s="682"/>
      <c r="E127" s="682"/>
      <c r="F127" s="682"/>
      <c r="G127" s="684"/>
      <c r="H127" s="684"/>
      <c r="I127" s="684"/>
      <c r="J127" s="3516"/>
      <c r="K127" s="3540"/>
      <c r="L127" s="599"/>
      <c r="M127" s="1605"/>
      <c r="N127" s="2825"/>
      <c r="O127" s="2825"/>
      <c r="P127" s="2825"/>
      <c r="Q127" s="3522"/>
      <c r="R127" s="3651"/>
      <c r="S127" s="3540"/>
      <c r="T127" s="3540"/>
      <c r="U127" s="1772" t="s">
        <v>1283</v>
      </c>
      <c r="V127" s="1753">
        <f>0+11342000</f>
        <v>11342000</v>
      </c>
      <c r="W127" s="1754">
        <v>20</v>
      </c>
      <c r="X127" s="1764" t="s">
        <v>61</v>
      </c>
      <c r="Y127" s="1773"/>
      <c r="Z127" s="1773"/>
      <c r="AA127" s="1754"/>
      <c r="AB127" s="1754"/>
      <c r="AC127" s="1754"/>
      <c r="AD127" s="1754"/>
      <c r="AE127" s="1754"/>
      <c r="AF127" s="1754"/>
      <c r="AG127" s="1754"/>
      <c r="AH127" s="1754"/>
      <c r="AI127" s="1774"/>
      <c r="AJ127" s="1775"/>
      <c r="AK127" s="1775"/>
      <c r="AL127" s="1588"/>
      <c r="AM127" s="1588"/>
      <c r="AN127" s="1590"/>
      <c r="AO127" s="685"/>
      <c r="AP127" s="686"/>
      <c r="AQ127" s="1593"/>
    </row>
    <row r="128" spans="1:43" s="694" customFormat="1" ht="31.5" customHeight="1" x14ac:dyDescent="0.25">
      <c r="A128" s="3647"/>
      <c r="B128" s="3648"/>
      <c r="C128" s="3648"/>
      <c r="D128" s="3648"/>
      <c r="E128" s="3648"/>
      <c r="F128" s="3648"/>
      <c r="G128" s="3648"/>
      <c r="H128" s="3648"/>
      <c r="I128" s="3472"/>
      <c r="J128" s="1439"/>
      <c r="K128" s="687"/>
      <c r="L128" s="687"/>
      <c r="M128" s="1581"/>
      <c r="N128" s="1581"/>
      <c r="O128" s="688"/>
      <c r="P128" s="687"/>
      <c r="Q128" s="689"/>
      <c r="R128" s="690">
        <f>SUM(R11:R127)</f>
        <v>182697792015.16</v>
      </c>
      <c r="S128" s="687"/>
      <c r="T128" s="687"/>
      <c r="U128" s="1776"/>
      <c r="V128" s="1777">
        <f>SUM(V11:V127)</f>
        <v>182697792015.16</v>
      </c>
      <c r="W128" s="1778"/>
      <c r="X128" s="1779"/>
      <c r="Y128" s="1778"/>
      <c r="Z128" s="1778"/>
      <c r="AA128" s="1778"/>
      <c r="AB128" s="1778"/>
      <c r="AC128" s="1778"/>
      <c r="AD128" s="1778"/>
      <c r="AE128" s="1778"/>
      <c r="AF128" s="1778"/>
      <c r="AG128" s="1778"/>
      <c r="AH128" s="1778"/>
      <c r="AI128" s="1778"/>
      <c r="AJ128" s="1778"/>
      <c r="AK128" s="1778"/>
      <c r="AL128" s="691"/>
      <c r="AM128" s="691"/>
      <c r="AN128" s="691"/>
      <c r="AO128" s="692"/>
      <c r="AP128" s="692"/>
      <c r="AQ128" s="693"/>
    </row>
    <row r="129" spans="1:43" s="564" customFormat="1" ht="15.75" x14ac:dyDescent="0.25">
      <c r="A129" s="21"/>
      <c r="B129" s="3"/>
      <c r="C129" s="3"/>
      <c r="D129" s="3"/>
      <c r="E129" s="3"/>
      <c r="F129" s="3"/>
      <c r="G129" s="3"/>
      <c r="H129" s="3"/>
      <c r="I129" s="3"/>
      <c r="J129" s="3"/>
      <c r="K129" s="205"/>
      <c r="L129" s="1466"/>
      <c r="M129" s="3"/>
      <c r="N129" s="1558"/>
      <c r="O129" s="1558"/>
      <c r="P129" s="205"/>
      <c r="Q129" s="257"/>
      <c r="R129" s="695"/>
      <c r="S129" s="205"/>
      <c r="T129" s="205"/>
      <c r="U129" s="1780"/>
      <c r="V129" s="1724"/>
      <c r="W129" s="1781"/>
      <c r="X129" s="1782"/>
      <c r="Y129" s="1721"/>
      <c r="Z129" s="1721"/>
      <c r="AA129" s="1721"/>
      <c r="AB129" s="1721"/>
      <c r="AC129" s="1721"/>
      <c r="AD129" s="1721"/>
      <c r="AE129" s="1721"/>
      <c r="AF129" s="1721"/>
      <c r="AG129" s="1721"/>
      <c r="AH129" s="1327"/>
      <c r="AI129" s="1327"/>
      <c r="AJ129" s="1327"/>
      <c r="AK129" s="1327"/>
      <c r="AQ129" s="696"/>
    </row>
    <row r="130" spans="1:43" s="564" customFormat="1" ht="15.75" x14ac:dyDescent="0.25">
      <c r="A130" s="21"/>
      <c r="B130" s="3"/>
      <c r="C130" s="3"/>
      <c r="D130" s="3"/>
      <c r="E130" s="3"/>
      <c r="F130" s="3"/>
      <c r="G130" s="3"/>
      <c r="H130" s="3"/>
      <c r="I130" s="3"/>
      <c r="J130" s="3"/>
      <c r="K130" s="205"/>
      <c r="L130" s="1466"/>
      <c r="M130" s="3"/>
      <c r="N130" s="1558"/>
      <c r="O130" s="1558"/>
      <c r="P130" s="205"/>
      <c r="Q130" s="257"/>
      <c r="R130" s="697"/>
      <c r="S130" s="205"/>
      <c r="T130" s="205"/>
      <c r="U130" s="1780"/>
      <c r="V130" s="1783"/>
      <c r="W130" s="1781"/>
      <c r="X130" s="1782"/>
      <c r="Y130" s="1721"/>
      <c r="Z130" s="1721"/>
      <c r="AA130" s="1721"/>
      <c r="AB130" s="1721"/>
      <c r="AC130" s="1721"/>
      <c r="AD130" s="1721"/>
      <c r="AE130" s="1721"/>
      <c r="AF130" s="1721"/>
      <c r="AG130" s="1721"/>
      <c r="AH130" s="1327"/>
      <c r="AI130" s="1327"/>
      <c r="AJ130" s="1327"/>
      <c r="AK130" s="1327"/>
      <c r="AQ130" s="696"/>
    </row>
    <row r="131" spans="1:43" s="564" customFormat="1" ht="15.75" x14ac:dyDescent="0.25">
      <c r="A131" s="21"/>
      <c r="B131" s="3"/>
      <c r="C131" s="3"/>
      <c r="D131" s="3"/>
      <c r="E131" s="3"/>
      <c r="F131" s="3"/>
      <c r="G131" s="3"/>
      <c r="H131" s="3"/>
      <c r="I131" s="3"/>
      <c r="J131" s="3"/>
      <c r="K131" s="205"/>
      <c r="L131" s="1466"/>
      <c r="M131" s="3"/>
      <c r="N131" s="1558"/>
      <c r="O131" s="1558"/>
      <c r="P131" s="205"/>
      <c r="Q131" s="257"/>
      <c r="R131" s="505"/>
      <c r="S131" s="205"/>
      <c r="T131" s="205"/>
      <c r="U131" s="1780"/>
      <c r="V131" s="1784"/>
      <c r="W131" s="1781"/>
      <c r="X131" s="1782"/>
      <c r="Y131" s="1721"/>
      <c r="Z131" s="1721"/>
      <c r="AA131" s="1721"/>
      <c r="AB131" s="1721"/>
      <c r="AC131" s="1721"/>
      <c r="AD131" s="1721"/>
      <c r="AE131" s="1721"/>
      <c r="AF131" s="1721"/>
      <c r="AG131" s="1721"/>
      <c r="AH131" s="1327"/>
      <c r="AI131" s="1327"/>
      <c r="AJ131" s="1327"/>
      <c r="AK131" s="1327"/>
      <c r="AQ131" s="696"/>
    </row>
    <row r="132" spans="1:43" s="564" customFormat="1" ht="15.75" x14ac:dyDescent="0.25">
      <c r="A132" s="21"/>
      <c r="B132" s="3"/>
      <c r="C132" s="3"/>
      <c r="D132" s="3"/>
      <c r="E132" s="3"/>
      <c r="F132" s="3"/>
      <c r="G132" s="3"/>
      <c r="H132" s="3"/>
      <c r="I132" s="3"/>
      <c r="J132" s="3"/>
      <c r="K132" s="205"/>
      <c r="L132" s="1466"/>
      <c r="M132" s="3"/>
      <c r="N132" s="1558"/>
      <c r="O132" s="1558"/>
      <c r="P132" s="205"/>
      <c r="Q132" s="257"/>
      <c r="R132" s="505"/>
      <c r="S132" s="205"/>
      <c r="T132" s="205"/>
      <c r="U132" s="1780"/>
      <c r="V132" s="1785"/>
      <c r="W132" s="1781"/>
      <c r="X132" s="1782"/>
      <c r="Y132" s="1721"/>
      <c r="Z132" s="1721"/>
      <c r="AA132" s="1721"/>
      <c r="AB132" s="1721"/>
      <c r="AC132" s="1721"/>
      <c r="AD132" s="1721"/>
      <c r="AE132" s="1721"/>
      <c r="AF132" s="1721"/>
      <c r="AG132" s="1721"/>
      <c r="AH132" s="1327"/>
      <c r="AI132" s="1327"/>
      <c r="AJ132" s="1327"/>
      <c r="AK132" s="1327"/>
      <c r="AQ132" s="696"/>
    </row>
    <row r="133" spans="1:43" s="564" customFormat="1" ht="15.75" x14ac:dyDescent="0.25">
      <c r="A133" s="21"/>
      <c r="B133" s="3"/>
      <c r="C133" s="3"/>
      <c r="D133" s="3"/>
      <c r="E133" s="3"/>
      <c r="F133" s="3"/>
      <c r="G133" s="3"/>
      <c r="H133" s="3"/>
      <c r="I133" s="3"/>
      <c r="J133" s="3"/>
      <c r="K133" s="205"/>
      <c r="L133" s="1466"/>
      <c r="M133" s="3"/>
      <c r="N133" s="1558"/>
      <c r="O133" s="1558"/>
      <c r="P133" s="205"/>
      <c r="Q133" s="257"/>
      <c r="R133" s="505"/>
      <c r="S133" s="205"/>
      <c r="T133" s="205"/>
      <c r="U133" s="1780"/>
      <c r="V133" s="1780"/>
      <c r="W133" s="1781"/>
      <c r="X133" s="1782"/>
      <c r="Y133" s="1721"/>
      <c r="Z133" s="1721"/>
      <c r="AA133" s="1721"/>
      <c r="AB133" s="1721"/>
      <c r="AC133" s="1721"/>
      <c r="AD133" s="1721"/>
      <c r="AE133" s="1721"/>
      <c r="AF133" s="1721"/>
      <c r="AG133" s="1721"/>
      <c r="AH133" s="1327"/>
      <c r="AI133" s="1327"/>
      <c r="AJ133" s="1327"/>
      <c r="AK133" s="1327"/>
      <c r="AQ133" s="696"/>
    </row>
    <row r="134" spans="1:43" s="564" customFormat="1" ht="15.75" x14ac:dyDescent="0.25">
      <c r="A134" s="3"/>
      <c r="B134" s="3"/>
      <c r="C134" s="3"/>
      <c r="D134" s="3"/>
      <c r="E134" s="3"/>
      <c r="F134" s="3"/>
      <c r="G134" s="1558"/>
      <c r="H134" s="1466"/>
      <c r="I134" s="3"/>
      <c r="J134" s="3"/>
      <c r="K134" s="698"/>
      <c r="L134" s="1466"/>
      <c r="M134" s="3"/>
      <c r="N134" s="3649" t="s">
        <v>1284</v>
      </c>
      <c r="O134" s="3649"/>
      <c r="P134" s="3649"/>
      <c r="Q134" s="3"/>
      <c r="R134" s="1466"/>
      <c r="S134" s="1466"/>
      <c r="T134" s="699"/>
      <c r="U134" s="1786"/>
      <c r="V134" s="1786"/>
      <c r="W134" s="1781"/>
      <c r="X134" s="1782"/>
      <c r="Y134" s="1721"/>
      <c r="Z134" s="1721"/>
      <c r="AA134" s="1787"/>
      <c r="AB134" s="1721"/>
      <c r="AC134" s="1787"/>
      <c r="AD134" s="1721"/>
      <c r="AE134" s="1787"/>
      <c r="AF134" s="1721"/>
      <c r="AG134" s="1787"/>
      <c r="AH134" s="1327"/>
      <c r="AI134" s="1327"/>
      <c r="AJ134" s="1327"/>
      <c r="AK134" s="1327"/>
      <c r="AQ134" s="696"/>
    </row>
    <row r="135" spans="1:43" s="564" customFormat="1" ht="15.75" x14ac:dyDescent="0.25">
      <c r="A135" s="3"/>
      <c r="B135" s="3"/>
      <c r="C135" s="3"/>
      <c r="D135" s="3"/>
      <c r="E135" s="3"/>
      <c r="F135" s="3"/>
      <c r="G135" s="1558"/>
      <c r="H135" s="1466"/>
      <c r="I135" s="3"/>
      <c r="J135" s="3"/>
      <c r="K135" s="698"/>
      <c r="L135" s="1466"/>
      <c r="M135" s="3"/>
      <c r="N135" s="400" t="s">
        <v>1285</v>
      </c>
      <c r="O135" s="3"/>
      <c r="P135" s="700"/>
      <c r="Q135" s="3"/>
      <c r="R135" s="1466"/>
      <c r="S135" s="1466"/>
      <c r="T135" s="701"/>
      <c r="U135" s="1786"/>
      <c r="V135" s="1786"/>
      <c r="W135" s="1781"/>
      <c r="X135" s="1782"/>
      <c r="Y135" s="1721"/>
      <c r="Z135" s="1721"/>
      <c r="AA135" s="1787"/>
      <c r="AB135" s="1721"/>
      <c r="AC135" s="1787"/>
      <c r="AD135" s="1721"/>
      <c r="AE135" s="1787"/>
      <c r="AF135" s="1721"/>
      <c r="AG135" s="1787"/>
      <c r="AH135" s="1327"/>
      <c r="AI135" s="1327"/>
      <c r="AJ135" s="1327"/>
      <c r="AK135" s="1327"/>
      <c r="AQ135" s="696"/>
    </row>
    <row r="136" spans="1:43" s="564" customFormat="1" ht="15.75" x14ac:dyDescent="0.25">
      <c r="A136" s="3"/>
      <c r="B136" s="3"/>
      <c r="C136" s="3"/>
      <c r="D136" s="3"/>
      <c r="E136" s="3"/>
      <c r="F136" s="3"/>
      <c r="G136" s="1558"/>
      <c r="H136" s="1466"/>
      <c r="I136" s="3"/>
      <c r="J136" s="3"/>
      <c r="K136" s="698"/>
      <c r="L136" s="1466"/>
      <c r="M136" s="3"/>
      <c r="N136" s="702"/>
      <c r="O136" s="3"/>
      <c r="P136" s="700"/>
      <c r="Q136" s="3"/>
      <c r="R136" s="1466"/>
      <c r="S136" s="1466"/>
      <c r="T136" s="701"/>
      <c r="U136" s="1786"/>
      <c r="V136" s="1786"/>
      <c r="W136" s="1781"/>
      <c r="X136" s="1782"/>
      <c r="Y136" s="1721"/>
      <c r="Z136" s="1721"/>
      <c r="AA136" s="1787"/>
      <c r="AB136" s="1721"/>
      <c r="AC136" s="1787"/>
      <c r="AD136" s="1721"/>
      <c r="AE136" s="1787"/>
      <c r="AF136" s="1721"/>
      <c r="AG136" s="1787"/>
      <c r="AH136" s="1327"/>
      <c r="AI136" s="1327"/>
      <c r="AJ136" s="1327"/>
      <c r="AK136" s="1327"/>
      <c r="AQ136" s="696"/>
    </row>
  </sheetData>
  <sheetProtection password="A60F" sheet="1" objects="1" scenarios="1"/>
  <mergeCells count="520">
    <mergeCell ref="AK37:AK41"/>
    <mergeCell ref="AL37:AL41"/>
    <mergeCell ref="AM37:AM41"/>
    <mergeCell ref="AN37:AN41"/>
    <mergeCell ref="AO37:AO41"/>
    <mergeCell ref="AP37:AP41"/>
    <mergeCell ref="AQ37:AQ41"/>
    <mergeCell ref="AJ37:AJ41"/>
    <mergeCell ref="AQ54:AQ74"/>
    <mergeCell ref="AQ44:AQ52"/>
    <mergeCell ref="AL44:AL52"/>
    <mergeCell ref="AM44:AM52"/>
    <mergeCell ref="AN44:AN52"/>
    <mergeCell ref="AK54:AK74"/>
    <mergeCell ref="AL54:AL74"/>
    <mergeCell ref="AM54:AM74"/>
    <mergeCell ref="AN54:AN74"/>
    <mergeCell ref="AK44:AK52"/>
    <mergeCell ref="AJ44:AJ52"/>
    <mergeCell ref="AE37:AE41"/>
    <mergeCell ref="AF37:AF41"/>
    <mergeCell ref="AG37:AG41"/>
    <mergeCell ref="AH37:AH41"/>
    <mergeCell ref="AI37:AI41"/>
    <mergeCell ref="T37:T41"/>
    <mergeCell ref="U37:U41"/>
    <mergeCell ref="Y37:Y41"/>
    <mergeCell ref="AC54:AC74"/>
    <mergeCell ref="AD54:AD74"/>
    <mergeCell ref="AE54:AE74"/>
    <mergeCell ref="AF54:AF74"/>
    <mergeCell ref="AI54:AI74"/>
    <mergeCell ref="AE44:AE52"/>
    <mergeCell ref="AF44:AF52"/>
    <mergeCell ref="AG44:AG52"/>
    <mergeCell ref="AH44:AH52"/>
    <mergeCell ref="AI44:AI52"/>
    <mergeCell ref="Y44:Y52"/>
    <mergeCell ref="Z44:Z52"/>
    <mergeCell ref="U71:U73"/>
    <mergeCell ref="T71:T73"/>
    <mergeCell ref="T67:T70"/>
    <mergeCell ref="U54:U55"/>
    <mergeCell ref="D37:D41"/>
    <mergeCell ref="F37:F41"/>
    <mergeCell ref="G37:G41"/>
    <mergeCell ref="I37:I41"/>
    <mergeCell ref="J37:J41"/>
    <mergeCell ref="K37:K41"/>
    <mergeCell ref="L37:L41"/>
    <mergeCell ref="M37:M41"/>
    <mergeCell ref="N37:N41"/>
    <mergeCell ref="A128:I128"/>
    <mergeCell ref="AJ121:AJ123"/>
    <mergeCell ref="N134:P134"/>
    <mergeCell ref="AB121:AB123"/>
    <mergeCell ref="AC121:AC123"/>
    <mergeCell ref="AD121:AD123"/>
    <mergeCell ref="AE121:AE123"/>
    <mergeCell ref="AF121:AF123"/>
    <mergeCell ref="AG121:AG123"/>
    <mergeCell ref="AH121:AH123"/>
    <mergeCell ref="AI121:AI123"/>
    <mergeCell ref="AA121:AA123"/>
    <mergeCell ref="J126:J127"/>
    <mergeCell ref="K126:K127"/>
    <mergeCell ref="N126:N127"/>
    <mergeCell ref="O126:O127"/>
    <mergeCell ref="P126:P127"/>
    <mergeCell ref="Q126:Q127"/>
    <mergeCell ref="R126:R127"/>
    <mergeCell ref="S126:S127"/>
    <mergeCell ref="T126:T127"/>
    <mergeCell ref="W121:W122"/>
    <mergeCell ref="X121:X122"/>
    <mergeCell ref="AQ111:AQ113"/>
    <mergeCell ref="J121:J122"/>
    <mergeCell ref="K121:K122"/>
    <mergeCell ref="L121:L122"/>
    <mergeCell ref="M121:M122"/>
    <mergeCell ref="N121:N123"/>
    <mergeCell ref="O121:O123"/>
    <mergeCell ref="P121:P123"/>
    <mergeCell ref="Q121:Q122"/>
    <mergeCell ref="R121:R123"/>
    <mergeCell ref="S121:S123"/>
    <mergeCell ref="T121:T122"/>
    <mergeCell ref="U121:U122"/>
    <mergeCell ref="V121:V122"/>
    <mergeCell ref="Y121:Y123"/>
    <mergeCell ref="Z121:Z123"/>
    <mergeCell ref="AK121:AK123"/>
    <mergeCell ref="AL121:AL123"/>
    <mergeCell ref="AM121:AM123"/>
    <mergeCell ref="AN121:AN123"/>
    <mergeCell ref="AO121:AO122"/>
    <mergeCell ref="AP121:AP122"/>
    <mergeCell ref="AQ121:AQ123"/>
    <mergeCell ref="AH111:AH113"/>
    <mergeCell ref="AN111:AN113"/>
    <mergeCell ref="AO111:AO112"/>
    <mergeCell ref="AP111:AP112"/>
    <mergeCell ref="AB92:AB96"/>
    <mergeCell ref="AC92:AC96"/>
    <mergeCell ref="AL105:AL108"/>
    <mergeCell ref="AM105:AM108"/>
    <mergeCell ref="AN105:AN108"/>
    <mergeCell ref="AD98:AD103"/>
    <mergeCell ref="AE98:AE103"/>
    <mergeCell ref="AF98:AF103"/>
    <mergeCell ref="AG98:AG103"/>
    <mergeCell ref="AH98:AH103"/>
    <mergeCell ref="AI98:AI103"/>
    <mergeCell ref="AJ98:AJ103"/>
    <mergeCell ref="AK98:AK103"/>
    <mergeCell ref="AL98:AL103"/>
    <mergeCell ref="AH105:AH108"/>
    <mergeCell ref="AI105:AI108"/>
    <mergeCell ref="AF111:AF113"/>
    <mergeCell ref="AG111:AG113"/>
    <mergeCell ref="AJ105:AJ108"/>
    <mergeCell ref="AK105:AK108"/>
    <mergeCell ref="AI111:AI113"/>
    <mergeCell ref="AJ111:AJ113"/>
    <mergeCell ref="AK111:AK113"/>
    <mergeCell ref="AL111:AL113"/>
    <mergeCell ref="AM111:AM113"/>
    <mergeCell ref="AD11:AD25"/>
    <mergeCell ref="Z11:Z25"/>
    <mergeCell ref="AA37:AA41"/>
    <mergeCell ref="AB37:AB41"/>
    <mergeCell ref="AQ105:AQ108"/>
    <mergeCell ref="AE111:AE113"/>
    <mergeCell ref="AD105:AD108"/>
    <mergeCell ref="AE105:AE108"/>
    <mergeCell ref="AF105:AF108"/>
    <mergeCell ref="Z98:Z103"/>
    <mergeCell ref="AA98:AA103"/>
    <mergeCell ref="AB98:AB103"/>
    <mergeCell ref="AQ92:AQ96"/>
    <mergeCell ref="AQ98:AQ103"/>
    <mergeCell ref="AK92:AK96"/>
    <mergeCell ref="AL92:AL96"/>
    <mergeCell ref="AM92:AM96"/>
    <mergeCell ref="AN92:AN96"/>
    <mergeCell ref="AE92:AE96"/>
    <mergeCell ref="AF92:AF96"/>
    <mergeCell ref="J111:J112"/>
    <mergeCell ref="K111:K112"/>
    <mergeCell ref="L111:L112"/>
    <mergeCell ref="M111:M112"/>
    <mergeCell ref="O111:O113"/>
    <mergeCell ref="P111:P113"/>
    <mergeCell ref="Q111:Q112"/>
    <mergeCell ref="R111:R113"/>
    <mergeCell ref="S111:S113"/>
    <mergeCell ref="J105:J108"/>
    <mergeCell ref="K105:K108"/>
    <mergeCell ref="L105:L108"/>
    <mergeCell ref="M105:M108"/>
    <mergeCell ref="O105:O108"/>
    <mergeCell ref="P105:P108"/>
    <mergeCell ref="R105:R108"/>
    <mergeCell ref="S105:S108"/>
    <mergeCell ref="Y98:Y103"/>
    <mergeCell ref="O98:O103"/>
    <mergeCell ref="P98:P103"/>
    <mergeCell ref="S98:S103"/>
    <mergeCell ref="T98:T103"/>
    <mergeCell ref="Q103:Q104"/>
    <mergeCell ref="U101:U102"/>
    <mergeCell ref="J103:J104"/>
    <mergeCell ref="K103:K104"/>
    <mergeCell ref="U103:U104"/>
    <mergeCell ref="N99:N103"/>
    <mergeCell ref="J101:J102"/>
    <mergeCell ref="K101:K102"/>
    <mergeCell ref="R98:R104"/>
    <mergeCell ref="Q99:Q100"/>
    <mergeCell ref="Q101:Q102"/>
    <mergeCell ref="AG92:AG96"/>
    <mergeCell ref="AH92:AH96"/>
    <mergeCell ref="AI92:AI96"/>
    <mergeCell ref="AJ92:AJ96"/>
    <mergeCell ref="Y92:Y96"/>
    <mergeCell ref="Z92:Z96"/>
    <mergeCell ref="AA92:AA96"/>
    <mergeCell ref="AD92:AD96"/>
    <mergeCell ref="AC98:AC103"/>
    <mergeCell ref="AM98:AM103"/>
    <mergeCell ref="AN98:AN103"/>
    <mergeCell ref="G84:I89"/>
    <mergeCell ref="J84:J89"/>
    <mergeCell ref="K84:K89"/>
    <mergeCell ref="L84:L89"/>
    <mergeCell ref="M84:M89"/>
    <mergeCell ref="O84:O89"/>
    <mergeCell ref="AQ84:AQ89"/>
    <mergeCell ref="O92:O96"/>
    <mergeCell ref="P92:P96"/>
    <mergeCell ref="R92:R96"/>
    <mergeCell ref="S92:S96"/>
    <mergeCell ref="W92:W96"/>
    <mergeCell ref="X92:X96"/>
    <mergeCell ref="AH84:AH89"/>
    <mergeCell ref="AI84:AI89"/>
    <mergeCell ref="AJ84:AJ89"/>
    <mergeCell ref="AK84:AK89"/>
    <mergeCell ref="AL84:AL89"/>
    <mergeCell ref="AM84:AM89"/>
    <mergeCell ref="AB84:AB89"/>
    <mergeCell ref="AC84:AC89"/>
    <mergeCell ref="AD84:AD89"/>
    <mergeCell ref="AE84:AE89"/>
    <mergeCell ref="AF84:AF89"/>
    <mergeCell ref="AO80:AO81"/>
    <mergeCell ref="AP80:AP81"/>
    <mergeCell ref="P84:P89"/>
    <mergeCell ref="Q84:Q89"/>
    <mergeCell ref="R84:R89"/>
    <mergeCell ref="S84:S89"/>
    <mergeCell ref="T84:T89"/>
    <mergeCell ref="AG84:AG89"/>
    <mergeCell ref="Y84:Y89"/>
    <mergeCell ref="Z84:Z89"/>
    <mergeCell ref="W80:W81"/>
    <mergeCell ref="X80:X81"/>
    <mergeCell ref="AA76:AA82"/>
    <mergeCell ref="AB76:AB82"/>
    <mergeCell ref="AC76:AC82"/>
    <mergeCell ref="AN84:AN89"/>
    <mergeCell ref="AO84:AO89"/>
    <mergeCell ref="AP84:AP89"/>
    <mergeCell ref="AA84:AA89"/>
    <mergeCell ref="W85:W89"/>
    <mergeCell ref="AK76:AK82"/>
    <mergeCell ref="AE76:AE82"/>
    <mergeCell ref="AH76:AH82"/>
    <mergeCell ref="AI76:AI82"/>
    <mergeCell ref="AJ76:AJ82"/>
    <mergeCell ref="Y76:Y82"/>
    <mergeCell ref="Z76:Z82"/>
    <mergeCell ref="AD76:AD82"/>
    <mergeCell ref="S76:S82"/>
    <mergeCell ref="T78:T79"/>
    <mergeCell ref="U78:U79"/>
    <mergeCell ref="T60:T62"/>
    <mergeCell ref="Y54:Y74"/>
    <mergeCell ref="Z54:Z74"/>
    <mergeCell ref="AA54:AA74"/>
    <mergeCell ref="AB54:AB74"/>
    <mergeCell ref="AF76:AF82"/>
    <mergeCell ref="AG76:AG82"/>
    <mergeCell ref="O76:O82"/>
    <mergeCell ref="P76:P82"/>
    <mergeCell ref="R76:R82"/>
    <mergeCell ref="U58:U59"/>
    <mergeCell ref="T58:T59"/>
    <mergeCell ref="Q54:Q55"/>
    <mergeCell ref="Q67:Q70"/>
    <mergeCell ref="T54:T55"/>
    <mergeCell ref="U67:U68"/>
    <mergeCell ref="AQ76:AQ82"/>
    <mergeCell ref="AL76:AL82"/>
    <mergeCell ref="AM76:AM82"/>
    <mergeCell ref="AN76:AN82"/>
    <mergeCell ref="J63:J65"/>
    <mergeCell ref="K63:K65"/>
    <mergeCell ref="L63:L65"/>
    <mergeCell ref="M63:M65"/>
    <mergeCell ref="Q63:Q65"/>
    <mergeCell ref="T63:T65"/>
    <mergeCell ref="AH54:AH74"/>
    <mergeCell ref="L71:L73"/>
    <mergeCell ref="K71:K73"/>
    <mergeCell ref="J71:J73"/>
    <mergeCell ref="J58:J59"/>
    <mergeCell ref="K58:K59"/>
    <mergeCell ref="L58:L59"/>
    <mergeCell ref="M58:M59"/>
    <mergeCell ref="Q58:Q59"/>
    <mergeCell ref="J60:J62"/>
    <mergeCell ref="K60:K62"/>
    <mergeCell ref="L60:L62"/>
    <mergeCell ref="AG54:AG74"/>
    <mergeCell ref="AJ54:AJ74"/>
    <mergeCell ref="AA44:AA52"/>
    <mergeCell ref="AB44:AB52"/>
    <mergeCell ref="AC44:AC52"/>
    <mergeCell ref="AD44:AD52"/>
    <mergeCell ref="AB27:AB36"/>
    <mergeCell ref="AC27:AC36"/>
    <mergeCell ref="AD27:AD36"/>
    <mergeCell ref="N27:N36"/>
    <mergeCell ref="O27:O36"/>
    <mergeCell ref="Z37:Z41"/>
    <mergeCell ref="AC37:AC41"/>
    <mergeCell ref="AD37:AD41"/>
    <mergeCell ref="N46:N52"/>
    <mergeCell ref="S44:S52"/>
    <mergeCell ref="U33:U34"/>
    <mergeCell ref="P27:P36"/>
    <mergeCell ref="R27:R36"/>
    <mergeCell ref="S27:S36"/>
    <mergeCell ref="T27:T36"/>
    <mergeCell ref="Q27:Q28"/>
    <mergeCell ref="Q33:Q34"/>
    <mergeCell ref="O37:O41"/>
    <mergeCell ref="P37:P41"/>
    <mergeCell ref="Q37:Q41"/>
    <mergeCell ref="G54:I74"/>
    <mergeCell ref="O54:O74"/>
    <mergeCell ref="P54:P74"/>
    <mergeCell ref="R54:R74"/>
    <mergeCell ref="S54:S74"/>
    <mergeCell ref="O44:O52"/>
    <mergeCell ref="P44:P52"/>
    <mergeCell ref="R44:R52"/>
    <mergeCell ref="Q71:Q73"/>
    <mergeCell ref="M71:M73"/>
    <mergeCell ref="L67:L69"/>
    <mergeCell ref="M67:M69"/>
    <mergeCell ref="M60:M62"/>
    <mergeCell ref="Q60:Q62"/>
    <mergeCell ref="J67:J70"/>
    <mergeCell ref="K67:K70"/>
    <mergeCell ref="J54:J55"/>
    <mergeCell ref="K54:K55"/>
    <mergeCell ref="J27:J28"/>
    <mergeCell ref="K27:K28"/>
    <mergeCell ref="U27:U28"/>
    <mergeCell ref="J45:J46"/>
    <mergeCell ref="K45:K46"/>
    <mergeCell ref="Q45:Q46"/>
    <mergeCell ref="T45:T46"/>
    <mergeCell ref="U45:U46"/>
    <mergeCell ref="Y11:Y25"/>
    <mergeCell ref="K22:K25"/>
    <mergeCell ref="L22:L25"/>
    <mergeCell ref="M22:M25"/>
    <mergeCell ref="Q22:Q25"/>
    <mergeCell ref="T22:T25"/>
    <mergeCell ref="X11:X12"/>
    <mergeCell ref="J35:J36"/>
    <mergeCell ref="K35:K36"/>
    <mergeCell ref="Q35:Q36"/>
    <mergeCell ref="J33:J34"/>
    <mergeCell ref="K33:K34"/>
    <mergeCell ref="R37:R41"/>
    <mergeCell ref="S37:S41"/>
    <mergeCell ref="AA11:AA25"/>
    <mergeCell ref="AB11:AB25"/>
    <mergeCell ref="AC11:AC25"/>
    <mergeCell ref="W11:W12"/>
    <mergeCell ref="AQ27:AQ36"/>
    <mergeCell ref="J30:J31"/>
    <mergeCell ref="K30:K31"/>
    <mergeCell ref="L30:L31"/>
    <mergeCell ref="M30:M31"/>
    <mergeCell ref="Q30:Q31"/>
    <mergeCell ref="AK27:AK36"/>
    <mergeCell ref="AL27:AL36"/>
    <mergeCell ref="AM27:AM36"/>
    <mergeCell ref="AN27:AN36"/>
    <mergeCell ref="AE27:AE36"/>
    <mergeCell ref="AF27:AF36"/>
    <mergeCell ref="AG27:AG36"/>
    <mergeCell ref="AH27:AH36"/>
    <mergeCell ref="AI27:AI36"/>
    <mergeCell ref="AJ27:AJ36"/>
    <mergeCell ref="Y27:Y36"/>
    <mergeCell ref="Z27:Z36"/>
    <mergeCell ref="AA27:AA36"/>
    <mergeCell ref="AQ11:AQ25"/>
    <mergeCell ref="AK11:AK25"/>
    <mergeCell ref="AL11:AL25"/>
    <mergeCell ref="AM11:AM25"/>
    <mergeCell ref="AN11:AN25"/>
    <mergeCell ref="AE11:AE25"/>
    <mergeCell ref="AF11:AF25"/>
    <mergeCell ref="AG11:AG25"/>
    <mergeCell ref="AH11:AH25"/>
    <mergeCell ref="AI11:AI25"/>
    <mergeCell ref="AJ11:AJ25"/>
    <mergeCell ref="AO11:AO15"/>
    <mergeCell ref="AP11:AP15"/>
    <mergeCell ref="AO16:AO19"/>
    <mergeCell ref="AP16:AP19"/>
    <mergeCell ref="AO22:AO25"/>
    <mergeCell ref="AP22:AP25"/>
    <mergeCell ref="J11:J15"/>
    <mergeCell ref="K11:K15"/>
    <mergeCell ref="L11:L15"/>
    <mergeCell ref="M11:M15"/>
    <mergeCell ref="O11:O25"/>
    <mergeCell ref="P11:P25"/>
    <mergeCell ref="Q11:Q15"/>
    <mergeCell ref="R11:R25"/>
    <mergeCell ref="V11:V12"/>
    <mergeCell ref="J16:J21"/>
    <mergeCell ref="K16:K21"/>
    <mergeCell ref="L16:L21"/>
    <mergeCell ref="M16:M21"/>
    <mergeCell ref="Q16:Q21"/>
    <mergeCell ref="T16:T21"/>
    <mergeCell ref="U16:U19"/>
    <mergeCell ref="J22:J25"/>
    <mergeCell ref="U22:U25"/>
    <mergeCell ref="K6:K7"/>
    <mergeCell ref="L6:L7"/>
    <mergeCell ref="M6:M7"/>
    <mergeCell ref="N6:N7"/>
    <mergeCell ref="O6:O7"/>
    <mergeCell ref="P6:P7"/>
    <mergeCell ref="U11:U15"/>
    <mergeCell ref="S11:S25"/>
    <mergeCell ref="T11:T15"/>
    <mergeCell ref="N11:N25"/>
    <mergeCell ref="U20:U21"/>
    <mergeCell ref="A1:AP4"/>
    <mergeCell ref="A5:M5"/>
    <mergeCell ref="P5:AQ5"/>
    <mergeCell ref="A6:A7"/>
    <mergeCell ref="B6:C7"/>
    <mergeCell ref="D6:D7"/>
    <mergeCell ref="E6:F7"/>
    <mergeCell ref="G6:G7"/>
    <mergeCell ref="H6:I7"/>
    <mergeCell ref="J6:J7"/>
    <mergeCell ref="AP6:AP7"/>
    <mergeCell ref="AQ6:AQ7"/>
    <mergeCell ref="AA6:AD6"/>
    <mergeCell ref="AE6:AJ6"/>
    <mergeCell ref="AK6:AM6"/>
    <mergeCell ref="AN6:AN7"/>
    <mergeCell ref="AO6:AO7"/>
    <mergeCell ref="Y6:Z6"/>
    <mergeCell ref="Q6:Q7"/>
    <mergeCell ref="R6:R7"/>
    <mergeCell ref="S6:S7"/>
    <mergeCell ref="T6:T7"/>
    <mergeCell ref="U6:U7"/>
    <mergeCell ref="X6:X7"/>
    <mergeCell ref="AG115:AG117"/>
    <mergeCell ref="U115:U117"/>
    <mergeCell ref="Q105:Q108"/>
    <mergeCell ref="AG105:AG108"/>
    <mergeCell ref="T105:T108"/>
    <mergeCell ref="Y105:Y108"/>
    <mergeCell ref="Z105:Z108"/>
    <mergeCell ref="AA105:AA108"/>
    <mergeCell ref="AB105:AB108"/>
    <mergeCell ref="AC105:AC108"/>
    <mergeCell ref="T111:T112"/>
    <mergeCell ref="U111:U112"/>
    <mergeCell ref="V111:V112"/>
    <mergeCell ref="Y111:Y113"/>
    <mergeCell ref="Z111:Z113"/>
    <mergeCell ref="AA111:AA113"/>
    <mergeCell ref="AB111:AB113"/>
    <mergeCell ref="AC111:AC113"/>
    <mergeCell ref="AD111:AD113"/>
    <mergeCell ref="U105:U106"/>
    <mergeCell ref="AQ115:AQ117"/>
    <mergeCell ref="G115:G117"/>
    <mergeCell ref="I115:I117"/>
    <mergeCell ref="J115:J117"/>
    <mergeCell ref="K115:K117"/>
    <mergeCell ref="L115:L117"/>
    <mergeCell ref="M115:M117"/>
    <mergeCell ref="AO115:AO117"/>
    <mergeCell ref="AP115:AP117"/>
    <mergeCell ref="AH115:AH117"/>
    <mergeCell ref="AI115:AI117"/>
    <mergeCell ref="AJ115:AJ117"/>
    <mergeCell ref="AK115:AK117"/>
    <mergeCell ref="AL115:AL117"/>
    <mergeCell ref="AM115:AM117"/>
    <mergeCell ref="AN115:AN117"/>
    <mergeCell ref="Y115:Y117"/>
    <mergeCell ref="Z115:Z117"/>
    <mergeCell ref="AA115:AA117"/>
    <mergeCell ref="AB115:AB117"/>
    <mergeCell ref="AC115:AC117"/>
    <mergeCell ref="AD115:AD117"/>
    <mergeCell ref="AE115:AE117"/>
    <mergeCell ref="AF115:AF117"/>
    <mergeCell ref="N105:N108"/>
    <mergeCell ref="W111:W112"/>
    <mergeCell ref="X111:X112"/>
    <mergeCell ref="N111:N113"/>
    <mergeCell ref="N115:N117"/>
    <mergeCell ref="O115:O117"/>
    <mergeCell ref="P115:P117"/>
    <mergeCell ref="Q115:Q117"/>
    <mergeCell ref="R115:R117"/>
    <mergeCell ref="S115:S117"/>
    <mergeCell ref="T115:T117"/>
    <mergeCell ref="X85:X89"/>
    <mergeCell ref="J99:J100"/>
    <mergeCell ref="U99:U100"/>
    <mergeCell ref="K99:K100"/>
    <mergeCell ref="J78:J79"/>
    <mergeCell ref="K78:K79"/>
    <mergeCell ref="J76:J77"/>
    <mergeCell ref="K76:K77"/>
    <mergeCell ref="T76:T77"/>
    <mergeCell ref="U76:U77"/>
    <mergeCell ref="Q76:Q77"/>
    <mergeCell ref="Q78:Q79"/>
    <mergeCell ref="J80:J81"/>
    <mergeCell ref="K80:K81"/>
    <mergeCell ref="L80:L81"/>
    <mergeCell ref="M80:M81"/>
    <mergeCell ref="Q80:Q81"/>
    <mergeCell ref="T80:T81"/>
    <mergeCell ref="U80:U81"/>
    <mergeCell ref="V80:V81"/>
    <mergeCell ref="V85:V88"/>
    <mergeCell ref="U84:U8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V158"/>
  <sheetViews>
    <sheetView showGridLines="0" zoomScale="60" zoomScaleNormal="60" workbookViewId="0">
      <selection sqref="A1:AL4"/>
    </sheetView>
  </sheetViews>
  <sheetFormatPr baseColWidth="10" defaultColWidth="11.42578125" defaultRowHeight="14.25" x14ac:dyDescent="0.2"/>
  <cols>
    <col min="1" max="5" width="19.85546875" style="404" customWidth="1"/>
    <col min="6" max="6" width="25.140625" style="1042" customWidth="1"/>
    <col min="7" max="7" width="19.85546875" style="404" customWidth="1"/>
    <col min="8" max="8" width="30.85546875" style="1041" customWidth="1"/>
    <col min="9" max="9" width="19.140625" style="1041" customWidth="1"/>
    <col min="10" max="10" width="21" style="404" customWidth="1"/>
    <col min="11" max="11" width="37.85546875" style="404" customWidth="1"/>
    <col min="12" max="12" width="19.7109375" style="404" customWidth="1"/>
    <col min="13" max="13" width="29.5703125" style="1041" customWidth="1"/>
    <col min="14" max="14" width="12.5703125" style="404" customWidth="1"/>
    <col min="15" max="15" width="21.28515625" style="724" customWidth="1"/>
    <col min="16" max="16" width="24.85546875" style="1041" customWidth="1"/>
    <col min="17" max="17" width="36.7109375" style="1041" customWidth="1"/>
    <col min="18" max="18" width="45.28515625" style="835" customWidth="1"/>
    <col min="19" max="19" width="25.42578125" style="724" customWidth="1"/>
    <col min="20" max="20" width="12.42578125" style="1042" customWidth="1"/>
    <col min="21" max="21" width="16.42578125" style="1041" customWidth="1"/>
    <col min="22" max="22" width="10" style="404" customWidth="1"/>
    <col min="23" max="23" width="8.5703125" style="404" customWidth="1"/>
    <col min="24" max="25" width="9.42578125" style="404" customWidth="1"/>
    <col min="26" max="26" width="10" style="404" customWidth="1"/>
    <col min="27" max="27" width="11.42578125" style="404" customWidth="1"/>
    <col min="28" max="28" width="9.42578125" style="404" customWidth="1"/>
    <col min="29" max="29" width="9.5703125" style="404" customWidth="1"/>
    <col min="30" max="30" width="6.42578125" style="404" customWidth="1"/>
    <col min="31" max="31" width="6.28515625" style="404" customWidth="1"/>
    <col min="32" max="32" width="6.140625" style="404" customWidth="1"/>
    <col min="33" max="33" width="6.7109375" style="404" customWidth="1"/>
    <col min="34" max="34" width="7" style="404" customWidth="1"/>
    <col min="35" max="35" width="7.5703125" style="404" customWidth="1"/>
    <col min="36" max="36" width="6.42578125" style="404" customWidth="1"/>
    <col min="37" max="37" width="9.85546875" style="404" customWidth="1"/>
    <col min="38" max="38" width="18" style="404" customWidth="1"/>
    <col min="39" max="39" width="21.42578125" style="404" customWidth="1"/>
    <col min="40" max="40" width="27.85546875" style="1041" customWidth="1"/>
    <col min="41" max="41" width="32.85546875" style="2428" customWidth="1"/>
    <col min="42" max="45" width="11.42578125" style="835"/>
    <col min="46" max="256" width="11.42578125" style="404"/>
    <col min="257" max="257" width="13.5703125" style="404" customWidth="1"/>
    <col min="258" max="258" width="19" style="404" customWidth="1"/>
    <col min="259" max="259" width="13.5703125" style="404" customWidth="1"/>
    <col min="260" max="260" width="19.7109375" style="404" customWidth="1"/>
    <col min="261" max="261" width="13.5703125" style="404" customWidth="1"/>
    <col min="262" max="263" width="14.7109375" style="404" customWidth="1"/>
    <col min="264" max="264" width="36.140625" style="404" customWidth="1"/>
    <col min="265" max="265" width="29.42578125" style="404" customWidth="1"/>
    <col min="266" max="266" width="16" style="404" customWidth="1"/>
    <col min="267" max="267" width="38.28515625" style="404" customWidth="1"/>
    <col min="268" max="268" width="12" style="404" customWidth="1"/>
    <col min="269" max="269" width="38.140625" style="404" customWidth="1"/>
    <col min="270" max="270" width="17.85546875" style="404" bestFit="1" customWidth="1"/>
    <col min="271" max="271" width="24.7109375" style="404" customWidth="1"/>
    <col min="272" max="272" width="36.42578125" style="404" customWidth="1"/>
    <col min="273" max="273" width="46.7109375" style="404" customWidth="1"/>
    <col min="274" max="274" width="43.7109375" style="404" customWidth="1"/>
    <col min="275" max="275" width="25.42578125" style="404" customWidth="1"/>
    <col min="276" max="276" width="12.42578125" style="404" customWidth="1"/>
    <col min="277" max="277" width="16.42578125" style="404" customWidth="1"/>
    <col min="278" max="278" width="13.42578125" style="404" customWidth="1"/>
    <col min="279" max="279" width="8.5703125" style="404" customWidth="1"/>
    <col min="280" max="283" width="11.42578125" style="404" customWidth="1"/>
    <col min="284" max="284" width="12.7109375" style="404" customWidth="1"/>
    <col min="285" max="285" width="11.85546875" style="404" customWidth="1"/>
    <col min="286" max="286" width="7.85546875" style="404" customWidth="1"/>
    <col min="287" max="287" width="7.5703125" style="404" customWidth="1"/>
    <col min="288" max="288" width="8.85546875" style="404" customWidth="1"/>
    <col min="289" max="289" width="8.140625" style="404" customWidth="1"/>
    <col min="290" max="290" width="7.85546875" style="404" customWidth="1"/>
    <col min="291" max="291" width="8.5703125" style="404" customWidth="1"/>
    <col min="292" max="292" width="8.28515625" style="404" customWidth="1"/>
    <col min="293" max="293" width="11.42578125" style="404" customWidth="1"/>
    <col min="294" max="294" width="18" style="404" customWidth="1"/>
    <col min="295" max="295" width="21.42578125" style="404" customWidth="1"/>
    <col min="296" max="296" width="27.85546875" style="404" customWidth="1"/>
    <col min="297" max="512" width="11.42578125" style="404"/>
    <col min="513" max="513" width="13.5703125" style="404" customWidth="1"/>
    <col min="514" max="514" width="19" style="404" customWidth="1"/>
    <col min="515" max="515" width="13.5703125" style="404" customWidth="1"/>
    <col min="516" max="516" width="19.7109375" style="404" customWidth="1"/>
    <col min="517" max="517" width="13.5703125" style="404" customWidth="1"/>
    <col min="518" max="519" width="14.7109375" style="404" customWidth="1"/>
    <col min="520" max="520" width="36.140625" style="404" customWidth="1"/>
    <col min="521" max="521" width="29.42578125" style="404" customWidth="1"/>
    <col min="522" max="522" width="16" style="404" customWidth="1"/>
    <col min="523" max="523" width="38.28515625" style="404" customWidth="1"/>
    <col min="524" max="524" width="12" style="404" customWidth="1"/>
    <col min="525" max="525" width="38.140625" style="404" customWidth="1"/>
    <col min="526" max="526" width="17.85546875" style="404" bestFit="1" customWidth="1"/>
    <col min="527" max="527" width="24.7109375" style="404" customWidth="1"/>
    <col min="528" max="528" width="36.42578125" style="404" customWidth="1"/>
    <col min="529" max="529" width="46.7109375" style="404" customWidth="1"/>
    <col min="530" max="530" width="43.7109375" style="404" customWidth="1"/>
    <col min="531" max="531" width="25.42578125" style="404" customWidth="1"/>
    <col min="532" max="532" width="12.42578125" style="404" customWidth="1"/>
    <col min="533" max="533" width="16.42578125" style="404" customWidth="1"/>
    <col min="534" max="534" width="13.42578125" style="404" customWidth="1"/>
    <col min="535" max="535" width="8.5703125" style="404" customWidth="1"/>
    <col min="536" max="539" width="11.42578125" style="404" customWidth="1"/>
    <col min="540" max="540" width="12.7109375" style="404" customWidth="1"/>
    <col min="541" max="541" width="11.85546875" style="404" customWidth="1"/>
    <col min="542" max="542" width="7.85546875" style="404" customWidth="1"/>
    <col min="543" max="543" width="7.5703125" style="404" customWidth="1"/>
    <col min="544" max="544" width="8.85546875" style="404" customWidth="1"/>
    <col min="545" max="545" width="8.140625" style="404" customWidth="1"/>
    <col min="546" max="546" width="7.85546875" style="404" customWidth="1"/>
    <col min="547" max="547" width="8.5703125" style="404" customWidth="1"/>
    <col min="548" max="548" width="8.28515625" style="404" customWidth="1"/>
    <col min="549" max="549" width="11.42578125" style="404" customWidth="1"/>
    <col min="550" max="550" width="18" style="404" customWidth="1"/>
    <col min="551" max="551" width="21.42578125" style="404" customWidth="1"/>
    <col min="552" max="552" width="27.85546875" style="404" customWidth="1"/>
    <col min="553" max="768" width="11.42578125" style="404"/>
    <col min="769" max="769" width="13.5703125" style="404" customWidth="1"/>
    <col min="770" max="770" width="19" style="404" customWidth="1"/>
    <col min="771" max="771" width="13.5703125" style="404" customWidth="1"/>
    <col min="772" max="772" width="19.7109375" style="404" customWidth="1"/>
    <col min="773" max="773" width="13.5703125" style="404" customWidth="1"/>
    <col min="774" max="775" width="14.7109375" style="404" customWidth="1"/>
    <col min="776" max="776" width="36.140625" style="404" customWidth="1"/>
    <col min="777" max="777" width="29.42578125" style="404" customWidth="1"/>
    <col min="778" max="778" width="16" style="404" customWidth="1"/>
    <col min="779" max="779" width="38.28515625" style="404" customWidth="1"/>
    <col min="780" max="780" width="12" style="404" customWidth="1"/>
    <col min="781" max="781" width="38.140625" style="404" customWidth="1"/>
    <col min="782" max="782" width="17.85546875" style="404" bestFit="1" customWidth="1"/>
    <col min="783" max="783" width="24.7109375" style="404" customWidth="1"/>
    <col min="784" max="784" width="36.42578125" style="404" customWidth="1"/>
    <col min="785" max="785" width="46.7109375" style="404" customWidth="1"/>
    <col min="786" max="786" width="43.7109375" style="404" customWidth="1"/>
    <col min="787" max="787" width="25.42578125" style="404" customWidth="1"/>
    <col min="788" max="788" width="12.42578125" style="404" customWidth="1"/>
    <col min="789" max="789" width="16.42578125" style="404" customWidth="1"/>
    <col min="790" max="790" width="13.42578125" style="404" customWidth="1"/>
    <col min="791" max="791" width="8.5703125" style="404" customWidth="1"/>
    <col min="792" max="795" width="11.42578125" style="404" customWidth="1"/>
    <col min="796" max="796" width="12.7109375" style="404" customWidth="1"/>
    <col min="797" max="797" width="11.85546875" style="404" customWidth="1"/>
    <col min="798" max="798" width="7.85546875" style="404" customWidth="1"/>
    <col min="799" max="799" width="7.5703125" style="404" customWidth="1"/>
    <col min="800" max="800" width="8.85546875" style="404" customWidth="1"/>
    <col min="801" max="801" width="8.140625" style="404" customWidth="1"/>
    <col min="802" max="802" width="7.85546875" style="404" customWidth="1"/>
    <col min="803" max="803" width="8.5703125" style="404" customWidth="1"/>
    <col min="804" max="804" width="8.28515625" style="404" customWidth="1"/>
    <col min="805" max="805" width="11.42578125" style="404" customWidth="1"/>
    <col min="806" max="806" width="18" style="404" customWidth="1"/>
    <col min="807" max="807" width="21.42578125" style="404" customWidth="1"/>
    <col min="808" max="808" width="27.85546875" style="404" customWidth="1"/>
    <col min="809" max="1024" width="11.42578125" style="404"/>
    <col min="1025" max="1025" width="13.5703125" style="404" customWidth="1"/>
    <col min="1026" max="1026" width="19" style="404" customWidth="1"/>
    <col min="1027" max="1027" width="13.5703125" style="404" customWidth="1"/>
    <col min="1028" max="1028" width="19.7109375" style="404" customWidth="1"/>
    <col min="1029" max="1029" width="13.5703125" style="404" customWidth="1"/>
    <col min="1030" max="1031" width="14.7109375" style="404" customWidth="1"/>
    <col min="1032" max="1032" width="36.140625" style="404" customWidth="1"/>
    <col min="1033" max="1033" width="29.42578125" style="404" customWidth="1"/>
    <col min="1034" max="1034" width="16" style="404" customWidth="1"/>
    <col min="1035" max="1035" width="38.28515625" style="404" customWidth="1"/>
    <col min="1036" max="1036" width="12" style="404" customWidth="1"/>
    <col min="1037" max="1037" width="38.140625" style="404" customWidth="1"/>
    <col min="1038" max="1038" width="17.85546875" style="404" bestFit="1" customWidth="1"/>
    <col min="1039" max="1039" width="24.7109375" style="404" customWidth="1"/>
    <col min="1040" max="1040" width="36.42578125" style="404" customWidth="1"/>
    <col min="1041" max="1041" width="46.7109375" style="404" customWidth="1"/>
    <col min="1042" max="1042" width="43.7109375" style="404" customWidth="1"/>
    <col min="1043" max="1043" width="25.42578125" style="404" customWidth="1"/>
    <col min="1044" max="1044" width="12.42578125" style="404" customWidth="1"/>
    <col min="1045" max="1045" width="16.42578125" style="404" customWidth="1"/>
    <col min="1046" max="1046" width="13.42578125" style="404" customWidth="1"/>
    <col min="1047" max="1047" width="8.5703125" style="404" customWidth="1"/>
    <col min="1048" max="1051" width="11.42578125" style="404" customWidth="1"/>
    <col min="1052" max="1052" width="12.7109375" style="404" customWidth="1"/>
    <col min="1053" max="1053" width="11.85546875" style="404" customWidth="1"/>
    <col min="1054" max="1054" width="7.85546875" style="404" customWidth="1"/>
    <col min="1055" max="1055" width="7.5703125" style="404" customWidth="1"/>
    <col min="1056" max="1056" width="8.85546875" style="404" customWidth="1"/>
    <col min="1057" max="1057" width="8.140625" style="404" customWidth="1"/>
    <col min="1058" max="1058" width="7.85546875" style="404" customWidth="1"/>
    <col min="1059" max="1059" width="8.5703125" style="404" customWidth="1"/>
    <col min="1060" max="1060" width="8.28515625" style="404" customWidth="1"/>
    <col min="1061" max="1061" width="11.42578125" style="404" customWidth="1"/>
    <col min="1062" max="1062" width="18" style="404" customWidth="1"/>
    <col min="1063" max="1063" width="21.42578125" style="404" customWidth="1"/>
    <col min="1064" max="1064" width="27.85546875" style="404" customWidth="1"/>
    <col min="1065" max="1280" width="11.42578125" style="404"/>
    <col min="1281" max="1281" width="13.5703125" style="404" customWidth="1"/>
    <col min="1282" max="1282" width="19" style="404" customWidth="1"/>
    <col min="1283" max="1283" width="13.5703125" style="404" customWidth="1"/>
    <col min="1284" max="1284" width="19.7109375" style="404" customWidth="1"/>
    <col min="1285" max="1285" width="13.5703125" style="404" customWidth="1"/>
    <col min="1286" max="1287" width="14.7109375" style="404" customWidth="1"/>
    <col min="1288" max="1288" width="36.140625" style="404" customWidth="1"/>
    <col min="1289" max="1289" width="29.42578125" style="404" customWidth="1"/>
    <col min="1290" max="1290" width="16" style="404" customWidth="1"/>
    <col min="1291" max="1291" width="38.28515625" style="404" customWidth="1"/>
    <col min="1292" max="1292" width="12" style="404" customWidth="1"/>
    <col min="1293" max="1293" width="38.140625" style="404" customWidth="1"/>
    <col min="1294" max="1294" width="17.85546875" style="404" bestFit="1" customWidth="1"/>
    <col min="1295" max="1295" width="24.7109375" style="404" customWidth="1"/>
    <col min="1296" max="1296" width="36.42578125" style="404" customWidth="1"/>
    <col min="1297" max="1297" width="46.7109375" style="404" customWidth="1"/>
    <col min="1298" max="1298" width="43.7109375" style="404" customWidth="1"/>
    <col min="1299" max="1299" width="25.42578125" style="404" customWidth="1"/>
    <col min="1300" max="1300" width="12.42578125" style="404" customWidth="1"/>
    <col min="1301" max="1301" width="16.42578125" style="404" customWidth="1"/>
    <col min="1302" max="1302" width="13.42578125" style="404" customWidth="1"/>
    <col min="1303" max="1303" width="8.5703125" style="404" customWidth="1"/>
    <col min="1304" max="1307" width="11.42578125" style="404" customWidth="1"/>
    <col min="1308" max="1308" width="12.7109375" style="404" customWidth="1"/>
    <col min="1309" max="1309" width="11.85546875" style="404" customWidth="1"/>
    <col min="1310" max="1310" width="7.85546875" style="404" customWidth="1"/>
    <col min="1311" max="1311" width="7.5703125" style="404" customWidth="1"/>
    <col min="1312" max="1312" width="8.85546875" style="404" customWidth="1"/>
    <col min="1313" max="1313" width="8.140625" style="404" customWidth="1"/>
    <col min="1314" max="1314" width="7.85546875" style="404" customWidth="1"/>
    <col min="1315" max="1315" width="8.5703125" style="404" customWidth="1"/>
    <col min="1316" max="1316" width="8.28515625" style="404" customWidth="1"/>
    <col min="1317" max="1317" width="11.42578125" style="404" customWidth="1"/>
    <col min="1318" max="1318" width="18" style="404" customWidth="1"/>
    <col min="1319" max="1319" width="21.42578125" style="404" customWidth="1"/>
    <col min="1320" max="1320" width="27.85546875" style="404" customWidth="1"/>
    <col min="1321" max="1536" width="11.42578125" style="404"/>
    <col min="1537" max="1537" width="13.5703125" style="404" customWidth="1"/>
    <col min="1538" max="1538" width="19" style="404" customWidth="1"/>
    <col min="1539" max="1539" width="13.5703125" style="404" customWidth="1"/>
    <col min="1540" max="1540" width="19.7109375" style="404" customWidth="1"/>
    <col min="1541" max="1541" width="13.5703125" style="404" customWidth="1"/>
    <col min="1542" max="1543" width="14.7109375" style="404" customWidth="1"/>
    <col min="1544" max="1544" width="36.140625" style="404" customWidth="1"/>
    <col min="1545" max="1545" width="29.42578125" style="404" customWidth="1"/>
    <col min="1546" max="1546" width="16" style="404" customWidth="1"/>
    <col min="1547" max="1547" width="38.28515625" style="404" customWidth="1"/>
    <col min="1548" max="1548" width="12" style="404" customWidth="1"/>
    <col min="1549" max="1549" width="38.140625" style="404" customWidth="1"/>
    <col min="1550" max="1550" width="17.85546875" style="404" bestFit="1" customWidth="1"/>
    <col min="1551" max="1551" width="24.7109375" style="404" customWidth="1"/>
    <col min="1552" max="1552" width="36.42578125" style="404" customWidth="1"/>
    <col min="1553" max="1553" width="46.7109375" style="404" customWidth="1"/>
    <col min="1554" max="1554" width="43.7109375" style="404" customWidth="1"/>
    <col min="1555" max="1555" width="25.42578125" style="404" customWidth="1"/>
    <col min="1556" max="1556" width="12.42578125" style="404" customWidth="1"/>
    <col min="1557" max="1557" width="16.42578125" style="404" customWidth="1"/>
    <col min="1558" max="1558" width="13.42578125" style="404" customWidth="1"/>
    <col min="1559" max="1559" width="8.5703125" style="404" customWidth="1"/>
    <col min="1560" max="1563" width="11.42578125" style="404" customWidth="1"/>
    <col min="1564" max="1564" width="12.7109375" style="404" customWidth="1"/>
    <col min="1565" max="1565" width="11.85546875" style="404" customWidth="1"/>
    <col min="1566" max="1566" width="7.85546875" style="404" customWidth="1"/>
    <col min="1567" max="1567" width="7.5703125" style="404" customWidth="1"/>
    <col min="1568" max="1568" width="8.85546875" style="404" customWidth="1"/>
    <col min="1569" max="1569" width="8.140625" style="404" customWidth="1"/>
    <col min="1570" max="1570" width="7.85546875" style="404" customWidth="1"/>
    <col min="1571" max="1571" width="8.5703125" style="404" customWidth="1"/>
    <col min="1572" max="1572" width="8.28515625" style="404" customWidth="1"/>
    <col min="1573" max="1573" width="11.42578125" style="404" customWidth="1"/>
    <col min="1574" max="1574" width="18" style="404" customWidth="1"/>
    <col min="1575" max="1575" width="21.42578125" style="404" customWidth="1"/>
    <col min="1576" max="1576" width="27.85546875" style="404" customWidth="1"/>
    <col min="1577" max="1792" width="11.42578125" style="404"/>
    <col min="1793" max="1793" width="13.5703125" style="404" customWidth="1"/>
    <col min="1794" max="1794" width="19" style="404" customWidth="1"/>
    <col min="1795" max="1795" width="13.5703125" style="404" customWidth="1"/>
    <col min="1796" max="1796" width="19.7109375" style="404" customWidth="1"/>
    <col min="1797" max="1797" width="13.5703125" style="404" customWidth="1"/>
    <col min="1798" max="1799" width="14.7109375" style="404" customWidth="1"/>
    <col min="1800" max="1800" width="36.140625" style="404" customWidth="1"/>
    <col min="1801" max="1801" width="29.42578125" style="404" customWidth="1"/>
    <col min="1802" max="1802" width="16" style="404" customWidth="1"/>
    <col min="1803" max="1803" width="38.28515625" style="404" customWidth="1"/>
    <col min="1804" max="1804" width="12" style="404" customWidth="1"/>
    <col min="1805" max="1805" width="38.140625" style="404" customWidth="1"/>
    <col min="1806" max="1806" width="17.85546875" style="404" bestFit="1" customWidth="1"/>
    <col min="1807" max="1807" width="24.7109375" style="404" customWidth="1"/>
    <col min="1808" max="1808" width="36.42578125" style="404" customWidth="1"/>
    <col min="1809" max="1809" width="46.7109375" style="404" customWidth="1"/>
    <col min="1810" max="1810" width="43.7109375" style="404" customWidth="1"/>
    <col min="1811" max="1811" width="25.42578125" style="404" customWidth="1"/>
    <col min="1812" max="1812" width="12.42578125" style="404" customWidth="1"/>
    <col min="1813" max="1813" width="16.42578125" style="404" customWidth="1"/>
    <col min="1814" max="1814" width="13.42578125" style="404" customWidth="1"/>
    <col min="1815" max="1815" width="8.5703125" style="404" customWidth="1"/>
    <col min="1816" max="1819" width="11.42578125" style="404" customWidth="1"/>
    <col min="1820" max="1820" width="12.7109375" style="404" customWidth="1"/>
    <col min="1821" max="1821" width="11.85546875" style="404" customWidth="1"/>
    <col min="1822" max="1822" width="7.85546875" style="404" customWidth="1"/>
    <col min="1823" max="1823" width="7.5703125" style="404" customWidth="1"/>
    <col min="1824" max="1824" width="8.85546875" style="404" customWidth="1"/>
    <col min="1825" max="1825" width="8.140625" style="404" customWidth="1"/>
    <col min="1826" max="1826" width="7.85546875" style="404" customWidth="1"/>
    <col min="1827" max="1827" width="8.5703125" style="404" customWidth="1"/>
    <col min="1828" max="1828" width="8.28515625" style="404" customWidth="1"/>
    <col min="1829" max="1829" width="11.42578125" style="404" customWidth="1"/>
    <col min="1830" max="1830" width="18" style="404" customWidth="1"/>
    <col min="1831" max="1831" width="21.42578125" style="404" customWidth="1"/>
    <col min="1832" max="1832" width="27.85546875" style="404" customWidth="1"/>
    <col min="1833" max="2048" width="11.42578125" style="404"/>
    <col min="2049" max="2049" width="13.5703125" style="404" customWidth="1"/>
    <col min="2050" max="2050" width="19" style="404" customWidth="1"/>
    <col min="2051" max="2051" width="13.5703125" style="404" customWidth="1"/>
    <col min="2052" max="2052" width="19.7109375" style="404" customWidth="1"/>
    <col min="2053" max="2053" width="13.5703125" style="404" customWidth="1"/>
    <col min="2054" max="2055" width="14.7109375" style="404" customWidth="1"/>
    <col min="2056" max="2056" width="36.140625" style="404" customWidth="1"/>
    <col min="2057" max="2057" width="29.42578125" style="404" customWidth="1"/>
    <col min="2058" max="2058" width="16" style="404" customWidth="1"/>
    <col min="2059" max="2059" width="38.28515625" style="404" customWidth="1"/>
    <col min="2060" max="2060" width="12" style="404" customWidth="1"/>
    <col min="2061" max="2061" width="38.140625" style="404" customWidth="1"/>
    <col min="2062" max="2062" width="17.85546875" style="404" bestFit="1" customWidth="1"/>
    <col min="2063" max="2063" width="24.7109375" style="404" customWidth="1"/>
    <col min="2064" max="2064" width="36.42578125" style="404" customWidth="1"/>
    <col min="2065" max="2065" width="46.7109375" style="404" customWidth="1"/>
    <col min="2066" max="2066" width="43.7109375" style="404" customWidth="1"/>
    <col min="2067" max="2067" width="25.42578125" style="404" customWidth="1"/>
    <col min="2068" max="2068" width="12.42578125" style="404" customWidth="1"/>
    <col min="2069" max="2069" width="16.42578125" style="404" customWidth="1"/>
    <col min="2070" max="2070" width="13.42578125" style="404" customWidth="1"/>
    <col min="2071" max="2071" width="8.5703125" style="404" customWidth="1"/>
    <col min="2072" max="2075" width="11.42578125" style="404" customWidth="1"/>
    <col min="2076" max="2076" width="12.7109375" style="404" customWidth="1"/>
    <col min="2077" max="2077" width="11.85546875" style="404" customWidth="1"/>
    <col min="2078" max="2078" width="7.85546875" style="404" customWidth="1"/>
    <col min="2079" max="2079" width="7.5703125" style="404" customWidth="1"/>
    <col min="2080" max="2080" width="8.85546875" style="404" customWidth="1"/>
    <col min="2081" max="2081" width="8.140625" style="404" customWidth="1"/>
    <col min="2082" max="2082" width="7.85546875" style="404" customWidth="1"/>
    <col min="2083" max="2083" width="8.5703125" style="404" customWidth="1"/>
    <col min="2084" max="2084" width="8.28515625" style="404" customWidth="1"/>
    <col min="2085" max="2085" width="11.42578125" style="404" customWidth="1"/>
    <col min="2086" max="2086" width="18" style="404" customWidth="1"/>
    <col min="2087" max="2087" width="21.42578125" style="404" customWidth="1"/>
    <col min="2088" max="2088" width="27.85546875" style="404" customWidth="1"/>
    <col min="2089" max="2304" width="11.42578125" style="404"/>
    <col min="2305" max="2305" width="13.5703125" style="404" customWidth="1"/>
    <col min="2306" max="2306" width="19" style="404" customWidth="1"/>
    <col min="2307" max="2307" width="13.5703125" style="404" customWidth="1"/>
    <col min="2308" max="2308" width="19.7109375" style="404" customWidth="1"/>
    <col min="2309" max="2309" width="13.5703125" style="404" customWidth="1"/>
    <col min="2310" max="2311" width="14.7109375" style="404" customWidth="1"/>
    <col min="2312" max="2312" width="36.140625" style="404" customWidth="1"/>
    <col min="2313" max="2313" width="29.42578125" style="404" customWidth="1"/>
    <col min="2314" max="2314" width="16" style="404" customWidth="1"/>
    <col min="2315" max="2315" width="38.28515625" style="404" customWidth="1"/>
    <col min="2316" max="2316" width="12" style="404" customWidth="1"/>
    <col min="2317" max="2317" width="38.140625" style="404" customWidth="1"/>
    <col min="2318" max="2318" width="17.85546875" style="404" bestFit="1" customWidth="1"/>
    <col min="2319" max="2319" width="24.7109375" style="404" customWidth="1"/>
    <col min="2320" max="2320" width="36.42578125" style="404" customWidth="1"/>
    <col min="2321" max="2321" width="46.7109375" style="404" customWidth="1"/>
    <col min="2322" max="2322" width="43.7109375" style="404" customWidth="1"/>
    <col min="2323" max="2323" width="25.42578125" style="404" customWidth="1"/>
    <col min="2324" max="2324" width="12.42578125" style="404" customWidth="1"/>
    <col min="2325" max="2325" width="16.42578125" style="404" customWidth="1"/>
    <col min="2326" max="2326" width="13.42578125" style="404" customWidth="1"/>
    <col min="2327" max="2327" width="8.5703125" style="404" customWidth="1"/>
    <col min="2328" max="2331" width="11.42578125" style="404" customWidth="1"/>
    <col min="2332" max="2332" width="12.7109375" style="404" customWidth="1"/>
    <col min="2333" max="2333" width="11.85546875" style="404" customWidth="1"/>
    <col min="2334" max="2334" width="7.85546875" style="404" customWidth="1"/>
    <col min="2335" max="2335" width="7.5703125" style="404" customWidth="1"/>
    <col min="2336" max="2336" width="8.85546875" style="404" customWidth="1"/>
    <col min="2337" max="2337" width="8.140625" style="404" customWidth="1"/>
    <col min="2338" max="2338" width="7.85546875" style="404" customWidth="1"/>
    <col min="2339" max="2339" width="8.5703125" style="404" customWidth="1"/>
    <col min="2340" max="2340" width="8.28515625" style="404" customWidth="1"/>
    <col min="2341" max="2341" width="11.42578125" style="404" customWidth="1"/>
    <col min="2342" max="2342" width="18" style="404" customWidth="1"/>
    <col min="2343" max="2343" width="21.42578125" style="404" customWidth="1"/>
    <col min="2344" max="2344" width="27.85546875" style="404" customWidth="1"/>
    <col min="2345" max="2560" width="11.42578125" style="404"/>
    <col min="2561" max="2561" width="13.5703125" style="404" customWidth="1"/>
    <col min="2562" max="2562" width="19" style="404" customWidth="1"/>
    <col min="2563" max="2563" width="13.5703125" style="404" customWidth="1"/>
    <col min="2564" max="2564" width="19.7109375" style="404" customWidth="1"/>
    <col min="2565" max="2565" width="13.5703125" style="404" customWidth="1"/>
    <col min="2566" max="2567" width="14.7109375" style="404" customWidth="1"/>
    <col min="2568" max="2568" width="36.140625" style="404" customWidth="1"/>
    <col min="2569" max="2569" width="29.42578125" style="404" customWidth="1"/>
    <col min="2570" max="2570" width="16" style="404" customWidth="1"/>
    <col min="2571" max="2571" width="38.28515625" style="404" customWidth="1"/>
    <col min="2572" max="2572" width="12" style="404" customWidth="1"/>
    <col min="2573" max="2573" width="38.140625" style="404" customWidth="1"/>
    <col min="2574" max="2574" width="17.85546875" style="404" bestFit="1" customWidth="1"/>
    <col min="2575" max="2575" width="24.7109375" style="404" customWidth="1"/>
    <col min="2576" max="2576" width="36.42578125" style="404" customWidth="1"/>
    <col min="2577" max="2577" width="46.7109375" style="404" customWidth="1"/>
    <col min="2578" max="2578" width="43.7109375" style="404" customWidth="1"/>
    <col min="2579" max="2579" width="25.42578125" style="404" customWidth="1"/>
    <col min="2580" max="2580" width="12.42578125" style="404" customWidth="1"/>
    <col min="2581" max="2581" width="16.42578125" style="404" customWidth="1"/>
    <col min="2582" max="2582" width="13.42578125" style="404" customWidth="1"/>
    <col min="2583" max="2583" width="8.5703125" style="404" customWidth="1"/>
    <col min="2584" max="2587" width="11.42578125" style="404" customWidth="1"/>
    <col min="2588" max="2588" width="12.7109375" style="404" customWidth="1"/>
    <col min="2589" max="2589" width="11.85546875" style="404" customWidth="1"/>
    <col min="2590" max="2590" width="7.85546875" style="404" customWidth="1"/>
    <col min="2591" max="2591" width="7.5703125" style="404" customWidth="1"/>
    <col min="2592" max="2592" width="8.85546875" style="404" customWidth="1"/>
    <col min="2593" max="2593" width="8.140625" style="404" customWidth="1"/>
    <col min="2594" max="2594" width="7.85546875" style="404" customWidth="1"/>
    <col min="2595" max="2595" width="8.5703125" style="404" customWidth="1"/>
    <col min="2596" max="2596" width="8.28515625" style="404" customWidth="1"/>
    <col min="2597" max="2597" width="11.42578125" style="404" customWidth="1"/>
    <col min="2598" max="2598" width="18" style="404" customWidth="1"/>
    <col min="2599" max="2599" width="21.42578125" style="404" customWidth="1"/>
    <col min="2600" max="2600" width="27.85546875" style="404" customWidth="1"/>
    <col min="2601" max="2816" width="11.42578125" style="404"/>
    <col min="2817" max="2817" width="13.5703125" style="404" customWidth="1"/>
    <col min="2818" max="2818" width="19" style="404" customWidth="1"/>
    <col min="2819" max="2819" width="13.5703125" style="404" customWidth="1"/>
    <col min="2820" max="2820" width="19.7109375" style="404" customWidth="1"/>
    <col min="2821" max="2821" width="13.5703125" style="404" customWidth="1"/>
    <col min="2822" max="2823" width="14.7109375" style="404" customWidth="1"/>
    <col min="2824" max="2824" width="36.140625" style="404" customWidth="1"/>
    <col min="2825" max="2825" width="29.42578125" style="404" customWidth="1"/>
    <col min="2826" max="2826" width="16" style="404" customWidth="1"/>
    <col min="2827" max="2827" width="38.28515625" style="404" customWidth="1"/>
    <col min="2828" max="2828" width="12" style="404" customWidth="1"/>
    <col min="2829" max="2829" width="38.140625" style="404" customWidth="1"/>
    <col min="2830" max="2830" width="17.85546875" style="404" bestFit="1" customWidth="1"/>
    <col min="2831" max="2831" width="24.7109375" style="404" customWidth="1"/>
    <col min="2832" max="2832" width="36.42578125" style="404" customWidth="1"/>
    <col min="2833" max="2833" width="46.7109375" style="404" customWidth="1"/>
    <col min="2834" max="2834" width="43.7109375" style="404" customWidth="1"/>
    <col min="2835" max="2835" width="25.42578125" style="404" customWidth="1"/>
    <col min="2836" max="2836" width="12.42578125" style="404" customWidth="1"/>
    <col min="2837" max="2837" width="16.42578125" style="404" customWidth="1"/>
    <col min="2838" max="2838" width="13.42578125" style="404" customWidth="1"/>
    <col min="2839" max="2839" width="8.5703125" style="404" customWidth="1"/>
    <col min="2840" max="2843" width="11.42578125" style="404" customWidth="1"/>
    <col min="2844" max="2844" width="12.7109375" style="404" customWidth="1"/>
    <col min="2845" max="2845" width="11.85546875" style="404" customWidth="1"/>
    <col min="2846" max="2846" width="7.85546875" style="404" customWidth="1"/>
    <col min="2847" max="2847" width="7.5703125" style="404" customWidth="1"/>
    <col min="2848" max="2848" width="8.85546875" style="404" customWidth="1"/>
    <col min="2849" max="2849" width="8.140625" style="404" customWidth="1"/>
    <col min="2850" max="2850" width="7.85546875" style="404" customWidth="1"/>
    <col min="2851" max="2851" width="8.5703125" style="404" customWidth="1"/>
    <col min="2852" max="2852" width="8.28515625" style="404" customWidth="1"/>
    <col min="2853" max="2853" width="11.42578125" style="404" customWidth="1"/>
    <col min="2854" max="2854" width="18" style="404" customWidth="1"/>
    <col min="2855" max="2855" width="21.42578125" style="404" customWidth="1"/>
    <col min="2856" max="2856" width="27.85546875" style="404" customWidth="1"/>
    <col min="2857" max="3072" width="11.42578125" style="404"/>
    <col min="3073" max="3073" width="13.5703125" style="404" customWidth="1"/>
    <col min="3074" max="3074" width="19" style="404" customWidth="1"/>
    <col min="3075" max="3075" width="13.5703125" style="404" customWidth="1"/>
    <col min="3076" max="3076" width="19.7109375" style="404" customWidth="1"/>
    <col min="3077" max="3077" width="13.5703125" style="404" customWidth="1"/>
    <col min="3078" max="3079" width="14.7109375" style="404" customWidth="1"/>
    <col min="3080" max="3080" width="36.140625" style="404" customWidth="1"/>
    <col min="3081" max="3081" width="29.42578125" style="404" customWidth="1"/>
    <col min="3082" max="3082" width="16" style="404" customWidth="1"/>
    <col min="3083" max="3083" width="38.28515625" style="404" customWidth="1"/>
    <col min="3084" max="3084" width="12" style="404" customWidth="1"/>
    <col min="3085" max="3085" width="38.140625" style="404" customWidth="1"/>
    <col min="3086" max="3086" width="17.85546875" style="404" bestFit="1" customWidth="1"/>
    <col min="3087" max="3087" width="24.7109375" style="404" customWidth="1"/>
    <col min="3088" max="3088" width="36.42578125" style="404" customWidth="1"/>
    <col min="3089" max="3089" width="46.7109375" style="404" customWidth="1"/>
    <col min="3090" max="3090" width="43.7109375" style="404" customWidth="1"/>
    <col min="3091" max="3091" width="25.42578125" style="404" customWidth="1"/>
    <col min="3092" max="3092" width="12.42578125" style="404" customWidth="1"/>
    <col min="3093" max="3093" width="16.42578125" style="404" customWidth="1"/>
    <col min="3094" max="3094" width="13.42578125" style="404" customWidth="1"/>
    <col min="3095" max="3095" width="8.5703125" style="404" customWidth="1"/>
    <col min="3096" max="3099" width="11.42578125" style="404" customWidth="1"/>
    <col min="3100" max="3100" width="12.7109375" style="404" customWidth="1"/>
    <col min="3101" max="3101" width="11.85546875" style="404" customWidth="1"/>
    <col min="3102" max="3102" width="7.85546875" style="404" customWidth="1"/>
    <col min="3103" max="3103" width="7.5703125" style="404" customWidth="1"/>
    <col min="3104" max="3104" width="8.85546875" style="404" customWidth="1"/>
    <col min="3105" max="3105" width="8.140625" style="404" customWidth="1"/>
    <col min="3106" max="3106" width="7.85546875" style="404" customWidth="1"/>
    <col min="3107" max="3107" width="8.5703125" style="404" customWidth="1"/>
    <col min="3108" max="3108" width="8.28515625" style="404" customWidth="1"/>
    <col min="3109" max="3109" width="11.42578125" style="404" customWidth="1"/>
    <col min="3110" max="3110" width="18" style="404" customWidth="1"/>
    <col min="3111" max="3111" width="21.42578125" style="404" customWidth="1"/>
    <col min="3112" max="3112" width="27.85546875" style="404" customWidth="1"/>
    <col min="3113" max="3328" width="11.42578125" style="404"/>
    <col min="3329" max="3329" width="13.5703125" style="404" customWidth="1"/>
    <col min="3330" max="3330" width="19" style="404" customWidth="1"/>
    <col min="3331" max="3331" width="13.5703125" style="404" customWidth="1"/>
    <col min="3332" max="3332" width="19.7109375" style="404" customWidth="1"/>
    <col min="3333" max="3333" width="13.5703125" style="404" customWidth="1"/>
    <col min="3334" max="3335" width="14.7109375" style="404" customWidth="1"/>
    <col min="3336" max="3336" width="36.140625" style="404" customWidth="1"/>
    <col min="3337" max="3337" width="29.42578125" style="404" customWidth="1"/>
    <col min="3338" max="3338" width="16" style="404" customWidth="1"/>
    <col min="3339" max="3339" width="38.28515625" style="404" customWidth="1"/>
    <col min="3340" max="3340" width="12" style="404" customWidth="1"/>
    <col min="3341" max="3341" width="38.140625" style="404" customWidth="1"/>
    <col min="3342" max="3342" width="17.85546875" style="404" bestFit="1" customWidth="1"/>
    <col min="3343" max="3343" width="24.7109375" style="404" customWidth="1"/>
    <col min="3344" max="3344" width="36.42578125" style="404" customWidth="1"/>
    <col min="3345" max="3345" width="46.7109375" style="404" customWidth="1"/>
    <col min="3346" max="3346" width="43.7109375" style="404" customWidth="1"/>
    <col min="3347" max="3347" width="25.42578125" style="404" customWidth="1"/>
    <col min="3348" max="3348" width="12.42578125" style="404" customWidth="1"/>
    <col min="3349" max="3349" width="16.42578125" style="404" customWidth="1"/>
    <col min="3350" max="3350" width="13.42578125" style="404" customWidth="1"/>
    <col min="3351" max="3351" width="8.5703125" style="404" customWidth="1"/>
    <col min="3352" max="3355" width="11.42578125" style="404" customWidth="1"/>
    <col min="3356" max="3356" width="12.7109375" style="404" customWidth="1"/>
    <col min="3357" max="3357" width="11.85546875" style="404" customWidth="1"/>
    <col min="3358" max="3358" width="7.85546875" style="404" customWidth="1"/>
    <col min="3359" max="3359" width="7.5703125" style="404" customWidth="1"/>
    <col min="3360" max="3360" width="8.85546875" style="404" customWidth="1"/>
    <col min="3361" max="3361" width="8.140625" style="404" customWidth="1"/>
    <col min="3362" max="3362" width="7.85546875" style="404" customWidth="1"/>
    <col min="3363" max="3363" width="8.5703125" style="404" customWidth="1"/>
    <col min="3364" max="3364" width="8.28515625" style="404" customWidth="1"/>
    <col min="3365" max="3365" width="11.42578125" style="404" customWidth="1"/>
    <col min="3366" max="3366" width="18" style="404" customWidth="1"/>
    <col min="3367" max="3367" width="21.42578125" style="404" customWidth="1"/>
    <col min="3368" max="3368" width="27.85546875" style="404" customWidth="1"/>
    <col min="3369" max="3584" width="11.42578125" style="404"/>
    <col min="3585" max="3585" width="13.5703125" style="404" customWidth="1"/>
    <col min="3586" max="3586" width="19" style="404" customWidth="1"/>
    <col min="3587" max="3587" width="13.5703125" style="404" customWidth="1"/>
    <col min="3588" max="3588" width="19.7109375" style="404" customWidth="1"/>
    <col min="3589" max="3589" width="13.5703125" style="404" customWidth="1"/>
    <col min="3590" max="3591" width="14.7109375" style="404" customWidth="1"/>
    <col min="3592" max="3592" width="36.140625" style="404" customWidth="1"/>
    <col min="3593" max="3593" width="29.42578125" style="404" customWidth="1"/>
    <col min="3594" max="3594" width="16" style="404" customWidth="1"/>
    <col min="3595" max="3595" width="38.28515625" style="404" customWidth="1"/>
    <col min="3596" max="3596" width="12" style="404" customWidth="1"/>
    <col min="3597" max="3597" width="38.140625" style="404" customWidth="1"/>
    <col min="3598" max="3598" width="17.85546875" style="404" bestFit="1" customWidth="1"/>
    <col min="3599" max="3599" width="24.7109375" style="404" customWidth="1"/>
    <col min="3600" max="3600" width="36.42578125" style="404" customWidth="1"/>
    <col min="3601" max="3601" width="46.7109375" style="404" customWidth="1"/>
    <col min="3602" max="3602" width="43.7109375" style="404" customWidth="1"/>
    <col min="3603" max="3603" width="25.42578125" style="404" customWidth="1"/>
    <col min="3604" max="3604" width="12.42578125" style="404" customWidth="1"/>
    <col min="3605" max="3605" width="16.42578125" style="404" customWidth="1"/>
    <col min="3606" max="3606" width="13.42578125" style="404" customWidth="1"/>
    <col min="3607" max="3607" width="8.5703125" style="404" customWidth="1"/>
    <col min="3608" max="3611" width="11.42578125" style="404" customWidth="1"/>
    <col min="3612" max="3612" width="12.7109375" style="404" customWidth="1"/>
    <col min="3613" max="3613" width="11.85546875" style="404" customWidth="1"/>
    <col min="3614" max="3614" width="7.85546875" style="404" customWidth="1"/>
    <col min="3615" max="3615" width="7.5703125" style="404" customWidth="1"/>
    <col min="3616" max="3616" width="8.85546875" style="404" customWidth="1"/>
    <col min="3617" max="3617" width="8.140625" style="404" customWidth="1"/>
    <col min="3618" max="3618" width="7.85546875" style="404" customWidth="1"/>
    <col min="3619" max="3619" width="8.5703125" style="404" customWidth="1"/>
    <col min="3620" max="3620" width="8.28515625" style="404" customWidth="1"/>
    <col min="3621" max="3621" width="11.42578125" style="404" customWidth="1"/>
    <col min="3622" max="3622" width="18" style="404" customWidth="1"/>
    <col min="3623" max="3623" width="21.42578125" style="404" customWidth="1"/>
    <col min="3624" max="3624" width="27.85546875" style="404" customWidth="1"/>
    <col min="3625" max="3840" width="11.42578125" style="404"/>
    <col min="3841" max="3841" width="13.5703125" style="404" customWidth="1"/>
    <col min="3842" max="3842" width="19" style="404" customWidth="1"/>
    <col min="3843" max="3843" width="13.5703125" style="404" customWidth="1"/>
    <col min="3844" max="3844" width="19.7109375" style="404" customWidth="1"/>
    <col min="3845" max="3845" width="13.5703125" style="404" customWidth="1"/>
    <col min="3846" max="3847" width="14.7109375" style="404" customWidth="1"/>
    <col min="3848" max="3848" width="36.140625" style="404" customWidth="1"/>
    <col min="3849" max="3849" width="29.42578125" style="404" customWidth="1"/>
    <col min="3850" max="3850" width="16" style="404" customWidth="1"/>
    <col min="3851" max="3851" width="38.28515625" style="404" customWidth="1"/>
    <col min="3852" max="3852" width="12" style="404" customWidth="1"/>
    <col min="3853" max="3853" width="38.140625" style="404" customWidth="1"/>
    <col min="3854" max="3854" width="17.85546875" style="404" bestFit="1" customWidth="1"/>
    <col min="3855" max="3855" width="24.7109375" style="404" customWidth="1"/>
    <col min="3856" max="3856" width="36.42578125" style="404" customWidth="1"/>
    <col min="3857" max="3857" width="46.7109375" style="404" customWidth="1"/>
    <col min="3858" max="3858" width="43.7109375" style="404" customWidth="1"/>
    <col min="3859" max="3859" width="25.42578125" style="404" customWidth="1"/>
    <col min="3860" max="3860" width="12.42578125" style="404" customWidth="1"/>
    <col min="3861" max="3861" width="16.42578125" style="404" customWidth="1"/>
    <col min="3862" max="3862" width="13.42578125" style="404" customWidth="1"/>
    <col min="3863" max="3863" width="8.5703125" style="404" customWidth="1"/>
    <col min="3864" max="3867" width="11.42578125" style="404" customWidth="1"/>
    <col min="3868" max="3868" width="12.7109375" style="404" customWidth="1"/>
    <col min="3869" max="3869" width="11.85546875" style="404" customWidth="1"/>
    <col min="3870" max="3870" width="7.85546875" style="404" customWidth="1"/>
    <col min="3871" max="3871" width="7.5703125" style="404" customWidth="1"/>
    <col min="3872" max="3872" width="8.85546875" style="404" customWidth="1"/>
    <col min="3873" max="3873" width="8.140625" style="404" customWidth="1"/>
    <col min="3874" max="3874" width="7.85546875" style="404" customWidth="1"/>
    <col min="3875" max="3875" width="8.5703125" style="404" customWidth="1"/>
    <col min="3876" max="3876" width="8.28515625" style="404" customWidth="1"/>
    <col min="3877" max="3877" width="11.42578125" style="404" customWidth="1"/>
    <col min="3878" max="3878" width="18" style="404" customWidth="1"/>
    <col min="3879" max="3879" width="21.42578125" style="404" customWidth="1"/>
    <col min="3880" max="3880" width="27.85546875" style="404" customWidth="1"/>
    <col min="3881" max="4096" width="11.42578125" style="404"/>
    <col min="4097" max="4097" width="13.5703125" style="404" customWidth="1"/>
    <col min="4098" max="4098" width="19" style="404" customWidth="1"/>
    <col min="4099" max="4099" width="13.5703125" style="404" customWidth="1"/>
    <col min="4100" max="4100" width="19.7109375" style="404" customWidth="1"/>
    <col min="4101" max="4101" width="13.5703125" style="404" customWidth="1"/>
    <col min="4102" max="4103" width="14.7109375" style="404" customWidth="1"/>
    <col min="4104" max="4104" width="36.140625" style="404" customWidth="1"/>
    <col min="4105" max="4105" width="29.42578125" style="404" customWidth="1"/>
    <col min="4106" max="4106" width="16" style="404" customWidth="1"/>
    <col min="4107" max="4107" width="38.28515625" style="404" customWidth="1"/>
    <col min="4108" max="4108" width="12" style="404" customWidth="1"/>
    <col min="4109" max="4109" width="38.140625" style="404" customWidth="1"/>
    <col min="4110" max="4110" width="17.85546875" style="404" bestFit="1" customWidth="1"/>
    <col min="4111" max="4111" width="24.7109375" style="404" customWidth="1"/>
    <col min="4112" max="4112" width="36.42578125" style="404" customWidth="1"/>
    <col min="4113" max="4113" width="46.7109375" style="404" customWidth="1"/>
    <col min="4114" max="4114" width="43.7109375" style="404" customWidth="1"/>
    <col min="4115" max="4115" width="25.42578125" style="404" customWidth="1"/>
    <col min="4116" max="4116" width="12.42578125" style="404" customWidth="1"/>
    <col min="4117" max="4117" width="16.42578125" style="404" customWidth="1"/>
    <col min="4118" max="4118" width="13.42578125" style="404" customWidth="1"/>
    <col min="4119" max="4119" width="8.5703125" style="404" customWidth="1"/>
    <col min="4120" max="4123" width="11.42578125" style="404" customWidth="1"/>
    <col min="4124" max="4124" width="12.7109375" style="404" customWidth="1"/>
    <col min="4125" max="4125" width="11.85546875" style="404" customWidth="1"/>
    <col min="4126" max="4126" width="7.85546875" style="404" customWidth="1"/>
    <col min="4127" max="4127" width="7.5703125" style="404" customWidth="1"/>
    <col min="4128" max="4128" width="8.85546875" style="404" customWidth="1"/>
    <col min="4129" max="4129" width="8.140625" style="404" customWidth="1"/>
    <col min="4130" max="4130" width="7.85546875" style="404" customWidth="1"/>
    <col min="4131" max="4131" width="8.5703125" style="404" customWidth="1"/>
    <col min="4132" max="4132" width="8.28515625" style="404" customWidth="1"/>
    <col min="4133" max="4133" width="11.42578125" style="404" customWidth="1"/>
    <col min="4134" max="4134" width="18" style="404" customWidth="1"/>
    <col min="4135" max="4135" width="21.42578125" style="404" customWidth="1"/>
    <col min="4136" max="4136" width="27.85546875" style="404" customWidth="1"/>
    <col min="4137" max="4352" width="11.42578125" style="404"/>
    <col min="4353" max="4353" width="13.5703125" style="404" customWidth="1"/>
    <col min="4354" max="4354" width="19" style="404" customWidth="1"/>
    <col min="4355" max="4355" width="13.5703125" style="404" customWidth="1"/>
    <col min="4356" max="4356" width="19.7109375" style="404" customWidth="1"/>
    <col min="4357" max="4357" width="13.5703125" style="404" customWidth="1"/>
    <col min="4358" max="4359" width="14.7109375" style="404" customWidth="1"/>
    <col min="4360" max="4360" width="36.140625" style="404" customWidth="1"/>
    <col min="4361" max="4361" width="29.42578125" style="404" customWidth="1"/>
    <col min="4362" max="4362" width="16" style="404" customWidth="1"/>
    <col min="4363" max="4363" width="38.28515625" style="404" customWidth="1"/>
    <col min="4364" max="4364" width="12" style="404" customWidth="1"/>
    <col min="4365" max="4365" width="38.140625" style="404" customWidth="1"/>
    <col min="4366" max="4366" width="17.85546875" style="404" bestFit="1" customWidth="1"/>
    <col min="4367" max="4367" width="24.7109375" style="404" customWidth="1"/>
    <col min="4368" max="4368" width="36.42578125" style="404" customWidth="1"/>
    <col min="4369" max="4369" width="46.7109375" style="404" customWidth="1"/>
    <col min="4370" max="4370" width="43.7109375" style="404" customWidth="1"/>
    <col min="4371" max="4371" width="25.42578125" style="404" customWidth="1"/>
    <col min="4372" max="4372" width="12.42578125" style="404" customWidth="1"/>
    <col min="4373" max="4373" width="16.42578125" style="404" customWidth="1"/>
    <col min="4374" max="4374" width="13.42578125" style="404" customWidth="1"/>
    <col min="4375" max="4375" width="8.5703125" style="404" customWidth="1"/>
    <col min="4376" max="4379" width="11.42578125" style="404" customWidth="1"/>
    <col min="4380" max="4380" width="12.7109375" style="404" customWidth="1"/>
    <col min="4381" max="4381" width="11.85546875" style="404" customWidth="1"/>
    <col min="4382" max="4382" width="7.85546875" style="404" customWidth="1"/>
    <col min="4383" max="4383" width="7.5703125" style="404" customWidth="1"/>
    <col min="4384" max="4384" width="8.85546875" style="404" customWidth="1"/>
    <col min="4385" max="4385" width="8.140625" style="404" customWidth="1"/>
    <col min="4386" max="4386" width="7.85546875" style="404" customWidth="1"/>
    <col min="4387" max="4387" width="8.5703125" style="404" customWidth="1"/>
    <col min="4388" max="4388" width="8.28515625" style="404" customWidth="1"/>
    <col min="4389" max="4389" width="11.42578125" style="404" customWidth="1"/>
    <col min="4390" max="4390" width="18" style="404" customWidth="1"/>
    <col min="4391" max="4391" width="21.42578125" style="404" customWidth="1"/>
    <col min="4392" max="4392" width="27.85546875" style="404" customWidth="1"/>
    <col min="4393" max="4608" width="11.42578125" style="404"/>
    <col min="4609" max="4609" width="13.5703125" style="404" customWidth="1"/>
    <col min="4610" max="4610" width="19" style="404" customWidth="1"/>
    <col min="4611" max="4611" width="13.5703125" style="404" customWidth="1"/>
    <col min="4612" max="4612" width="19.7109375" style="404" customWidth="1"/>
    <col min="4613" max="4613" width="13.5703125" style="404" customWidth="1"/>
    <col min="4614" max="4615" width="14.7109375" style="404" customWidth="1"/>
    <col min="4616" max="4616" width="36.140625" style="404" customWidth="1"/>
    <col min="4617" max="4617" width="29.42578125" style="404" customWidth="1"/>
    <col min="4618" max="4618" width="16" style="404" customWidth="1"/>
    <col min="4619" max="4619" width="38.28515625" style="404" customWidth="1"/>
    <col min="4620" max="4620" width="12" style="404" customWidth="1"/>
    <col min="4621" max="4621" width="38.140625" style="404" customWidth="1"/>
    <col min="4622" max="4622" width="17.85546875" style="404" bestFit="1" customWidth="1"/>
    <col min="4623" max="4623" width="24.7109375" style="404" customWidth="1"/>
    <col min="4624" max="4624" width="36.42578125" style="404" customWidth="1"/>
    <col min="4625" max="4625" width="46.7109375" style="404" customWidth="1"/>
    <col min="4626" max="4626" width="43.7109375" style="404" customWidth="1"/>
    <col min="4627" max="4627" width="25.42578125" style="404" customWidth="1"/>
    <col min="4628" max="4628" width="12.42578125" style="404" customWidth="1"/>
    <col min="4629" max="4629" width="16.42578125" style="404" customWidth="1"/>
    <col min="4630" max="4630" width="13.42578125" style="404" customWidth="1"/>
    <col min="4631" max="4631" width="8.5703125" style="404" customWidth="1"/>
    <col min="4632" max="4635" width="11.42578125" style="404" customWidth="1"/>
    <col min="4636" max="4636" width="12.7109375" style="404" customWidth="1"/>
    <col min="4637" max="4637" width="11.85546875" style="404" customWidth="1"/>
    <col min="4638" max="4638" width="7.85546875" style="404" customWidth="1"/>
    <col min="4639" max="4639" width="7.5703125" style="404" customWidth="1"/>
    <col min="4640" max="4640" width="8.85546875" style="404" customWidth="1"/>
    <col min="4641" max="4641" width="8.140625" style="404" customWidth="1"/>
    <col min="4642" max="4642" width="7.85546875" style="404" customWidth="1"/>
    <col min="4643" max="4643" width="8.5703125" style="404" customWidth="1"/>
    <col min="4644" max="4644" width="8.28515625" style="404" customWidth="1"/>
    <col min="4645" max="4645" width="11.42578125" style="404" customWidth="1"/>
    <col min="4646" max="4646" width="18" style="404" customWidth="1"/>
    <col min="4647" max="4647" width="21.42578125" style="404" customWidth="1"/>
    <col min="4648" max="4648" width="27.85546875" style="404" customWidth="1"/>
    <col min="4649" max="4864" width="11.42578125" style="404"/>
    <col min="4865" max="4865" width="13.5703125" style="404" customWidth="1"/>
    <col min="4866" max="4866" width="19" style="404" customWidth="1"/>
    <col min="4867" max="4867" width="13.5703125" style="404" customWidth="1"/>
    <col min="4868" max="4868" width="19.7109375" style="404" customWidth="1"/>
    <col min="4869" max="4869" width="13.5703125" style="404" customWidth="1"/>
    <col min="4870" max="4871" width="14.7109375" style="404" customWidth="1"/>
    <col min="4872" max="4872" width="36.140625" style="404" customWidth="1"/>
    <col min="4873" max="4873" width="29.42578125" style="404" customWidth="1"/>
    <col min="4874" max="4874" width="16" style="404" customWidth="1"/>
    <col min="4875" max="4875" width="38.28515625" style="404" customWidth="1"/>
    <col min="4876" max="4876" width="12" style="404" customWidth="1"/>
    <col min="4877" max="4877" width="38.140625" style="404" customWidth="1"/>
    <col min="4878" max="4878" width="17.85546875" style="404" bestFit="1" customWidth="1"/>
    <col min="4879" max="4879" width="24.7109375" style="404" customWidth="1"/>
    <col min="4880" max="4880" width="36.42578125" style="404" customWidth="1"/>
    <col min="4881" max="4881" width="46.7109375" style="404" customWidth="1"/>
    <col min="4882" max="4882" width="43.7109375" style="404" customWidth="1"/>
    <col min="4883" max="4883" width="25.42578125" style="404" customWidth="1"/>
    <col min="4884" max="4884" width="12.42578125" style="404" customWidth="1"/>
    <col min="4885" max="4885" width="16.42578125" style="404" customWidth="1"/>
    <col min="4886" max="4886" width="13.42578125" style="404" customWidth="1"/>
    <col min="4887" max="4887" width="8.5703125" style="404" customWidth="1"/>
    <col min="4888" max="4891" width="11.42578125" style="404" customWidth="1"/>
    <col min="4892" max="4892" width="12.7109375" style="404" customWidth="1"/>
    <col min="4893" max="4893" width="11.85546875" style="404" customWidth="1"/>
    <col min="4894" max="4894" width="7.85546875" style="404" customWidth="1"/>
    <col min="4895" max="4895" width="7.5703125" style="404" customWidth="1"/>
    <col min="4896" max="4896" width="8.85546875" style="404" customWidth="1"/>
    <col min="4897" max="4897" width="8.140625" style="404" customWidth="1"/>
    <col min="4898" max="4898" width="7.85546875" style="404" customWidth="1"/>
    <col min="4899" max="4899" width="8.5703125" style="404" customWidth="1"/>
    <col min="4900" max="4900" width="8.28515625" style="404" customWidth="1"/>
    <col min="4901" max="4901" width="11.42578125" style="404" customWidth="1"/>
    <col min="4902" max="4902" width="18" style="404" customWidth="1"/>
    <col min="4903" max="4903" width="21.42578125" style="404" customWidth="1"/>
    <col min="4904" max="4904" width="27.85546875" style="404" customWidth="1"/>
    <col min="4905" max="5120" width="11.42578125" style="404"/>
    <col min="5121" max="5121" width="13.5703125" style="404" customWidth="1"/>
    <col min="5122" max="5122" width="19" style="404" customWidth="1"/>
    <col min="5123" max="5123" width="13.5703125" style="404" customWidth="1"/>
    <col min="5124" max="5124" width="19.7109375" style="404" customWidth="1"/>
    <col min="5125" max="5125" width="13.5703125" style="404" customWidth="1"/>
    <col min="5126" max="5127" width="14.7109375" style="404" customWidth="1"/>
    <col min="5128" max="5128" width="36.140625" style="404" customWidth="1"/>
    <col min="5129" max="5129" width="29.42578125" style="404" customWidth="1"/>
    <col min="5130" max="5130" width="16" style="404" customWidth="1"/>
    <col min="5131" max="5131" width="38.28515625" style="404" customWidth="1"/>
    <col min="5132" max="5132" width="12" style="404" customWidth="1"/>
    <col min="5133" max="5133" width="38.140625" style="404" customWidth="1"/>
    <col min="5134" max="5134" width="17.85546875" style="404" bestFit="1" customWidth="1"/>
    <col min="5135" max="5135" width="24.7109375" style="404" customWidth="1"/>
    <col min="5136" max="5136" width="36.42578125" style="404" customWidth="1"/>
    <col min="5137" max="5137" width="46.7109375" style="404" customWidth="1"/>
    <col min="5138" max="5138" width="43.7109375" style="404" customWidth="1"/>
    <col min="5139" max="5139" width="25.42578125" style="404" customWidth="1"/>
    <col min="5140" max="5140" width="12.42578125" style="404" customWidth="1"/>
    <col min="5141" max="5141" width="16.42578125" style="404" customWidth="1"/>
    <col min="5142" max="5142" width="13.42578125" style="404" customWidth="1"/>
    <col min="5143" max="5143" width="8.5703125" style="404" customWidth="1"/>
    <col min="5144" max="5147" width="11.42578125" style="404" customWidth="1"/>
    <col min="5148" max="5148" width="12.7109375" style="404" customWidth="1"/>
    <col min="5149" max="5149" width="11.85546875" style="404" customWidth="1"/>
    <col min="5150" max="5150" width="7.85546875" style="404" customWidth="1"/>
    <col min="5151" max="5151" width="7.5703125" style="404" customWidth="1"/>
    <col min="5152" max="5152" width="8.85546875" style="404" customWidth="1"/>
    <col min="5153" max="5153" width="8.140625" style="404" customWidth="1"/>
    <col min="5154" max="5154" width="7.85546875" style="404" customWidth="1"/>
    <col min="5155" max="5155" width="8.5703125" style="404" customWidth="1"/>
    <col min="5156" max="5156" width="8.28515625" style="404" customWidth="1"/>
    <col min="5157" max="5157" width="11.42578125" style="404" customWidth="1"/>
    <col min="5158" max="5158" width="18" style="404" customWidth="1"/>
    <col min="5159" max="5159" width="21.42578125" style="404" customWidth="1"/>
    <col min="5160" max="5160" width="27.85546875" style="404" customWidth="1"/>
    <col min="5161" max="5376" width="11.42578125" style="404"/>
    <col min="5377" max="5377" width="13.5703125" style="404" customWidth="1"/>
    <col min="5378" max="5378" width="19" style="404" customWidth="1"/>
    <col min="5379" max="5379" width="13.5703125" style="404" customWidth="1"/>
    <col min="5380" max="5380" width="19.7109375" style="404" customWidth="1"/>
    <col min="5381" max="5381" width="13.5703125" style="404" customWidth="1"/>
    <col min="5382" max="5383" width="14.7109375" style="404" customWidth="1"/>
    <col min="5384" max="5384" width="36.140625" style="404" customWidth="1"/>
    <col min="5385" max="5385" width="29.42578125" style="404" customWidth="1"/>
    <col min="5386" max="5386" width="16" style="404" customWidth="1"/>
    <col min="5387" max="5387" width="38.28515625" style="404" customWidth="1"/>
    <col min="5388" max="5388" width="12" style="404" customWidth="1"/>
    <col min="5389" max="5389" width="38.140625" style="404" customWidth="1"/>
    <col min="5390" max="5390" width="17.85546875" style="404" bestFit="1" customWidth="1"/>
    <col min="5391" max="5391" width="24.7109375" style="404" customWidth="1"/>
    <col min="5392" max="5392" width="36.42578125" style="404" customWidth="1"/>
    <col min="5393" max="5393" width="46.7109375" style="404" customWidth="1"/>
    <col min="5394" max="5394" width="43.7109375" style="404" customWidth="1"/>
    <col min="5395" max="5395" width="25.42578125" style="404" customWidth="1"/>
    <col min="5396" max="5396" width="12.42578125" style="404" customWidth="1"/>
    <col min="5397" max="5397" width="16.42578125" style="404" customWidth="1"/>
    <col min="5398" max="5398" width="13.42578125" style="404" customWidth="1"/>
    <col min="5399" max="5399" width="8.5703125" style="404" customWidth="1"/>
    <col min="5400" max="5403" width="11.42578125" style="404" customWidth="1"/>
    <col min="5404" max="5404" width="12.7109375" style="404" customWidth="1"/>
    <col min="5405" max="5405" width="11.85546875" style="404" customWidth="1"/>
    <col min="5406" max="5406" width="7.85546875" style="404" customWidth="1"/>
    <col min="5407" max="5407" width="7.5703125" style="404" customWidth="1"/>
    <col min="5408" max="5408" width="8.85546875" style="404" customWidth="1"/>
    <col min="5409" max="5409" width="8.140625" style="404" customWidth="1"/>
    <col min="5410" max="5410" width="7.85546875" style="404" customWidth="1"/>
    <col min="5411" max="5411" width="8.5703125" style="404" customWidth="1"/>
    <col min="5412" max="5412" width="8.28515625" style="404" customWidth="1"/>
    <col min="5413" max="5413" width="11.42578125" style="404" customWidth="1"/>
    <col min="5414" max="5414" width="18" style="404" customWidth="1"/>
    <col min="5415" max="5415" width="21.42578125" style="404" customWidth="1"/>
    <col min="5416" max="5416" width="27.85546875" style="404" customWidth="1"/>
    <col min="5417" max="5632" width="11.42578125" style="404"/>
    <col min="5633" max="5633" width="13.5703125" style="404" customWidth="1"/>
    <col min="5634" max="5634" width="19" style="404" customWidth="1"/>
    <col min="5635" max="5635" width="13.5703125" style="404" customWidth="1"/>
    <col min="5636" max="5636" width="19.7109375" style="404" customWidth="1"/>
    <col min="5637" max="5637" width="13.5703125" style="404" customWidth="1"/>
    <col min="5638" max="5639" width="14.7109375" style="404" customWidth="1"/>
    <col min="5640" max="5640" width="36.140625" style="404" customWidth="1"/>
    <col min="5641" max="5641" width="29.42578125" style="404" customWidth="1"/>
    <col min="5642" max="5642" width="16" style="404" customWidth="1"/>
    <col min="5643" max="5643" width="38.28515625" style="404" customWidth="1"/>
    <col min="5644" max="5644" width="12" style="404" customWidth="1"/>
    <col min="5645" max="5645" width="38.140625" style="404" customWidth="1"/>
    <col min="5646" max="5646" width="17.85546875" style="404" bestFit="1" customWidth="1"/>
    <col min="5647" max="5647" width="24.7109375" style="404" customWidth="1"/>
    <col min="5648" max="5648" width="36.42578125" style="404" customWidth="1"/>
    <col min="5649" max="5649" width="46.7109375" style="404" customWidth="1"/>
    <col min="5650" max="5650" width="43.7109375" style="404" customWidth="1"/>
    <col min="5651" max="5651" width="25.42578125" style="404" customWidth="1"/>
    <col min="5652" max="5652" width="12.42578125" style="404" customWidth="1"/>
    <col min="5653" max="5653" width="16.42578125" style="404" customWidth="1"/>
    <col min="5654" max="5654" width="13.42578125" style="404" customWidth="1"/>
    <col min="5655" max="5655" width="8.5703125" style="404" customWidth="1"/>
    <col min="5656" max="5659" width="11.42578125" style="404" customWidth="1"/>
    <col min="5660" max="5660" width="12.7109375" style="404" customWidth="1"/>
    <col min="5661" max="5661" width="11.85546875" style="404" customWidth="1"/>
    <col min="5662" max="5662" width="7.85546875" style="404" customWidth="1"/>
    <col min="5663" max="5663" width="7.5703125" style="404" customWidth="1"/>
    <col min="5664" max="5664" width="8.85546875" style="404" customWidth="1"/>
    <col min="5665" max="5665" width="8.140625" style="404" customWidth="1"/>
    <col min="5666" max="5666" width="7.85546875" style="404" customWidth="1"/>
    <col min="5667" max="5667" width="8.5703125" style="404" customWidth="1"/>
    <col min="5668" max="5668" width="8.28515625" style="404" customWidth="1"/>
    <col min="5669" max="5669" width="11.42578125" style="404" customWidth="1"/>
    <col min="5670" max="5670" width="18" style="404" customWidth="1"/>
    <col min="5671" max="5671" width="21.42578125" style="404" customWidth="1"/>
    <col min="5672" max="5672" width="27.85546875" style="404" customWidth="1"/>
    <col min="5673" max="5888" width="11.42578125" style="404"/>
    <col min="5889" max="5889" width="13.5703125" style="404" customWidth="1"/>
    <col min="5890" max="5890" width="19" style="404" customWidth="1"/>
    <col min="5891" max="5891" width="13.5703125" style="404" customWidth="1"/>
    <col min="5892" max="5892" width="19.7109375" style="404" customWidth="1"/>
    <col min="5893" max="5893" width="13.5703125" style="404" customWidth="1"/>
    <col min="5894" max="5895" width="14.7109375" style="404" customWidth="1"/>
    <col min="5896" max="5896" width="36.140625" style="404" customWidth="1"/>
    <col min="5897" max="5897" width="29.42578125" style="404" customWidth="1"/>
    <col min="5898" max="5898" width="16" style="404" customWidth="1"/>
    <col min="5899" max="5899" width="38.28515625" style="404" customWidth="1"/>
    <col min="5900" max="5900" width="12" style="404" customWidth="1"/>
    <col min="5901" max="5901" width="38.140625" style="404" customWidth="1"/>
    <col min="5902" max="5902" width="17.85546875" style="404" bestFit="1" customWidth="1"/>
    <col min="5903" max="5903" width="24.7109375" style="404" customWidth="1"/>
    <col min="5904" max="5904" width="36.42578125" style="404" customWidth="1"/>
    <col min="5905" max="5905" width="46.7109375" style="404" customWidth="1"/>
    <col min="5906" max="5906" width="43.7109375" style="404" customWidth="1"/>
    <col min="5907" max="5907" width="25.42578125" style="404" customWidth="1"/>
    <col min="5908" max="5908" width="12.42578125" style="404" customWidth="1"/>
    <col min="5909" max="5909" width="16.42578125" style="404" customWidth="1"/>
    <col min="5910" max="5910" width="13.42578125" style="404" customWidth="1"/>
    <col min="5911" max="5911" width="8.5703125" style="404" customWidth="1"/>
    <col min="5912" max="5915" width="11.42578125" style="404" customWidth="1"/>
    <col min="5916" max="5916" width="12.7109375" style="404" customWidth="1"/>
    <col min="5917" max="5917" width="11.85546875" style="404" customWidth="1"/>
    <col min="5918" max="5918" width="7.85546875" style="404" customWidth="1"/>
    <col min="5919" max="5919" width="7.5703125" style="404" customWidth="1"/>
    <col min="5920" max="5920" width="8.85546875" style="404" customWidth="1"/>
    <col min="5921" max="5921" width="8.140625" style="404" customWidth="1"/>
    <col min="5922" max="5922" width="7.85546875" style="404" customWidth="1"/>
    <col min="5923" max="5923" width="8.5703125" style="404" customWidth="1"/>
    <col min="5924" max="5924" width="8.28515625" style="404" customWidth="1"/>
    <col min="5925" max="5925" width="11.42578125" style="404" customWidth="1"/>
    <col min="5926" max="5926" width="18" style="404" customWidth="1"/>
    <col min="5927" max="5927" width="21.42578125" style="404" customWidth="1"/>
    <col min="5928" max="5928" width="27.85546875" style="404" customWidth="1"/>
    <col min="5929" max="6144" width="11.42578125" style="404"/>
    <col min="6145" max="6145" width="13.5703125" style="404" customWidth="1"/>
    <col min="6146" max="6146" width="19" style="404" customWidth="1"/>
    <col min="6147" max="6147" width="13.5703125" style="404" customWidth="1"/>
    <col min="6148" max="6148" width="19.7109375" style="404" customWidth="1"/>
    <col min="6149" max="6149" width="13.5703125" style="404" customWidth="1"/>
    <col min="6150" max="6151" width="14.7109375" style="404" customWidth="1"/>
    <col min="6152" max="6152" width="36.140625" style="404" customWidth="1"/>
    <col min="6153" max="6153" width="29.42578125" style="404" customWidth="1"/>
    <col min="6154" max="6154" width="16" style="404" customWidth="1"/>
    <col min="6155" max="6155" width="38.28515625" style="404" customWidth="1"/>
    <col min="6156" max="6156" width="12" style="404" customWidth="1"/>
    <col min="6157" max="6157" width="38.140625" style="404" customWidth="1"/>
    <col min="6158" max="6158" width="17.85546875" style="404" bestFit="1" customWidth="1"/>
    <col min="6159" max="6159" width="24.7109375" style="404" customWidth="1"/>
    <col min="6160" max="6160" width="36.42578125" style="404" customWidth="1"/>
    <col min="6161" max="6161" width="46.7109375" style="404" customWidth="1"/>
    <col min="6162" max="6162" width="43.7109375" style="404" customWidth="1"/>
    <col min="6163" max="6163" width="25.42578125" style="404" customWidth="1"/>
    <col min="6164" max="6164" width="12.42578125" style="404" customWidth="1"/>
    <col min="6165" max="6165" width="16.42578125" style="404" customWidth="1"/>
    <col min="6166" max="6166" width="13.42578125" style="404" customWidth="1"/>
    <col min="6167" max="6167" width="8.5703125" style="404" customWidth="1"/>
    <col min="6168" max="6171" width="11.42578125" style="404" customWidth="1"/>
    <col min="6172" max="6172" width="12.7109375" style="404" customWidth="1"/>
    <col min="6173" max="6173" width="11.85546875" style="404" customWidth="1"/>
    <col min="6174" max="6174" width="7.85546875" style="404" customWidth="1"/>
    <col min="6175" max="6175" width="7.5703125" style="404" customWidth="1"/>
    <col min="6176" max="6176" width="8.85546875" style="404" customWidth="1"/>
    <col min="6177" max="6177" width="8.140625" style="404" customWidth="1"/>
    <col min="6178" max="6178" width="7.85546875" style="404" customWidth="1"/>
    <col min="6179" max="6179" width="8.5703125" style="404" customWidth="1"/>
    <col min="6180" max="6180" width="8.28515625" style="404" customWidth="1"/>
    <col min="6181" max="6181" width="11.42578125" style="404" customWidth="1"/>
    <col min="6182" max="6182" width="18" style="404" customWidth="1"/>
    <col min="6183" max="6183" width="21.42578125" style="404" customWidth="1"/>
    <col min="6184" max="6184" width="27.85546875" style="404" customWidth="1"/>
    <col min="6185" max="6400" width="11.42578125" style="404"/>
    <col min="6401" max="6401" width="13.5703125" style="404" customWidth="1"/>
    <col min="6402" max="6402" width="19" style="404" customWidth="1"/>
    <col min="6403" max="6403" width="13.5703125" style="404" customWidth="1"/>
    <col min="6404" max="6404" width="19.7109375" style="404" customWidth="1"/>
    <col min="6405" max="6405" width="13.5703125" style="404" customWidth="1"/>
    <col min="6406" max="6407" width="14.7109375" style="404" customWidth="1"/>
    <col min="6408" max="6408" width="36.140625" style="404" customWidth="1"/>
    <col min="6409" max="6409" width="29.42578125" style="404" customWidth="1"/>
    <col min="6410" max="6410" width="16" style="404" customWidth="1"/>
    <col min="6411" max="6411" width="38.28515625" style="404" customWidth="1"/>
    <col min="6412" max="6412" width="12" style="404" customWidth="1"/>
    <col min="6413" max="6413" width="38.140625" style="404" customWidth="1"/>
    <col min="6414" max="6414" width="17.85546875" style="404" bestFit="1" customWidth="1"/>
    <col min="6415" max="6415" width="24.7109375" style="404" customWidth="1"/>
    <col min="6416" max="6416" width="36.42578125" style="404" customWidth="1"/>
    <col min="6417" max="6417" width="46.7109375" style="404" customWidth="1"/>
    <col min="6418" max="6418" width="43.7109375" style="404" customWidth="1"/>
    <col min="6419" max="6419" width="25.42578125" style="404" customWidth="1"/>
    <col min="6420" max="6420" width="12.42578125" style="404" customWidth="1"/>
    <col min="6421" max="6421" width="16.42578125" style="404" customWidth="1"/>
    <col min="6422" max="6422" width="13.42578125" style="404" customWidth="1"/>
    <col min="6423" max="6423" width="8.5703125" style="404" customWidth="1"/>
    <col min="6424" max="6427" width="11.42578125" style="404" customWidth="1"/>
    <col min="6428" max="6428" width="12.7109375" style="404" customWidth="1"/>
    <col min="6429" max="6429" width="11.85546875" style="404" customWidth="1"/>
    <col min="6430" max="6430" width="7.85546875" style="404" customWidth="1"/>
    <col min="6431" max="6431" width="7.5703125" style="404" customWidth="1"/>
    <col min="6432" max="6432" width="8.85546875" style="404" customWidth="1"/>
    <col min="6433" max="6433" width="8.140625" style="404" customWidth="1"/>
    <col min="6434" max="6434" width="7.85546875" style="404" customWidth="1"/>
    <col min="6435" max="6435" width="8.5703125" style="404" customWidth="1"/>
    <col min="6436" max="6436" width="8.28515625" style="404" customWidth="1"/>
    <col min="6437" max="6437" width="11.42578125" style="404" customWidth="1"/>
    <col min="6438" max="6438" width="18" style="404" customWidth="1"/>
    <col min="6439" max="6439" width="21.42578125" style="404" customWidth="1"/>
    <col min="6440" max="6440" width="27.85546875" style="404" customWidth="1"/>
    <col min="6441" max="6656" width="11.42578125" style="404"/>
    <col min="6657" max="6657" width="13.5703125" style="404" customWidth="1"/>
    <col min="6658" max="6658" width="19" style="404" customWidth="1"/>
    <col min="6659" max="6659" width="13.5703125" style="404" customWidth="1"/>
    <col min="6660" max="6660" width="19.7109375" style="404" customWidth="1"/>
    <col min="6661" max="6661" width="13.5703125" style="404" customWidth="1"/>
    <col min="6662" max="6663" width="14.7109375" style="404" customWidth="1"/>
    <col min="6664" max="6664" width="36.140625" style="404" customWidth="1"/>
    <col min="6665" max="6665" width="29.42578125" style="404" customWidth="1"/>
    <col min="6666" max="6666" width="16" style="404" customWidth="1"/>
    <col min="6667" max="6667" width="38.28515625" style="404" customWidth="1"/>
    <col min="6668" max="6668" width="12" style="404" customWidth="1"/>
    <col min="6669" max="6669" width="38.140625" style="404" customWidth="1"/>
    <col min="6670" max="6670" width="17.85546875" style="404" bestFit="1" customWidth="1"/>
    <col min="6671" max="6671" width="24.7109375" style="404" customWidth="1"/>
    <col min="6672" max="6672" width="36.42578125" style="404" customWidth="1"/>
    <col min="6673" max="6673" width="46.7109375" style="404" customWidth="1"/>
    <col min="6674" max="6674" width="43.7109375" style="404" customWidth="1"/>
    <col min="6675" max="6675" width="25.42578125" style="404" customWidth="1"/>
    <col min="6676" max="6676" width="12.42578125" style="404" customWidth="1"/>
    <col min="6677" max="6677" width="16.42578125" style="404" customWidth="1"/>
    <col min="6678" max="6678" width="13.42578125" style="404" customWidth="1"/>
    <col min="6679" max="6679" width="8.5703125" style="404" customWidth="1"/>
    <col min="6680" max="6683" width="11.42578125" style="404" customWidth="1"/>
    <col min="6684" max="6684" width="12.7109375" style="404" customWidth="1"/>
    <col min="6685" max="6685" width="11.85546875" style="404" customWidth="1"/>
    <col min="6686" max="6686" width="7.85546875" style="404" customWidth="1"/>
    <col min="6687" max="6687" width="7.5703125" style="404" customWidth="1"/>
    <col min="6688" max="6688" width="8.85546875" style="404" customWidth="1"/>
    <col min="6689" max="6689" width="8.140625" style="404" customWidth="1"/>
    <col min="6690" max="6690" width="7.85546875" style="404" customWidth="1"/>
    <col min="6691" max="6691" width="8.5703125" style="404" customWidth="1"/>
    <col min="6692" max="6692" width="8.28515625" style="404" customWidth="1"/>
    <col min="6693" max="6693" width="11.42578125" style="404" customWidth="1"/>
    <col min="6694" max="6694" width="18" style="404" customWidth="1"/>
    <col min="6695" max="6695" width="21.42578125" style="404" customWidth="1"/>
    <col min="6696" max="6696" width="27.85546875" style="404" customWidth="1"/>
    <col min="6697" max="6912" width="11.42578125" style="404"/>
    <col min="6913" max="6913" width="13.5703125" style="404" customWidth="1"/>
    <col min="6914" max="6914" width="19" style="404" customWidth="1"/>
    <col min="6915" max="6915" width="13.5703125" style="404" customWidth="1"/>
    <col min="6916" max="6916" width="19.7109375" style="404" customWidth="1"/>
    <col min="6917" max="6917" width="13.5703125" style="404" customWidth="1"/>
    <col min="6918" max="6919" width="14.7109375" style="404" customWidth="1"/>
    <col min="6920" max="6920" width="36.140625" style="404" customWidth="1"/>
    <col min="6921" max="6921" width="29.42578125" style="404" customWidth="1"/>
    <col min="6922" max="6922" width="16" style="404" customWidth="1"/>
    <col min="6923" max="6923" width="38.28515625" style="404" customWidth="1"/>
    <col min="6924" max="6924" width="12" style="404" customWidth="1"/>
    <col min="6925" max="6925" width="38.140625" style="404" customWidth="1"/>
    <col min="6926" max="6926" width="17.85546875" style="404" bestFit="1" customWidth="1"/>
    <col min="6927" max="6927" width="24.7109375" style="404" customWidth="1"/>
    <col min="6928" max="6928" width="36.42578125" style="404" customWidth="1"/>
    <col min="6929" max="6929" width="46.7109375" style="404" customWidth="1"/>
    <col min="6930" max="6930" width="43.7109375" style="404" customWidth="1"/>
    <col min="6931" max="6931" width="25.42578125" style="404" customWidth="1"/>
    <col min="6932" max="6932" width="12.42578125" style="404" customWidth="1"/>
    <col min="6933" max="6933" width="16.42578125" style="404" customWidth="1"/>
    <col min="6934" max="6934" width="13.42578125" style="404" customWidth="1"/>
    <col min="6935" max="6935" width="8.5703125" style="404" customWidth="1"/>
    <col min="6936" max="6939" width="11.42578125" style="404" customWidth="1"/>
    <col min="6940" max="6940" width="12.7109375" style="404" customWidth="1"/>
    <col min="6941" max="6941" width="11.85546875" style="404" customWidth="1"/>
    <col min="6942" max="6942" width="7.85546875" style="404" customWidth="1"/>
    <col min="6943" max="6943" width="7.5703125" style="404" customWidth="1"/>
    <col min="6944" max="6944" width="8.85546875" style="404" customWidth="1"/>
    <col min="6945" max="6945" width="8.140625" style="404" customWidth="1"/>
    <col min="6946" max="6946" width="7.85546875" style="404" customWidth="1"/>
    <col min="6947" max="6947" width="8.5703125" style="404" customWidth="1"/>
    <col min="6948" max="6948" width="8.28515625" style="404" customWidth="1"/>
    <col min="6949" max="6949" width="11.42578125" style="404" customWidth="1"/>
    <col min="6950" max="6950" width="18" style="404" customWidth="1"/>
    <col min="6951" max="6951" width="21.42578125" style="404" customWidth="1"/>
    <col min="6952" max="6952" width="27.85546875" style="404" customWidth="1"/>
    <col min="6953" max="7168" width="11.42578125" style="404"/>
    <col min="7169" max="7169" width="13.5703125" style="404" customWidth="1"/>
    <col min="7170" max="7170" width="19" style="404" customWidth="1"/>
    <col min="7171" max="7171" width="13.5703125" style="404" customWidth="1"/>
    <col min="7172" max="7172" width="19.7109375" style="404" customWidth="1"/>
    <col min="7173" max="7173" width="13.5703125" style="404" customWidth="1"/>
    <col min="7174" max="7175" width="14.7109375" style="404" customWidth="1"/>
    <col min="7176" max="7176" width="36.140625" style="404" customWidth="1"/>
    <col min="7177" max="7177" width="29.42578125" style="404" customWidth="1"/>
    <col min="7178" max="7178" width="16" style="404" customWidth="1"/>
    <col min="7179" max="7179" width="38.28515625" style="404" customWidth="1"/>
    <col min="7180" max="7180" width="12" style="404" customWidth="1"/>
    <col min="7181" max="7181" width="38.140625" style="404" customWidth="1"/>
    <col min="7182" max="7182" width="17.85546875" style="404" bestFit="1" customWidth="1"/>
    <col min="7183" max="7183" width="24.7109375" style="404" customWidth="1"/>
    <col min="7184" max="7184" width="36.42578125" style="404" customWidth="1"/>
    <col min="7185" max="7185" width="46.7109375" style="404" customWidth="1"/>
    <col min="7186" max="7186" width="43.7109375" style="404" customWidth="1"/>
    <col min="7187" max="7187" width="25.42578125" style="404" customWidth="1"/>
    <col min="7188" max="7188" width="12.42578125" style="404" customWidth="1"/>
    <col min="7189" max="7189" width="16.42578125" style="404" customWidth="1"/>
    <col min="7190" max="7190" width="13.42578125" style="404" customWidth="1"/>
    <col min="7191" max="7191" width="8.5703125" style="404" customWidth="1"/>
    <col min="7192" max="7195" width="11.42578125" style="404" customWidth="1"/>
    <col min="7196" max="7196" width="12.7109375" style="404" customWidth="1"/>
    <col min="7197" max="7197" width="11.85546875" style="404" customWidth="1"/>
    <col min="7198" max="7198" width="7.85546875" style="404" customWidth="1"/>
    <col min="7199" max="7199" width="7.5703125" style="404" customWidth="1"/>
    <col min="7200" max="7200" width="8.85546875" style="404" customWidth="1"/>
    <col min="7201" max="7201" width="8.140625" style="404" customWidth="1"/>
    <col min="7202" max="7202" width="7.85546875" style="404" customWidth="1"/>
    <col min="7203" max="7203" width="8.5703125" style="404" customWidth="1"/>
    <col min="7204" max="7204" width="8.28515625" style="404" customWidth="1"/>
    <col min="7205" max="7205" width="11.42578125" style="404" customWidth="1"/>
    <col min="7206" max="7206" width="18" style="404" customWidth="1"/>
    <col min="7207" max="7207" width="21.42578125" style="404" customWidth="1"/>
    <col min="7208" max="7208" width="27.85546875" style="404" customWidth="1"/>
    <col min="7209" max="7424" width="11.42578125" style="404"/>
    <col min="7425" max="7425" width="13.5703125" style="404" customWidth="1"/>
    <col min="7426" max="7426" width="19" style="404" customWidth="1"/>
    <col min="7427" max="7427" width="13.5703125" style="404" customWidth="1"/>
    <col min="7428" max="7428" width="19.7109375" style="404" customWidth="1"/>
    <col min="7429" max="7429" width="13.5703125" style="404" customWidth="1"/>
    <col min="7430" max="7431" width="14.7109375" style="404" customWidth="1"/>
    <col min="7432" max="7432" width="36.140625" style="404" customWidth="1"/>
    <col min="7433" max="7433" width="29.42578125" style="404" customWidth="1"/>
    <col min="7434" max="7434" width="16" style="404" customWidth="1"/>
    <col min="7435" max="7435" width="38.28515625" style="404" customWidth="1"/>
    <col min="7436" max="7436" width="12" style="404" customWidth="1"/>
    <col min="7437" max="7437" width="38.140625" style="404" customWidth="1"/>
    <col min="7438" max="7438" width="17.85546875" style="404" bestFit="1" customWidth="1"/>
    <col min="7439" max="7439" width="24.7109375" style="404" customWidth="1"/>
    <col min="7440" max="7440" width="36.42578125" style="404" customWidth="1"/>
    <col min="7441" max="7441" width="46.7109375" style="404" customWidth="1"/>
    <col min="7442" max="7442" width="43.7109375" style="404" customWidth="1"/>
    <col min="7443" max="7443" width="25.42578125" style="404" customWidth="1"/>
    <col min="7444" max="7444" width="12.42578125" style="404" customWidth="1"/>
    <col min="7445" max="7445" width="16.42578125" style="404" customWidth="1"/>
    <col min="7446" max="7446" width="13.42578125" style="404" customWidth="1"/>
    <col min="7447" max="7447" width="8.5703125" style="404" customWidth="1"/>
    <col min="7448" max="7451" width="11.42578125" style="404" customWidth="1"/>
    <col min="7452" max="7452" width="12.7109375" style="404" customWidth="1"/>
    <col min="7453" max="7453" width="11.85546875" style="404" customWidth="1"/>
    <col min="7454" max="7454" width="7.85546875" style="404" customWidth="1"/>
    <col min="7455" max="7455" width="7.5703125" style="404" customWidth="1"/>
    <col min="7456" max="7456" width="8.85546875" style="404" customWidth="1"/>
    <col min="7457" max="7457" width="8.140625" style="404" customWidth="1"/>
    <col min="7458" max="7458" width="7.85546875" style="404" customWidth="1"/>
    <col min="7459" max="7459" width="8.5703125" style="404" customWidth="1"/>
    <col min="7460" max="7460" width="8.28515625" style="404" customWidth="1"/>
    <col min="7461" max="7461" width="11.42578125" style="404" customWidth="1"/>
    <col min="7462" max="7462" width="18" style="404" customWidth="1"/>
    <col min="7463" max="7463" width="21.42578125" style="404" customWidth="1"/>
    <col min="7464" max="7464" width="27.85546875" style="404" customWidth="1"/>
    <col min="7465" max="7680" width="11.42578125" style="404"/>
    <col min="7681" max="7681" width="13.5703125" style="404" customWidth="1"/>
    <col min="7682" max="7682" width="19" style="404" customWidth="1"/>
    <col min="7683" max="7683" width="13.5703125" style="404" customWidth="1"/>
    <col min="7684" max="7684" width="19.7109375" style="404" customWidth="1"/>
    <col min="7685" max="7685" width="13.5703125" style="404" customWidth="1"/>
    <col min="7686" max="7687" width="14.7109375" style="404" customWidth="1"/>
    <col min="7688" max="7688" width="36.140625" style="404" customWidth="1"/>
    <col min="7689" max="7689" width="29.42578125" style="404" customWidth="1"/>
    <col min="7690" max="7690" width="16" style="404" customWidth="1"/>
    <col min="7691" max="7691" width="38.28515625" style="404" customWidth="1"/>
    <col min="7692" max="7692" width="12" style="404" customWidth="1"/>
    <col min="7693" max="7693" width="38.140625" style="404" customWidth="1"/>
    <col min="7694" max="7694" width="17.85546875" style="404" bestFit="1" customWidth="1"/>
    <col min="7695" max="7695" width="24.7109375" style="404" customWidth="1"/>
    <col min="7696" max="7696" width="36.42578125" style="404" customWidth="1"/>
    <col min="7697" max="7697" width="46.7109375" style="404" customWidth="1"/>
    <col min="7698" max="7698" width="43.7109375" style="404" customWidth="1"/>
    <col min="7699" max="7699" width="25.42578125" style="404" customWidth="1"/>
    <col min="7700" max="7700" width="12.42578125" style="404" customWidth="1"/>
    <col min="7701" max="7701" width="16.42578125" style="404" customWidth="1"/>
    <col min="7702" max="7702" width="13.42578125" style="404" customWidth="1"/>
    <col min="7703" max="7703" width="8.5703125" style="404" customWidth="1"/>
    <col min="7704" max="7707" width="11.42578125" style="404" customWidth="1"/>
    <col min="7708" max="7708" width="12.7109375" style="404" customWidth="1"/>
    <col min="7709" max="7709" width="11.85546875" style="404" customWidth="1"/>
    <col min="7710" max="7710" width="7.85546875" style="404" customWidth="1"/>
    <col min="7711" max="7711" width="7.5703125" style="404" customWidth="1"/>
    <col min="7712" max="7712" width="8.85546875" style="404" customWidth="1"/>
    <col min="7713" max="7713" width="8.140625" style="404" customWidth="1"/>
    <col min="7714" max="7714" width="7.85546875" style="404" customWidth="1"/>
    <col min="7715" max="7715" width="8.5703125" style="404" customWidth="1"/>
    <col min="7716" max="7716" width="8.28515625" style="404" customWidth="1"/>
    <col min="7717" max="7717" width="11.42578125" style="404" customWidth="1"/>
    <col min="7718" max="7718" width="18" style="404" customWidth="1"/>
    <col min="7719" max="7719" width="21.42578125" style="404" customWidth="1"/>
    <col min="7720" max="7720" width="27.85546875" style="404" customWidth="1"/>
    <col min="7721" max="7936" width="11.42578125" style="404"/>
    <col min="7937" max="7937" width="13.5703125" style="404" customWidth="1"/>
    <col min="7938" max="7938" width="19" style="404" customWidth="1"/>
    <col min="7939" max="7939" width="13.5703125" style="404" customWidth="1"/>
    <col min="7940" max="7940" width="19.7109375" style="404" customWidth="1"/>
    <col min="7941" max="7941" width="13.5703125" style="404" customWidth="1"/>
    <col min="7942" max="7943" width="14.7109375" style="404" customWidth="1"/>
    <col min="7944" max="7944" width="36.140625" style="404" customWidth="1"/>
    <col min="7945" max="7945" width="29.42578125" style="404" customWidth="1"/>
    <col min="7946" max="7946" width="16" style="404" customWidth="1"/>
    <col min="7947" max="7947" width="38.28515625" style="404" customWidth="1"/>
    <col min="7948" max="7948" width="12" style="404" customWidth="1"/>
    <col min="7949" max="7949" width="38.140625" style="404" customWidth="1"/>
    <col min="7950" max="7950" width="17.85546875" style="404" bestFit="1" customWidth="1"/>
    <col min="7951" max="7951" width="24.7109375" style="404" customWidth="1"/>
    <col min="7952" max="7952" width="36.42578125" style="404" customWidth="1"/>
    <col min="7953" max="7953" width="46.7109375" style="404" customWidth="1"/>
    <col min="7954" max="7954" width="43.7109375" style="404" customWidth="1"/>
    <col min="7955" max="7955" width="25.42578125" style="404" customWidth="1"/>
    <col min="7956" max="7956" width="12.42578125" style="404" customWidth="1"/>
    <col min="7957" max="7957" width="16.42578125" style="404" customWidth="1"/>
    <col min="7958" max="7958" width="13.42578125" style="404" customWidth="1"/>
    <col min="7959" max="7959" width="8.5703125" style="404" customWidth="1"/>
    <col min="7960" max="7963" width="11.42578125" style="404" customWidth="1"/>
    <col min="7964" max="7964" width="12.7109375" style="404" customWidth="1"/>
    <col min="7965" max="7965" width="11.85546875" style="404" customWidth="1"/>
    <col min="7966" max="7966" width="7.85546875" style="404" customWidth="1"/>
    <col min="7967" max="7967" width="7.5703125" style="404" customWidth="1"/>
    <col min="7968" max="7968" width="8.85546875" style="404" customWidth="1"/>
    <col min="7969" max="7969" width="8.140625" style="404" customWidth="1"/>
    <col min="7970" max="7970" width="7.85546875" style="404" customWidth="1"/>
    <col min="7971" max="7971" width="8.5703125" style="404" customWidth="1"/>
    <col min="7972" max="7972" width="8.28515625" style="404" customWidth="1"/>
    <col min="7973" max="7973" width="11.42578125" style="404" customWidth="1"/>
    <col min="7974" max="7974" width="18" style="404" customWidth="1"/>
    <col min="7975" max="7975" width="21.42578125" style="404" customWidth="1"/>
    <col min="7976" max="7976" width="27.85546875" style="404" customWidth="1"/>
    <col min="7977" max="8192" width="11.42578125" style="404"/>
    <col min="8193" max="8193" width="13.5703125" style="404" customWidth="1"/>
    <col min="8194" max="8194" width="19" style="404" customWidth="1"/>
    <col min="8195" max="8195" width="13.5703125" style="404" customWidth="1"/>
    <col min="8196" max="8196" width="19.7109375" style="404" customWidth="1"/>
    <col min="8197" max="8197" width="13.5703125" style="404" customWidth="1"/>
    <col min="8198" max="8199" width="14.7109375" style="404" customWidth="1"/>
    <col min="8200" max="8200" width="36.140625" style="404" customWidth="1"/>
    <col min="8201" max="8201" width="29.42578125" style="404" customWidth="1"/>
    <col min="8202" max="8202" width="16" style="404" customWidth="1"/>
    <col min="8203" max="8203" width="38.28515625" style="404" customWidth="1"/>
    <col min="8204" max="8204" width="12" style="404" customWidth="1"/>
    <col min="8205" max="8205" width="38.140625" style="404" customWidth="1"/>
    <col min="8206" max="8206" width="17.85546875" style="404" bestFit="1" customWidth="1"/>
    <col min="8207" max="8207" width="24.7109375" style="404" customWidth="1"/>
    <col min="8208" max="8208" width="36.42578125" style="404" customWidth="1"/>
    <col min="8209" max="8209" width="46.7109375" style="404" customWidth="1"/>
    <col min="8210" max="8210" width="43.7109375" style="404" customWidth="1"/>
    <col min="8211" max="8211" width="25.42578125" style="404" customWidth="1"/>
    <col min="8212" max="8212" width="12.42578125" style="404" customWidth="1"/>
    <col min="8213" max="8213" width="16.42578125" style="404" customWidth="1"/>
    <col min="8214" max="8214" width="13.42578125" style="404" customWidth="1"/>
    <col min="8215" max="8215" width="8.5703125" style="404" customWidth="1"/>
    <col min="8216" max="8219" width="11.42578125" style="404" customWidth="1"/>
    <col min="8220" max="8220" width="12.7109375" style="404" customWidth="1"/>
    <col min="8221" max="8221" width="11.85546875" style="404" customWidth="1"/>
    <col min="8222" max="8222" width="7.85546875" style="404" customWidth="1"/>
    <col min="8223" max="8223" width="7.5703125" style="404" customWidth="1"/>
    <col min="8224" max="8224" width="8.85546875" style="404" customWidth="1"/>
    <col min="8225" max="8225" width="8.140625" style="404" customWidth="1"/>
    <col min="8226" max="8226" width="7.85546875" style="404" customWidth="1"/>
    <col min="8227" max="8227" width="8.5703125" style="404" customWidth="1"/>
    <col min="8228" max="8228" width="8.28515625" style="404" customWidth="1"/>
    <col min="8229" max="8229" width="11.42578125" style="404" customWidth="1"/>
    <col min="8230" max="8230" width="18" style="404" customWidth="1"/>
    <col min="8231" max="8231" width="21.42578125" style="404" customWidth="1"/>
    <col min="8232" max="8232" width="27.85546875" style="404" customWidth="1"/>
    <col min="8233" max="8448" width="11.42578125" style="404"/>
    <col min="8449" max="8449" width="13.5703125" style="404" customWidth="1"/>
    <col min="8450" max="8450" width="19" style="404" customWidth="1"/>
    <col min="8451" max="8451" width="13.5703125" style="404" customWidth="1"/>
    <col min="8452" max="8452" width="19.7109375" style="404" customWidth="1"/>
    <col min="8453" max="8453" width="13.5703125" style="404" customWidth="1"/>
    <col min="8454" max="8455" width="14.7109375" style="404" customWidth="1"/>
    <col min="8456" max="8456" width="36.140625" style="404" customWidth="1"/>
    <col min="8457" max="8457" width="29.42578125" style="404" customWidth="1"/>
    <col min="8458" max="8458" width="16" style="404" customWidth="1"/>
    <col min="8459" max="8459" width="38.28515625" style="404" customWidth="1"/>
    <col min="8460" max="8460" width="12" style="404" customWidth="1"/>
    <col min="8461" max="8461" width="38.140625" style="404" customWidth="1"/>
    <col min="8462" max="8462" width="17.85546875" style="404" bestFit="1" customWidth="1"/>
    <col min="8463" max="8463" width="24.7109375" style="404" customWidth="1"/>
    <col min="8464" max="8464" width="36.42578125" style="404" customWidth="1"/>
    <col min="8465" max="8465" width="46.7109375" style="404" customWidth="1"/>
    <col min="8466" max="8466" width="43.7109375" style="404" customWidth="1"/>
    <col min="8467" max="8467" width="25.42578125" style="404" customWidth="1"/>
    <col min="8468" max="8468" width="12.42578125" style="404" customWidth="1"/>
    <col min="8469" max="8469" width="16.42578125" style="404" customWidth="1"/>
    <col min="8470" max="8470" width="13.42578125" style="404" customWidth="1"/>
    <col min="8471" max="8471" width="8.5703125" style="404" customWidth="1"/>
    <col min="8472" max="8475" width="11.42578125" style="404" customWidth="1"/>
    <col min="8476" max="8476" width="12.7109375" style="404" customWidth="1"/>
    <col min="8477" max="8477" width="11.85546875" style="404" customWidth="1"/>
    <col min="8478" max="8478" width="7.85546875" style="404" customWidth="1"/>
    <col min="8479" max="8479" width="7.5703125" style="404" customWidth="1"/>
    <col min="8480" max="8480" width="8.85546875" style="404" customWidth="1"/>
    <col min="8481" max="8481" width="8.140625" style="404" customWidth="1"/>
    <col min="8482" max="8482" width="7.85546875" style="404" customWidth="1"/>
    <col min="8483" max="8483" width="8.5703125" style="404" customWidth="1"/>
    <col min="8484" max="8484" width="8.28515625" style="404" customWidth="1"/>
    <col min="8485" max="8485" width="11.42578125" style="404" customWidth="1"/>
    <col min="8486" max="8486" width="18" style="404" customWidth="1"/>
    <col min="8487" max="8487" width="21.42578125" style="404" customWidth="1"/>
    <col min="8488" max="8488" width="27.85546875" style="404" customWidth="1"/>
    <col min="8489" max="8704" width="11.42578125" style="404"/>
    <col min="8705" max="8705" width="13.5703125" style="404" customWidth="1"/>
    <col min="8706" max="8706" width="19" style="404" customWidth="1"/>
    <col min="8707" max="8707" width="13.5703125" style="404" customWidth="1"/>
    <col min="8708" max="8708" width="19.7109375" style="404" customWidth="1"/>
    <col min="8709" max="8709" width="13.5703125" style="404" customWidth="1"/>
    <col min="8710" max="8711" width="14.7109375" style="404" customWidth="1"/>
    <col min="8712" max="8712" width="36.140625" style="404" customWidth="1"/>
    <col min="8713" max="8713" width="29.42578125" style="404" customWidth="1"/>
    <col min="8714" max="8714" width="16" style="404" customWidth="1"/>
    <col min="8715" max="8715" width="38.28515625" style="404" customWidth="1"/>
    <col min="8716" max="8716" width="12" style="404" customWidth="1"/>
    <col min="8717" max="8717" width="38.140625" style="404" customWidth="1"/>
    <col min="8718" max="8718" width="17.85546875" style="404" bestFit="1" customWidth="1"/>
    <col min="8719" max="8719" width="24.7109375" style="404" customWidth="1"/>
    <col min="8720" max="8720" width="36.42578125" style="404" customWidth="1"/>
    <col min="8721" max="8721" width="46.7109375" style="404" customWidth="1"/>
    <col min="8722" max="8722" width="43.7109375" style="404" customWidth="1"/>
    <col min="8723" max="8723" width="25.42578125" style="404" customWidth="1"/>
    <col min="8724" max="8724" width="12.42578125" style="404" customWidth="1"/>
    <col min="8725" max="8725" width="16.42578125" style="404" customWidth="1"/>
    <col min="8726" max="8726" width="13.42578125" style="404" customWidth="1"/>
    <col min="8727" max="8727" width="8.5703125" style="404" customWidth="1"/>
    <col min="8728" max="8731" width="11.42578125" style="404" customWidth="1"/>
    <col min="8732" max="8732" width="12.7109375" style="404" customWidth="1"/>
    <col min="8733" max="8733" width="11.85546875" style="404" customWidth="1"/>
    <col min="8734" max="8734" width="7.85546875" style="404" customWidth="1"/>
    <col min="8735" max="8735" width="7.5703125" style="404" customWidth="1"/>
    <col min="8736" max="8736" width="8.85546875" style="404" customWidth="1"/>
    <col min="8737" max="8737" width="8.140625" style="404" customWidth="1"/>
    <col min="8738" max="8738" width="7.85546875" style="404" customWidth="1"/>
    <col min="8739" max="8739" width="8.5703125" style="404" customWidth="1"/>
    <col min="8740" max="8740" width="8.28515625" style="404" customWidth="1"/>
    <col min="8741" max="8741" width="11.42578125" style="404" customWidth="1"/>
    <col min="8742" max="8742" width="18" style="404" customWidth="1"/>
    <col min="8743" max="8743" width="21.42578125" style="404" customWidth="1"/>
    <col min="8744" max="8744" width="27.85546875" style="404" customWidth="1"/>
    <col min="8745" max="8960" width="11.42578125" style="404"/>
    <col min="8961" max="8961" width="13.5703125" style="404" customWidth="1"/>
    <col min="8962" max="8962" width="19" style="404" customWidth="1"/>
    <col min="8963" max="8963" width="13.5703125" style="404" customWidth="1"/>
    <col min="8964" max="8964" width="19.7109375" style="404" customWidth="1"/>
    <col min="8965" max="8965" width="13.5703125" style="404" customWidth="1"/>
    <col min="8966" max="8967" width="14.7109375" style="404" customWidth="1"/>
    <col min="8968" max="8968" width="36.140625" style="404" customWidth="1"/>
    <col min="8969" max="8969" width="29.42578125" style="404" customWidth="1"/>
    <col min="8970" max="8970" width="16" style="404" customWidth="1"/>
    <col min="8971" max="8971" width="38.28515625" style="404" customWidth="1"/>
    <col min="8972" max="8972" width="12" style="404" customWidth="1"/>
    <col min="8973" max="8973" width="38.140625" style="404" customWidth="1"/>
    <col min="8974" max="8974" width="17.85546875" style="404" bestFit="1" customWidth="1"/>
    <col min="8975" max="8975" width="24.7109375" style="404" customWidth="1"/>
    <col min="8976" max="8976" width="36.42578125" style="404" customWidth="1"/>
    <col min="8977" max="8977" width="46.7109375" style="404" customWidth="1"/>
    <col min="8978" max="8978" width="43.7109375" style="404" customWidth="1"/>
    <col min="8979" max="8979" width="25.42578125" style="404" customWidth="1"/>
    <col min="8980" max="8980" width="12.42578125" style="404" customWidth="1"/>
    <col min="8981" max="8981" width="16.42578125" style="404" customWidth="1"/>
    <col min="8982" max="8982" width="13.42578125" style="404" customWidth="1"/>
    <col min="8983" max="8983" width="8.5703125" style="404" customWidth="1"/>
    <col min="8984" max="8987" width="11.42578125" style="404" customWidth="1"/>
    <col min="8988" max="8988" width="12.7109375" style="404" customWidth="1"/>
    <col min="8989" max="8989" width="11.85546875" style="404" customWidth="1"/>
    <col min="8990" max="8990" width="7.85546875" style="404" customWidth="1"/>
    <col min="8991" max="8991" width="7.5703125" style="404" customWidth="1"/>
    <col min="8992" max="8992" width="8.85546875" style="404" customWidth="1"/>
    <col min="8993" max="8993" width="8.140625" style="404" customWidth="1"/>
    <col min="8994" max="8994" width="7.85546875" style="404" customWidth="1"/>
    <col min="8995" max="8995" width="8.5703125" style="404" customWidth="1"/>
    <col min="8996" max="8996" width="8.28515625" style="404" customWidth="1"/>
    <col min="8997" max="8997" width="11.42578125" style="404" customWidth="1"/>
    <col min="8998" max="8998" width="18" style="404" customWidth="1"/>
    <col min="8999" max="8999" width="21.42578125" style="404" customWidth="1"/>
    <col min="9000" max="9000" width="27.85546875" style="404" customWidth="1"/>
    <col min="9001" max="9216" width="11.42578125" style="404"/>
    <col min="9217" max="9217" width="13.5703125" style="404" customWidth="1"/>
    <col min="9218" max="9218" width="19" style="404" customWidth="1"/>
    <col min="9219" max="9219" width="13.5703125" style="404" customWidth="1"/>
    <col min="9220" max="9220" width="19.7109375" style="404" customWidth="1"/>
    <col min="9221" max="9221" width="13.5703125" style="404" customWidth="1"/>
    <col min="9222" max="9223" width="14.7109375" style="404" customWidth="1"/>
    <col min="9224" max="9224" width="36.140625" style="404" customWidth="1"/>
    <col min="9225" max="9225" width="29.42578125" style="404" customWidth="1"/>
    <col min="9226" max="9226" width="16" style="404" customWidth="1"/>
    <col min="9227" max="9227" width="38.28515625" style="404" customWidth="1"/>
    <col min="9228" max="9228" width="12" style="404" customWidth="1"/>
    <col min="9229" max="9229" width="38.140625" style="404" customWidth="1"/>
    <col min="9230" max="9230" width="17.85546875" style="404" bestFit="1" customWidth="1"/>
    <col min="9231" max="9231" width="24.7109375" style="404" customWidth="1"/>
    <col min="9232" max="9232" width="36.42578125" style="404" customWidth="1"/>
    <col min="9233" max="9233" width="46.7109375" style="404" customWidth="1"/>
    <col min="9234" max="9234" width="43.7109375" style="404" customWidth="1"/>
    <col min="9235" max="9235" width="25.42578125" style="404" customWidth="1"/>
    <col min="9236" max="9236" width="12.42578125" style="404" customWidth="1"/>
    <col min="9237" max="9237" width="16.42578125" style="404" customWidth="1"/>
    <col min="9238" max="9238" width="13.42578125" style="404" customWidth="1"/>
    <col min="9239" max="9239" width="8.5703125" style="404" customWidth="1"/>
    <col min="9240" max="9243" width="11.42578125" style="404" customWidth="1"/>
    <col min="9244" max="9244" width="12.7109375" style="404" customWidth="1"/>
    <col min="9245" max="9245" width="11.85546875" style="404" customWidth="1"/>
    <col min="9246" max="9246" width="7.85546875" style="404" customWidth="1"/>
    <col min="9247" max="9247" width="7.5703125" style="404" customWidth="1"/>
    <col min="9248" max="9248" width="8.85546875" style="404" customWidth="1"/>
    <col min="9249" max="9249" width="8.140625" style="404" customWidth="1"/>
    <col min="9250" max="9250" width="7.85546875" style="404" customWidth="1"/>
    <col min="9251" max="9251" width="8.5703125" style="404" customWidth="1"/>
    <col min="9252" max="9252" width="8.28515625" style="404" customWidth="1"/>
    <col min="9253" max="9253" width="11.42578125" style="404" customWidth="1"/>
    <col min="9254" max="9254" width="18" style="404" customWidth="1"/>
    <col min="9255" max="9255" width="21.42578125" style="404" customWidth="1"/>
    <col min="9256" max="9256" width="27.85546875" style="404" customWidth="1"/>
    <col min="9257" max="9472" width="11.42578125" style="404"/>
    <col min="9473" max="9473" width="13.5703125" style="404" customWidth="1"/>
    <col min="9474" max="9474" width="19" style="404" customWidth="1"/>
    <col min="9475" max="9475" width="13.5703125" style="404" customWidth="1"/>
    <col min="9476" max="9476" width="19.7109375" style="404" customWidth="1"/>
    <col min="9477" max="9477" width="13.5703125" style="404" customWidth="1"/>
    <col min="9478" max="9479" width="14.7109375" style="404" customWidth="1"/>
    <col min="9480" max="9480" width="36.140625" style="404" customWidth="1"/>
    <col min="9481" max="9481" width="29.42578125" style="404" customWidth="1"/>
    <col min="9482" max="9482" width="16" style="404" customWidth="1"/>
    <col min="9483" max="9483" width="38.28515625" style="404" customWidth="1"/>
    <col min="9484" max="9484" width="12" style="404" customWidth="1"/>
    <col min="9485" max="9485" width="38.140625" style="404" customWidth="1"/>
    <col min="9486" max="9486" width="17.85546875" style="404" bestFit="1" customWidth="1"/>
    <col min="9487" max="9487" width="24.7109375" style="404" customWidth="1"/>
    <col min="9488" max="9488" width="36.42578125" style="404" customWidth="1"/>
    <col min="9489" max="9489" width="46.7109375" style="404" customWidth="1"/>
    <col min="9490" max="9490" width="43.7109375" style="404" customWidth="1"/>
    <col min="9491" max="9491" width="25.42578125" style="404" customWidth="1"/>
    <col min="9492" max="9492" width="12.42578125" style="404" customWidth="1"/>
    <col min="9493" max="9493" width="16.42578125" style="404" customWidth="1"/>
    <col min="9494" max="9494" width="13.42578125" style="404" customWidth="1"/>
    <col min="9495" max="9495" width="8.5703125" style="404" customWidth="1"/>
    <col min="9496" max="9499" width="11.42578125" style="404" customWidth="1"/>
    <col min="9500" max="9500" width="12.7109375" style="404" customWidth="1"/>
    <col min="9501" max="9501" width="11.85546875" style="404" customWidth="1"/>
    <col min="9502" max="9502" width="7.85546875" style="404" customWidth="1"/>
    <col min="9503" max="9503" width="7.5703125" style="404" customWidth="1"/>
    <col min="9504" max="9504" width="8.85546875" style="404" customWidth="1"/>
    <col min="9505" max="9505" width="8.140625" style="404" customWidth="1"/>
    <col min="9506" max="9506" width="7.85546875" style="404" customWidth="1"/>
    <col min="9507" max="9507" width="8.5703125" style="404" customWidth="1"/>
    <col min="9508" max="9508" width="8.28515625" style="404" customWidth="1"/>
    <col min="9509" max="9509" width="11.42578125" style="404" customWidth="1"/>
    <col min="9510" max="9510" width="18" style="404" customWidth="1"/>
    <col min="9511" max="9511" width="21.42578125" style="404" customWidth="1"/>
    <col min="9512" max="9512" width="27.85546875" style="404" customWidth="1"/>
    <col min="9513" max="9728" width="11.42578125" style="404"/>
    <col min="9729" max="9729" width="13.5703125" style="404" customWidth="1"/>
    <col min="9730" max="9730" width="19" style="404" customWidth="1"/>
    <col min="9731" max="9731" width="13.5703125" style="404" customWidth="1"/>
    <col min="9732" max="9732" width="19.7109375" style="404" customWidth="1"/>
    <col min="9733" max="9733" width="13.5703125" style="404" customWidth="1"/>
    <col min="9734" max="9735" width="14.7109375" style="404" customWidth="1"/>
    <col min="9736" max="9736" width="36.140625" style="404" customWidth="1"/>
    <col min="9737" max="9737" width="29.42578125" style="404" customWidth="1"/>
    <col min="9738" max="9738" width="16" style="404" customWidth="1"/>
    <col min="9739" max="9739" width="38.28515625" style="404" customWidth="1"/>
    <col min="9740" max="9740" width="12" style="404" customWidth="1"/>
    <col min="9741" max="9741" width="38.140625" style="404" customWidth="1"/>
    <col min="9742" max="9742" width="17.85546875" style="404" bestFit="1" customWidth="1"/>
    <col min="9743" max="9743" width="24.7109375" style="404" customWidth="1"/>
    <col min="9744" max="9744" width="36.42578125" style="404" customWidth="1"/>
    <col min="9745" max="9745" width="46.7109375" style="404" customWidth="1"/>
    <col min="9746" max="9746" width="43.7109375" style="404" customWidth="1"/>
    <col min="9747" max="9747" width="25.42578125" style="404" customWidth="1"/>
    <col min="9748" max="9748" width="12.42578125" style="404" customWidth="1"/>
    <col min="9749" max="9749" width="16.42578125" style="404" customWidth="1"/>
    <col min="9750" max="9750" width="13.42578125" style="404" customWidth="1"/>
    <col min="9751" max="9751" width="8.5703125" style="404" customWidth="1"/>
    <col min="9752" max="9755" width="11.42578125" style="404" customWidth="1"/>
    <col min="9756" max="9756" width="12.7109375" style="404" customWidth="1"/>
    <col min="9757" max="9757" width="11.85546875" style="404" customWidth="1"/>
    <col min="9758" max="9758" width="7.85546875" style="404" customWidth="1"/>
    <col min="9759" max="9759" width="7.5703125" style="404" customWidth="1"/>
    <col min="9760" max="9760" width="8.85546875" style="404" customWidth="1"/>
    <col min="9761" max="9761" width="8.140625" style="404" customWidth="1"/>
    <col min="9762" max="9762" width="7.85546875" style="404" customWidth="1"/>
    <col min="9763" max="9763" width="8.5703125" style="404" customWidth="1"/>
    <col min="9764" max="9764" width="8.28515625" style="404" customWidth="1"/>
    <col min="9765" max="9765" width="11.42578125" style="404" customWidth="1"/>
    <col min="9766" max="9766" width="18" style="404" customWidth="1"/>
    <col min="9767" max="9767" width="21.42578125" style="404" customWidth="1"/>
    <col min="9768" max="9768" width="27.85546875" style="404" customWidth="1"/>
    <col min="9769" max="9984" width="11.42578125" style="404"/>
    <col min="9985" max="9985" width="13.5703125" style="404" customWidth="1"/>
    <col min="9986" max="9986" width="19" style="404" customWidth="1"/>
    <col min="9987" max="9987" width="13.5703125" style="404" customWidth="1"/>
    <col min="9988" max="9988" width="19.7109375" style="404" customWidth="1"/>
    <col min="9989" max="9989" width="13.5703125" style="404" customWidth="1"/>
    <col min="9990" max="9991" width="14.7109375" style="404" customWidth="1"/>
    <col min="9992" max="9992" width="36.140625" style="404" customWidth="1"/>
    <col min="9993" max="9993" width="29.42578125" style="404" customWidth="1"/>
    <col min="9994" max="9994" width="16" style="404" customWidth="1"/>
    <col min="9995" max="9995" width="38.28515625" style="404" customWidth="1"/>
    <col min="9996" max="9996" width="12" style="404" customWidth="1"/>
    <col min="9997" max="9997" width="38.140625" style="404" customWidth="1"/>
    <col min="9998" max="9998" width="17.85546875" style="404" bestFit="1" customWidth="1"/>
    <col min="9999" max="9999" width="24.7109375" style="404" customWidth="1"/>
    <col min="10000" max="10000" width="36.42578125" style="404" customWidth="1"/>
    <col min="10001" max="10001" width="46.7109375" style="404" customWidth="1"/>
    <col min="10002" max="10002" width="43.7109375" style="404" customWidth="1"/>
    <col min="10003" max="10003" width="25.42578125" style="404" customWidth="1"/>
    <col min="10004" max="10004" width="12.42578125" style="404" customWidth="1"/>
    <col min="10005" max="10005" width="16.42578125" style="404" customWidth="1"/>
    <col min="10006" max="10006" width="13.42578125" style="404" customWidth="1"/>
    <col min="10007" max="10007" width="8.5703125" style="404" customWidth="1"/>
    <col min="10008" max="10011" width="11.42578125" style="404" customWidth="1"/>
    <col min="10012" max="10012" width="12.7109375" style="404" customWidth="1"/>
    <col min="10013" max="10013" width="11.85546875" style="404" customWidth="1"/>
    <col min="10014" max="10014" width="7.85546875" style="404" customWidth="1"/>
    <col min="10015" max="10015" width="7.5703125" style="404" customWidth="1"/>
    <col min="10016" max="10016" width="8.85546875" style="404" customWidth="1"/>
    <col min="10017" max="10017" width="8.140625" style="404" customWidth="1"/>
    <col min="10018" max="10018" width="7.85546875" style="404" customWidth="1"/>
    <col min="10019" max="10019" width="8.5703125" style="404" customWidth="1"/>
    <col min="10020" max="10020" width="8.28515625" style="404" customWidth="1"/>
    <col min="10021" max="10021" width="11.42578125" style="404" customWidth="1"/>
    <col min="10022" max="10022" width="18" style="404" customWidth="1"/>
    <col min="10023" max="10023" width="21.42578125" style="404" customWidth="1"/>
    <col min="10024" max="10024" width="27.85546875" style="404" customWidth="1"/>
    <col min="10025" max="10240" width="11.42578125" style="404"/>
    <col min="10241" max="10241" width="13.5703125" style="404" customWidth="1"/>
    <col min="10242" max="10242" width="19" style="404" customWidth="1"/>
    <col min="10243" max="10243" width="13.5703125" style="404" customWidth="1"/>
    <col min="10244" max="10244" width="19.7109375" style="404" customWidth="1"/>
    <col min="10245" max="10245" width="13.5703125" style="404" customWidth="1"/>
    <col min="10246" max="10247" width="14.7109375" style="404" customWidth="1"/>
    <col min="10248" max="10248" width="36.140625" style="404" customWidth="1"/>
    <col min="10249" max="10249" width="29.42578125" style="404" customWidth="1"/>
    <col min="10250" max="10250" width="16" style="404" customWidth="1"/>
    <col min="10251" max="10251" width="38.28515625" style="404" customWidth="1"/>
    <col min="10252" max="10252" width="12" style="404" customWidth="1"/>
    <col min="10253" max="10253" width="38.140625" style="404" customWidth="1"/>
    <col min="10254" max="10254" width="17.85546875" style="404" bestFit="1" customWidth="1"/>
    <col min="10255" max="10255" width="24.7109375" style="404" customWidth="1"/>
    <col min="10256" max="10256" width="36.42578125" style="404" customWidth="1"/>
    <col min="10257" max="10257" width="46.7109375" style="404" customWidth="1"/>
    <col min="10258" max="10258" width="43.7109375" style="404" customWidth="1"/>
    <col min="10259" max="10259" width="25.42578125" style="404" customWidth="1"/>
    <col min="10260" max="10260" width="12.42578125" style="404" customWidth="1"/>
    <col min="10261" max="10261" width="16.42578125" style="404" customWidth="1"/>
    <col min="10262" max="10262" width="13.42578125" style="404" customWidth="1"/>
    <col min="10263" max="10263" width="8.5703125" style="404" customWidth="1"/>
    <col min="10264" max="10267" width="11.42578125" style="404" customWidth="1"/>
    <col min="10268" max="10268" width="12.7109375" style="404" customWidth="1"/>
    <col min="10269" max="10269" width="11.85546875" style="404" customWidth="1"/>
    <col min="10270" max="10270" width="7.85546875" style="404" customWidth="1"/>
    <col min="10271" max="10271" width="7.5703125" style="404" customWidth="1"/>
    <col min="10272" max="10272" width="8.85546875" style="404" customWidth="1"/>
    <col min="10273" max="10273" width="8.140625" style="404" customWidth="1"/>
    <col min="10274" max="10274" width="7.85546875" style="404" customWidth="1"/>
    <col min="10275" max="10275" width="8.5703125" style="404" customWidth="1"/>
    <col min="10276" max="10276" width="8.28515625" style="404" customWidth="1"/>
    <col min="10277" max="10277" width="11.42578125" style="404" customWidth="1"/>
    <col min="10278" max="10278" width="18" style="404" customWidth="1"/>
    <col min="10279" max="10279" width="21.42578125" style="404" customWidth="1"/>
    <col min="10280" max="10280" width="27.85546875" style="404" customWidth="1"/>
    <col min="10281" max="10496" width="11.42578125" style="404"/>
    <col min="10497" max="10497" width="13.5703125" style="404" customWidth="1"/>
    <col min="10498" max="10498" width="19" style="404" customWidth="1"/>
    <col min="10499" max="10499" width="13.5703125" style="404" customWidth="1"/>
    <col min="10500" max="10500" width="19.7109375" style="404" customWidth="1"/>
    <col min="10501" max="10501" width="13.5703125" style="404" customWidth="1"/>
    <col min="10502" max="10503" width="14.7109375" style="404" customWidth="1"/>
    <col min="10504" max="10504" width="36.140625" style="404" customWidth="1"/>
    <col min="10505" max="10505" width="29.42578125" style="404" customWidth="1"/>
    <col min="10506" max="10506" width="16" style="404" customWidth="1"/>
    <col min="10507" max="10507" width="38.28515625" style="404" customWidth="1"/>
    <col min="10508" max="10508" width="12" style="404" customWidth="1"/>
    <col min="10509" max="10509" width="38.140625" style="404" customWidth="1"/>
    <col min="10510" max="10510" width="17.85546875" style="404" bestFit="1" customWidth="1"/>
    <col min="10511" max="10511" width="24.7109375" style="404" customWidth="1"/>
    <col min="10512" max="10512" width="36.42578125" style="404" customWidth="1"/>
    <col min="10513" max="10513" width="46.7109375" style="404" customWidth="1"/>
    <col min="10514" max="10514" width="43.7109375" style="404" customWidth="1"/>
    <col min="10515" max="10515" width="25.42578125" style="404" customWidth="1"/>
    <col min="10516" max="10516" width="12.42578125" style="404" customWidth="1"/>
    <col min="10517" max="10517" width="16.42578125" style="404" customWidth="1"/>
    <col min="10518" max="10518" width="13.42578125" style="404" customWidth="1"/>
    <col min="10519" max="10519" width="8.5703125" style="404" customWidth="1"/>
    <col min="10520" max="10523" width="11.42578125" style="404" customWidth="1"/>
    <col min="10524" max="10524" width="12.7109375" style="404" customWidth="1"/>
    <col min="10525" max="10525" width="11.85546875" style="404" customWidth="1"/>
    <col min="10526" max="10526" width="7.85546875" style="404" customWidth="1"/>
    <col min="10527" max="10527" width="7.5703125" style="404" customWidth="1"/>
    <col min="10528" max="10528" width="8.85546875" style="404" customWidth="1"/>
    <col min="10529" max="10529" width="8.140625" style="404" customWidth="1"/>
    <col min="10530" max="10530" width="7.85546875" style="404" customWidth="1"/>
    <col min="10531" max="10531" width="8.5703125" style="404" customWidth="1"/>
    <col min="10532" max="10532" width="8.28515625" style="404" customWidth="1"/>
    <col min="10533" max="10533" width="11.42578125" style="404" customWidth="1"/>
    <col min="10534" max="10534" width="18" style="404" customWidth="1"/>
    <col min="10535" max="10535" width="21.42578125" style="404" customWidth="1"/>
    <col min="10536" max="10536" width="27.85546875" style="404" customWidth="1"/>
    <col min="10537" max="10752" width="11.42578125" style="404"/>
    <col min="10753" max="10753" width="13.5703125" style="404" customWidth="1"/>
    <col min="10754" max="10754" width="19" style="404" customWidth="1"/>
    <col min="10755" max="10755" width="13.5703125" style="404" customWidth="1"/>
    <col min="10756" max="10756" width="19.7109375" style="404" customWidth="1"/>
    <col min="10757" max="10757" width="13.5703125" style="404" customWidth="1"/>
    <col min="10758" max="10759" width="14.7109375" style="404" customWidth="1"/>
    <col min="10760" max="10760" width="36.140625" style="404" customWidth="1"/>
    <col min="10761" max="10761" width="29.42578125" style="404" customWidth="1"/>
    <col min="10762" max="10762" width="16" style="404" customWidth="1"/>
    <col min="10763" max="10763" width="38.28515625" style="404" customWidth="1"/>
    <col min="10764" max="10764" width="12" style="404" customWidth="1"/>
    <col min="10765" max="10765" width="38.140625" style="404" customWidth="1"/>
    <col min="10766" max="10766" width="17.85546875" style="404" bestFit="1" customWidth="1"/>
    <col min="10767" max="10767" width="24.7109375" style="404" customWidth="1"/>
    <col min="10768" max="10768" width="36.42578125" style="404" customWidth="1"/>
    <col min="10769" max="10769" width="46.7109375" style="404" customWidth="1"/>
    <col min="10770" max="10770" width="43.7109375" style="404" customWidth="1"/>
    <col min="10771" max="10771" width="25.42578125" style="404" customWidth="1"/>
    <col min="10772" max="10772" width="12.42578125" style="404" customWidth="1"/>
    <col min="10773" max="10773" width="16.42578125" style="404" customWidth="1"/>
    <col min="10774" max="10774" width="13.42578125" style="404" customWidth="1"/>
    <col min="10775" max="10775" width="8.5703125" style="404" customWidth="1"/>
    <col min="10776" max="10779" width="11.42578125" style="404" customWidth="1"/>
    <col min="10780" max="10780" width="12.7109375" style="404" customWidth="1"/>
    <col min="10781" max="10781" width="11.85546875" style="404" customWidth="1"/>
    <col min="10782" max="10782" width="7.85546875" style="404" customWidth="1"/>
    <col min="10783" max="10783" width="7.5703125" style="404" customWidth="1"/>
    <col min="10784" max="10784" width="8.85546875" style="404" customWidth="1"/>
    <col min="10785" max="10785" width="8.140625" style="404" customWidth="1"/>
    <col min="10786" max="10786" width="7.85546875" style="404" customWidth="1"/>
    <col min="10787" max="10787" width="8.5703125" style="404" customWidth="1"/>
    <col min="10788" max="10788" width="8.28515625" style="404" customWidth="1"/>
    <col min="10789" max="10789" width="11.42578125" style="404" customWidth="1"/>
    <col min="10790" max="10790" width="18" style="404" customWidth="1"/>
    <col min="10791" max="10791" width="21.42578125" style="404" customWidth="1"/>
    <col min="10792" max="10792" width="27.85546875" style="404" customWidth="1"/>
    <col min="10793" max="11008" width="11.42578125" style="404"/>
    <col min="11009" max="11009" width="13.5703125" style="404" customWidth="1"/>
    <col min="11010" max="11010" width="19" style="404" customWidth="1"/>
    <col min="11011" max="11011" width="13.5703125" style="404" customWidth="1"/>
    <col min="11012" max="11012" width="19.7109375" style="404" customWidth="1"/>
    <col min="11013" max="11013" width="13.5703125" style="404" customWidth="1"/>
    <col min="11014" max="11015" width="14.7109375" style="404" customWidth="1"/>
    <col min="11016" max="11016" width="36.140625" style="404" customWidth="1"/>
    <col min="11017" max="11017" width="29.42578125" style="404" customWidth="1"/>
    <col min="11018" max="11018" width="16" style="404" customWidth="1"/>
    <col min="11019" max="11019" width="38.28515625" style="404" customWidth="1"/>
    <col min="11020" max="11020" width="12" style="404" customWidth="1"/>
    <col min="11021" max="11021" width="38.140625" style="404" customWidth="1"/>
    <col min="11022" max="11022" width="17.85546875" style="404" bestFit="1" customWidth="1"/>
    <col min="11023" max="11023" width="24.7109375" style="404" customWidth="1"/>
    <col min="11024" max="11024" width="36.42578125" style="404" customWidth="1"/>
    <col min="11025" max="11025" width="46.7109375" style="404" customWidth="1"/>
    <col min="11026" max="11026" width="43.7109375" style="404" customWidth="1"/>
    <col min="11027" max="11027" width="25.42578125" style="404" customWidth="1"/>
    <col min="11028" max="11028" width="12.42578125" style="404" customWidth="1"/>
    <col min="11029" max="11029" width="16.42578125" style="404" customWidth="1"/>
    <col min="11030" max="11030" width="13.42578125" style="404" customWidth="1"/>
    <col min="11031" max="11031" width="8.5703125" style="404" customWidth="1"/>
    <col min="11032" max="11035" width="11.42578125" style="404" customWidth="1"/>
    <col min="11036" max="11036" width="12.7109375" style="404" customWidth="1"/>
    <col min="11037" max="11037" width="11.85546875" style="404" customWidth="1"/>
    <col min="11038" max="11038" width="7.85546875" style="404" customWidth="1"/>
    <col min="11039" max="11039" width="7.5703125" style="404" customWidth="1"/>
    <col min="11040" max="11040" width="8.85546875" style="404" customWidth="1"/>
    <col min="11041" max="11041" width="8.140625" style="404" customWidth="1"/>
    <col min="11042" max="11042" width="7.85546875" style="404" customWidth="1"/>
    <col min="11043" max="11043" width="8.5703125" style="404" customWidth="1"/>
    <col min="11044" max="11044" width="8.28515625" style="404" customWidth="1"/>
    <col min="11045" max="11045" width="11.42578125" style="404" customWidth="1"/>
    <col min="11046" max="11046" width="18" style="404" customWidth="1"/>
    <col min="11047" max="11047" width="21.42578125" style="404" customWidth="1"/>
    <col min="11048" max="11048" width="27.85546875" style="404" customWidth="1"/>
    <col min="11049" max="11264" width="11.42578125" style="404"/>
    <col min="11265" max="11265" width="13.5703125" style="404" customWidth="1"/>
    <col min="11266" max="11266" width="19" style="404" customWidth="1"/>
    <col min="11267" max="11267" width="13.5703125" style="404" customWidth="1"/>
    <col min="11268" max="11268" width="19.7109375" style="404" customWidth="1"/>
    <col min="11269" max="11269" width="13.5703125" style="404" customWidth="1"/>
    <col min="11270" max="11271" width="14.7109375" style="404" customWidth="1"/>
    <col min="11272" max="11272" width="36.140625" style="404" customWidth="1"/>
    <col min="11273" max="11273" width="29.42578125" style="404" customWidth="1"/>
    <col min="11274" max="11274" width="16" style="404" customWidth="1"/>
    <col min="11275" max="11275" width="38.28515625" style="404" customWidth="1"/>
    <col min="11276" max="11276" width="12" style="404" customWidth="1"/>
    <col min="11277" max="11277" width="38.140625" style="404" customWidth="1"/>
    <col min="11278" max="11278" width="17.85546875" style="404" bestFit="1" customWidth="1"/>
    <col min="11279" max="11279" width="24.7109375" style="404" customWidth="1"/>
    <col min="11280" max="11280" width="36.42578125" style="404" customWidth="1"/>
    <col min="11281" max="11281" width="46.7109375" style="404" customWidth="1"/>
    <col min="11282" max="11282" width="43.7109375" style="404" customWidth="1"/>
    <col min="11283" max="11283" width="25.42578125" style="404" customWidth="1"/>
    <col min="11284" max="11284" width="12.42578125" style="404" customWidth="1"/>
    <col min="11285" max="11285" width="16.42578125" style="404" customWidth="1"/>
    <col min="11286" max="11286" width="13.42578125" style="404" customWidth="1"/>
    <col min="11287" max="11287" width="8.5703125" style="404" customWidth="1"/>
    <col min="11288" max="11291" width="11.42578125" style="404" customWidth="1"/>
    <col min="11292" max="11292" width="12.7109375" style="404" customWidth="1"/>
    <col min="11293" max="11293" width="11.85546875" style="404" customWidth="1"/>
    <col min="11294" max="11294" width="7.85546875" style="404" customWidth="1"/>
    <col min="11295" max="11295" width="7.5703125" style="404" customWidth="1"/>
    <col min="11296" max="11296" width="8.85546875" style="404" customWidth="1"/>
    <col min="11297" max="11297" width="8.140625" style="404" customWidth="1"/>
    <col min="11298" max="11298" width="7.85546875" style="404" customWidth="1"/>
    <col min="11299" max="11299" width="8.5703125" style="404" customWidth="1"/>
    <col min="11300" max="11300" width="8.28515625" style="404" customWidth="1"/>
    <col min="11301" max="11301" width="11.42578125" style="404" customWidth="1"/>
    <col min="11302" max="11302" width="18" style="404" customWidth="1"/>
    <col min="11303" max="11303" width="21.42578125" style="404" customWidth="1"/>
    <col min="11304" max="11304" width="27.85546875" style="404" customWidth="1"/>
    <col min="11305" max="11520" width="11.42578125" style="404"/>
    <col min="11521" max="11521" width="13.5703125" style="404" customWidth="1"/>
    <col min="11522" max="11522" width="19" style="404" customWidth="1"/>
    <col min="11523" max="11523" width="13.5703125" style="404" customWidth="1"/>
    <col min="11524" max="11524" width="19.7109375" style="404" customWidth="1"/>
    <col min="11525" max="11525" width="13.5703125" style="404" customWidth="1"/>
    <col min="11526" max="11527" width="14.7109375" style="404" customWidth="1"/>
    <col min="11528" max="11528" width="36.140625" style="404" customWidth="1"/>
    <col min="11529" max="11529" width="29.42578125" style="404" customWidth="1"/>
    <col min="11530" max="11530" width="16" style="404" customWidth="1"/>
    <col min="11531" max="11531" width="38.28515625" style="404" customWidth="1"/>
    <col min="11532" max="11532" width="12" style="404" customWidth="1"/>
    <col min="11533" max="11533" width="38.140625" style="404" customWidth="1"/>
    <col min="11534" max="11534" width="17.85546875" style="404" bestFit="1" customWidth="1"/>
    <col min="11535" max="11535" width="24.7109375" style="404" customWidth="1"/>
    <col min="11536" max="11536" width="36.42578125" style="404" customWidth="1"/>
    <col min="11537" max="11537" width="46.7109375" style="404" customWidth="1"/>
    <col min="11538" max="11538" width="43.7109375" style="404" customWidth="1"/>
    <col min="11539" max="11539" width="25.42578125" style="404" customWidth="1"/>
    <col min="11540" max="11540" width="12.42578125" style="404" customWidth="1"/>
    <col min="11541" max="11541" width="16.42578125" style="404" customWidth="1"/>
    <col min="11542" max="11542" width="13.42578125" style="404" customWidth="1"/>
    <col min="11543" max="11543" width="8.5703125" style="404" customWidth="1"/>
    <col min="11544" max="11547" width="11.42578125" style="404" customWidth="1"/>
    <col min="11548" max="11548" width="12.7109375" style="404" customWidth="1"/>
    <col min="11549" max="11549" width="11.85546875" style="404" customWidth="1"/>
    <col min="11550" max="11550" width="7.85546875" style="404" customWidth="1"/>
    <col min="11551" max="11551" width="7.5703125" style="404" customWidth="1"/>
    <col min="11552" max="11552" width="8.85546875" style="404" customWidth="1"/>
    <col min="11553" max="11553" width="8.140625" style="404" customWidth="1"/>
    <col min="11554" max="11554" width="7.85546875" style="404" customWidth="1"/>
    <col min="11555" max="11555" width="8.5703125" style="404" customWidth="1"/>
    <col min="11556" max="11556" width="8.28515625" style="404" customWidth="1"/>
    <col min="11557" max="11557" width="11.42578125" style="404" customWidth="1"/>
    <col min="11558" max="11558" width="18" style="404" customWidth="1"/>
    <col min="11559" max="11559" width="21.42578125" style="404" customWidth="1"/>
    <col min="11560" max="11560" width="27.85546875" style="404" customWidth="1"/>
    <col min="11561" max="11776" width="11.42578125" style="404"/>
    <col min="11777" max="11777" width="13.5703125" style="404" customWidth="1"/>
    <col min="11778" max="11778" width="19" style="404" customWidth="1"/>
    <col min="11779" max="11779" width="13.5703125" style="404" customWidth="1"/>
    <col min="11780" max="11780" width="19.7109375" style="404" customWidth="1"/>
    <col min="11781" max="11781" width="13.5703125" style="404" customWidth="1"/>
    <col min="11782" max="11783" width="14.7109375" style="404" customWidth="1"/>
    <col min="11784" max="11784" width="36.140625" style="404" customWidth="1"/>
    <col min="11785" max="11785" width="29.42578125" style="404" customWidth="1"/>
    <col min="11786" max="11786" width="16" style="404" customWidth="1"/>
    <col min="11787" max="11787" width="38.28515625" style="404" customWidth="1"/>
    <col min="11788" max="11788" width="12" style="404" customWidth="1"/>
    <col min="11789" max="11789" width="38.140625" style="404" customWidth="1"/>
    <col min="11790" max="11790" width="17.85546875" style="404" bestFit="1" customWidth="1"/>
    <col min="11791" max="11791" width="24.7109375" style="404" customWidth="1"/>
    <col min="11792" max="11792" width="36.42578125" style="404" customWidth="1"/>
    <col min="11793" max="11793" width="46.7109375" style="404" customWidth="1"/>
    <col min="11794" max="11794" width="43.7109375" style="404" customWidth="1"/>
    <col min="11795" max="11795" width="25.42578125" style="404" customWidth="1"/>
    <col min="11796" max="11796" width="12.42578125" style="404" customWidth="1"/>
    <col min="11797" max="11797" width="16.42578125" style="404" customWidth="1"/>
    <col min="11798" max="11798" width="13.42578125" style="404" customWidth="1"/>
    <col min="11799" max="11799" width="8.5703125" style="404" customWidth="1"/>
    <col min="11800" max="11803" width="11.42578125" style="404" customWidth="1"/>
    <col min="11804" max="11804" width="12.7109375" style="404" customWidth="1"/>
    <col min="11805" max="11805" width="11.85546875" style="404" customWidth="1"/>
    <col min="11806" max="11806" width="7.85546875" style="404" customWidth="1"/>
    <col min="11807" max="11807" width="7.5703125" style="404" customWidth="1"/>
    <col min="11808" max="11808" width="8.85546875" style="404" customWidth="1"/>
    <col min="11809" max="11809" width="8.140625" style="404" customWidth="1"/>
    <col min="11810" max="11810" width="7.85546875" style="404" customWidth="1"/>
    <col min="11811" max="11811" width="8.5703125" style="404" customWidth="1"/>
    <col min="11812" max="11812" width="8.28515625" style="404" customWidth="1"/>
    <col min="11813" max="11813" width="11.42578125" style="404" customWidth="1"/>
    <col min="11814" max="11814" width="18" style="404" customWidth="1"/>
    <col min="11815" max="11815" width="21.42578125" style="404" customWidth="1"/>
    <col min="11816" max="11816" width="27.85546875" style="404" customWidth="1"/>
    <col min="11817" max="12032" width="11.42578125" style="404"/>
    <col min="12033" max="12033" width="13.5703125" style="404" customWidth="1"/>
    <col min="12034" max="12034" width="19" style="404" customWidth="1"/>
    <col min="12035" max="12035" width="13.5703125" style="404" customWidth="1"/>
    <col min="12036" max="12036" width="19.7109375" style="404" customWidth="1"/>
    <col min="12037" max="12037" width="13.5703125" style="404" customWidth="1"/>
    <col min="12038" max="12039" width="14.7109375" style="404" customWidth="1"/>
    <col min="12040" max="12040" width="36.140625" style="404" customWidth="1"/>
    <col min="12041" max="12041" width="29.42578125" style="404" customWidth="1"/>
    <col min="12042" max="12042" width="16" style="404" customWidth="1"/>
    <col min="12043" max="12043" width="38.28515625" style="404" customWidth="1"/>
    <col min="12044" max="12044" width="12" style="404" customWidth="1"/>
    <col min="12045" max="12045" width="38.140625" style="404" customWidth="1"/>
    <col min="12046" max="12046" width="17.85546875" style="404" bestFit="1" customWidth="1"/>
    <col min="12047" max="12047" width="24.7109375" style="404" customWidth="1"/>
    <col min="12048" max="12048" width="36.42578125" style="404" customWidth="1"/>
    <col min="12049" max="12049" width="46.7109375" style="404" customWidth="1"/>
    <col min="12050" max="12050" width="43.7109375" style="404" customWidth="1"/>
    <col min="12051" max="12051" width="25.42578125" style="404" customWidth="1"/>
    <col min="12052" max="12052" width="12.42578125" style="404" customWidth="1"/>
    <col min="12053" max="12053" width="16.42578125" style="404" customWidth="1"/>
    <col min="12054" max="12054" width="13.42578125" style="404" customWidth="1"/>
    <col min="12055" max="12055" width="8.5703125" style="404" customWidth="1"/>
    <col min="12056" max="12059" width="11.42578125" style="404" customWidth="1"/>
    <col min="12060" max="12060" width="12.7109375" style="404" customWidth="1"/>
    <col min="12061" max="12061" width="11.85546875" style="404" customWidth="1"/>
    <col min="12062" max="12062" width="7.85546875" style="404" customWidth="1"/>
    <col min="12063" max="12063" width="7.5703125" style="404" customWidth="1"/>
    <col min="12064" max="12064" width="8.85546875" style="404" customWidth="1"/>
    <col min="12065" max="12065" width="8.140625" style="404" customWidth="1"/>
    <col min="12066" max="12066" width="7.85546875" style="404" customWidth="1"/>
    <col min="12067" max="12067" width="8.5703125" style="404" customWidth="1"/>
    <col min="12068" max="12068" width="8.28515625" style="404" customWidth="1"/>
    <col min="12069" max="12069" width="11.42578125" style="404" customWidth="1"/>
    <col min="12070" max="12070" width="18" style="404" customWidth="1"/>
    <col min="12071" max="12071" width="21.42578125" style="404" customWidth="1"/>
    <col min="12072" max="12072" width="27.85546875" style="404" customWidth="1"/>
    <col min="12073" max="12288" width="11.42578125" style="404"/>
    <col min="12289" max="12289" width="13.5703125" style="404" customWidth="1"/>
    <col min="12290" max="12290" width="19" style="404" customWidth="1"/>
    <col min="12291" max="12291" width="13.5703125" style="404" customWidth="1"/>
    <col min="12292" max="12292" width="19.7109375" style="404" customWidth="1"/>
    <col min="12293" max="12293" width="13.5703125" style="404" customWidth="1"/>
    <col min="12294" max="12295" width="14.7109375" style="404" customWidth="1"/>
    <col min="12296" max="12296" width="36.140625" style="404" customWidth="1"/>
    <col min="12297" max="12297" width="29.42578125" style="404" customWidth="1"/>
    <col min="12298" max="12298" width="16" style="404" customWidth="1"/>
    <col min="12299" max="12299" width="38.28515625" style="404" customWidth="1"/>
    <col min="12300" max="12300" width="12" style="404" customWidth="1"/>
    <col min="12301" max="12301" width="38.140625" style="404" customWidth="1"/>
    <col min="12302" max="12302" width="17.85546875" style="404" bestFit="1" customWidth="1"/>
    <col min="12303" max="12303" width="24.7109375" style="404" customWidth="1"/>
    <col min="12304" max="12304" width="36.42578125" style="404" customWidth="1"/>
    <col min="12305" max="12305" width="46.7109375" style="404" customWidth="1"/>
    <col min="12306" max="12306" width="43.7109375" style="404" customWidth="1"/>
    <col min="12307" max="12307" width="25.42578125" style="404" customWidth="1"/>
    <col min="12308" max="12308" width="12.42578125" style="404" customWidth="1"/>
    <col min="12309" max="12309" width="16.42578125" style="404" customWidth="1"/>
    <col min="12310" max="12310" width="13.42578125" style="404" customWidth="1"/>
    <col min="12311" max="12311" width="8.5703125" style="404" customWidth="1"/>
    <col min="12312" max="12315" width="11.42578125" style="404" customWidth="1"/>
    <col min="12316" max="12316" width="12.7109375" style="404" customWidth="1"/>
    <col min="12317" max="12317" width="11.85546875" style="404" customWidth="1"/>
    <col min="12318" max="12318" width="7.85546875" style="404" customWidth="1"/>
    <col min="12319" max="12319" width="7.5703125" style="404" customWidth="1"/>
    <col min="12320" max="12320" width="8.85546875" style="404" customWidth="1"/>
    <col min="12321" max="12321" width="8.140625" style="404" customWidth="1"/>
    <col min="12322" max="12322" width="7.85546875" style="404" customWidth="1"/>
    <col min="12323" max="12323" width="8.5703125" style="404" customWidth="1"/>
    <col min="12324" max="12324" width="8.28515625" style="404" customWidth="1"/>
    <col min="12325" max="12325" width="11.42578125" style="404" customWidth="1"/>
    <col min="12326" max="12326" width="18" style="404" customWidth="1"/>
    <col min="12327" max="12327" width="21.42578125" style="404" customWidth="1"/>
    <col min="12328" max="12328" width="27.85546875" style="404" customWidth="1"/>
    <col min="12329" max="12544" width="11.42578125" style="404"/>
    <col min="12545" max="12545" width="13.5703125" style="404" customWidth="1"/>
    <col min="12546" max="12546" width="19" style="404" customWidth="1"/>
    <col min="12547" max="12547" width="13.5703125" style="404" customWidth="1"/>
    <col min="12548" max="12548" width="19.7109375" style="404" customWidth="1"/>
    <col min="12549" max="12549" width="13.5703125" style="404" customWidth="1"/>
    <col min="12550" max="12551" width="14.7109375" style="404" customWidth="1"/>
    <col min="12552" max="12552" width="36.140625" style="404" customWidth="1"/>
    <col min="12553" max="12553" width="29.42578125" style="404" customWidth="1"/>
    <col min="12554" max="12554" width="16" style="404" customWidth="1"/>
    <col min="12555" max="12555" width="38.28515625" style="404" customWidth="1"/>
    <col min="12556" max="12556" width="12" style="404" customWidth="1"/>
    <col min="12557" max="12557" width="38.140625" style="404" customWidth="1"/>
    <col min="12558" max="12558" width="17.85546875" style="404" bestFit="1" customWidth="1"/>
    <col min="12559" max="12559" width="24.7109375" style="404" customWidth="1"/>
    <col min="12560" max="12560" width="36.42578125" style="404" customWidth="1"/>
    <col min="12561" max="12561" width="46.7109375" style="404" customWidth="1"/>
    <col min="12562" max="12562" width="43.7109375" style="404" customWidth="1"/>
    <col min="12563" max="12563" width="25.42578125" style="404" customWidth="1"/>
    <col min="12564" max="12564" width="12.42578125" style="404" customWidth="1"/>
    <col min="12565" max="12565" width="16.42578125" style="404" customWidth="1"/>
    <col min="12566" max="12566" width="13.42578125" style="404" customWidth="1"/>
    <col min="12567" max="12567" width="8.5703125" style="404" customWidth="1"/>
    <col min="12568" max="12571" width="11.42578125" style="404" customWidth="1"/>
    <col min="12572" max="12572" width="12.7109375" style="404" customWidth="1"/>
    <col min="12573" max="12573" width="11.85546875" style="404" customWidth="1"/>
    <col min="12574" max="12574" width="7.85546875" style="404" customWidth="1"/>
    <col min="12575" max="12575" width="7.5703125" style="404" customWidth="1"/>
    <col min="12576" max="12576" width="8.85546875" style="404" customWidth="1"/>
    <col min="12577" max="12577" width="8.140625" style="404" customWidth="1"/>
    <col min="12578" max="12578" width="7.85546875" style="404" customWidth="1"/>
    <col min="12579" max="12579" width="8.5703125" style="404" customWidth="1"/>
    <col min="12580" max="12580" width="8.28515625" style="404" customWidth="1"/>
    <col min="12581" max="12581" width="11.42578125" style="404" customWidth="1"/>
    <col min="12582" max="12582" width="18" style="404" customWidth="1"/>
    <col min="12583" max="12583" width="21.42578125" style="404" customWidth="1"/>
    <col min="12584" max="12584" width="27.85546875" style="404" customWidth="1"/>
    <col min="12585" max="12800" width="11.42578125" style="404"/>
    <col min="12801" max="12801" width="13.5703125" style="404" customWidth="1"/>
    <col min="12802" max="12802" width="19" style="404" customWidth="1"/>
    <col min="12803" max="12803" width="13.5703125" style="404" customWidth="1"/>
    <col min="12804" max="12804" width="19.7109375" style="404" customWidth="1"/>
    <col min="12805" max="12805" width="13.5703125" style="404" customWidth="1"/>
    <col min="12806" max="12807" width="14.7109375" style="404" customWidth="1"/>
    <col min="12808" max="12808" width="36.140625" style="404" customWidth="1"/>
    <col min="12809" max="12809" width="29.42578125" style="404" customWidth="1"/>
    <col min="12810" max="12810" width="16" style="404" customWidth="1"/>
    <col min="12811" max="12811" width="38.28515625" style="404" customWidth="1"/>
    <col min="12812" max="12812" width="12" style="404" customWidth="1"/>
    <col min="12813" max="12813" width="38.140625" style="404" customWidth="1"/>
    <col min="12814" max="12814" width="17.85546875" style="404" bestFit="1" customWidth="1"/>
    <col min="12815" max="12815" width="24.7109375" style="404" customWidth="1"/>
    <col min="12816" max="12816" width="36.42578125" style="404" customWidth="1"/>
    <col min="12817" max="12817" width="46.7109375" style="404" customWidth="1"/>
    <col min="12818" max="12818" width="43.7109375" style="404" customWidth="1"/>
    <col min="12819" max="12819" width="25.42578125" style="404" customWidth="1"/>
    <col min="12820" max="12820" width="12.42578125" style="404" customWidth="1"/>
    <col min="12821" max="12821" width="16.42578125" style="404" customWidth="1"/>
    <col min="12822" max="12822" width="13.42578125" style="404" customWidth="1"/>
    <col min="12823" max="12823" width="8.5703125" style="404" customWidth="1"/>
    <col min="12824" max="12827" width="11.42578125" style="404" customWidth="1"/>
    <col min="12828" max="12828" width="12.7109375" style="404" customWidth="1"/>
    <col min="12829" max="12829" width="11.85546875" style="404" customWidth="1"/>
    <col min="12830" max="12830" width="7.85546875" style="404" customWidth="1"/>
    <col min="12831" max="12831" width="7.5703125" style="404" customWidth="1"/>
    <col min="12832" max="12832" width="8.85546875" style="404" customWidth="1"/>
    <col min="12833" max="12833" width="8.140625" style="404" customWidth="1"/>
    <col min="12834" max="12834" width="7.85546875" style="404" customWidth="1"/>
    <col min="12835" max="12835" width="8.5703125" style="404" customWidth="1"/>
    <col min="12836" max="12836" width="8.28515625" style="404" customWidth="1"/>
    <col min="12837" max="12837" width="11.42578125" style="404" customWidth="1"/>
    <col min="12838" max="12838" width="18" style="404" customWidth="1"/>
    <col min="12839" max="12839" width="21.42578125" style="404" customWidth="1"/>
    <col min="12840" max="12840" width="27.85546875" style="404" customWidth="1"/>
    <col min="12841" max="13056" width="11.42578125" style="404"/>
    <col min="13057" max="13057" width="13.5703125" style="404" customWidth="1"/>
    <col min="13058" max="13058" width="19" style="404" customWidth="1"/>
    <col min="13059" max="13059" width="13.5703125" style="404" customWidth="1"/>
    <col min="13060" max="13060" width="19.7109375" style="404" customWidth="1"/>
    <col min="13061" max="13061" width="13.5703125" style="404" customWidth="1"/>
    <col min="13062" max="13063" width="14.7109375" style="404" customWidth="1"/>
    <col min="13064" max="13064" width="36.140625" style="404" customWidth="1"/>
    <col min="13065" max="13065" width="29.42578125" style="404" customWidth="1"/>
    <col min="13066" max="13066" width="16" style="404" customWidth="1"/>
    <col min="13067" max="13067" width="38.28515625" style="404" customWidth="1"/>
    <col min="13068" max="13068" width="12" style="404" customWidth="1"/>
    <col min="13069" max="13069" width="38.140625" style="404" customWidth="1"/>
    <col min="13070" max="13070" width="17.85546875" style="404" bestFit="1" customWidth="1"/>
    <col min="13071" max="13071" width="24.7109375" style="404" customWidth="1"/>
    <col min="13072" max="13072" width="36.42578125" style="404" customWidth="1"/>
    <col min="13073" max="13073" width="46.7109375" style="404" customWidth="1"/>
    <col min="13074" max="13074" width="43.7109375" style="404" customWidth="1"/>
    <col min="13075" max="13075" width="25.42578125" style="404" customWidth="1"/>
    <col min="13076" max="13076" width="12.42578125" style="404" customWidth="1"/>
    <col min="13077" max="13077" width="16.42578125" style="404" customWidth="1"/>
    <col min="13078" max="13078" width="13.42578125" style="404" customWidth="1"/>
    <col min="13079" max="13079" width="8.5703125" style="404" customWidth="1"/>
    <col min="13080" max="13083" width="11.42578125" style="404" customWidth="1"/>
    <col min="13084" max="13084" width="12.7109375" style="404" customWidth="1"/>
    <col min="13085" max="13085" width="11.85546875" style="404" customWidth="1"/>
    <col min="13086" max="13086" width="7.85546875" style="404" customWidth="1"/>
    <col min="13087" max="13087" width="7.5703125" style="404" customWidth="1"/>
    <col min="13088" max="13088" width="8.85546875" style="404" customWidth="1"/>
    <col min="13089" max="13089" width="8.140625" style="404" customWidth="1"/>
    <col min="13090" max="13090" width="7.85546875" style="404" customWidth="1"/>
    <col min="13091" max="13091" width="8.5703125" style="404" customWidth="1"/>
    <col min="13092" max="13092" width="8.28515625" style="404" customWidth="1"/>
    <col min="13093" max="13093" width="11.42578125" style="404" customWidth="1"/>
    <col min="13094" max="13094" width="18" style="404" customWidth="1"/>
    <col min="13095" max="13095" width="21.42578125" style="404" customWidth="1"/>
    <col min="13096" max="13096" width="27.85546875" style="404" customWidth="1"/>
    <col min="13097" max="13312" width="11.42578125" style="404"/>
    <col min="13313" max="13313" width="13.5703125" style="404" customWidth="1"/>
    <col min="13314" max="13314" width="19" style="404" customWidth="1"/>
    <col min="13315" max="13315" width="13.5703125" style="404" customWidth="1"/>
    <col min="13316" max="13316" width="19.7109375" style="404" customWidth="1"/>
    <col min="13317" max="13317" width="13.5703125" style="404" customWidth="1"/>
    <col min="13318" max="13319" width="14.7109375" style="404" customWidth="1"/>
    <col min="13320" max="13320" width="36.140625" style="404" customWidth="1"/>
    <col min="13321" max="13321" width="29.42578125" style="404" customWidth="1"/>
    <col min="13322" max="13322" width="16" style="404" customWidth="1"/>
    <col min="13323" max="13323" width="38.28515625" style="404" customWidth="1"/>
    <col min="13324" max="13324" width="12" style="404" customWidth="1"/>
    <col min="13325" max="13325" width="38.140625" style="404" customWidth="1"/>
    <col min="13326" max="13326" width="17.85546875" style="404" bestFit="1" customWidth="1"/>
    <col min="13327" max="13327" width="24.7109375" style="404" customWidth="1"/>
    <col min="13328" max="13328" width="36.42578125" style="404" customWidth="1"/>
    <col min="13329" max="13329" width="46.7109375" style="404" customWidth="1"/>
    <col min="13330" max="13330" width="43.7109375" style="404" customWidth="1"/>
    <col min="13331" max="13331" width="25.42578125" style="404" customWidth="1"/>
    <col min="13332" max="13332" width="12.42578125" style="404" customWidth="1"/>
    <col min="13333" max="13333" width="16.42578125" style="404" customWidth="1"/>
    <col min="13334" max="13334" width="13.42578125" style="404" customWidth="1"/>
    <col min="13335" max="13335" width="8.5703125" style="404" customWidth="1"/>
    <col min="13336" max="13339" width="11.42578125" style="404" customWidth="1"/>
    <col min="13340" max="13340" width="12.7109375" style="404" customWidth="1"/>
    <col min="13341" max="13341" width="11.85546875" style="404" customWidth="1"/>
    <col min="13342" max="13342" width="7.85546875" style="404" customWidth="1"/>
    <col min="13343" max="13343" width="7.5703125" style="404" customWidth="1"/>
    <col min="13344" max="13344" width="8.85546875" style="404" customWidth="1"/>
    <col min="13345" max="13345" width="8.140625" style="404" customWidth="1"/>
    <col min="13346" max="13346" width="7.85546875" style="404" customWidth="1"/>
    <col min="13347" max="13347" width="8.5703125" style="404" customWidth="1"/>
    <col min="13348" max="13348" width="8.28515625" style="404" customWidth="1"/>
    <col min="13349" max="13349" width="11.42578125" style="404" customWidth="1"/>
    <col min="13350" max="13350" width="18" style="404" customWidth="1"/>
    <col min="13351" max="13351" width="21.42578125" style="404" customWidth="1"/>
    <col min="13352" max="13352" width="27.85546875" style="404" customWidth="1"/>
    <col min="13353" max="13568" width="11.42578125" style="404"/>
    <col min="13569" max="13569" width="13.5703125" style="404" customWidth="1"/>
    <col min="13570" max="13570" width="19" style="404" customWidth="1"/>
    <col min="13571" max="13571" width="13.5703125" style="404" customWidth="1"/>
    <col min="13572" max="13572" width="19.7109375" style="404" customWidth="1"/>
    <col min="13573" max="13573" width="13.5703125" style="404" customWidth="1"/>
    <col min="13574" max="13575" width="14.7109375" style="404" customWidth="1"/>
    <col min="13576" max="13576" width="36.140625" style="404" customWidth="1"/>
    <col min="13577" max="13577" width="29.42578125" style="404" customWidth="1"/>
    <col min="13578" max="13578" width="16" style="404" customWidth="1"/>
    <col min="13579" max="13579" width="38.28515625" style="404" customWidth="1"/>
    <col min="13580" max="13580" width="12" style="404" customWidth="1"/>
    <col min="13581" max="13581" width="38.140625" style="404" customWidth="1"/>
    <col min="13582" max="13582" width="17.85546875" style="404" bestFit="1" customWidth="1"/>
    <col min="13583" max="13583" width="24.7109375" style="404" customWidth="1"/>
    <col min="13584" max="13584" width="36.42578125" style="404" customWidth="1"/>
    <col min="13585" max="13585" width="46.7109375" style="404" customWidth="1"/>
    <col min="13586" max="13586" width="43.7109375" style="404" customWidth="1"/>
    <col min="13587" max="13587" width="25.42578125" style="404" customWidth="1"/>
    <col min="13588" max="13588" width="12.42578125" style="404" customWidth="1"/>
    <col min="13589" max="13589" width="16.42578125" style="404" customWidth="1"/>
    <col min="13590" max="13590" width="13.42578125" style="404" customWidth="1"/>
    <col min="13591" max="13591" width="8.5703125" style="404" customWidth="1"/>
    <col min="13592" max="13595" width="11.42578125" style="404" customWidth="1"/>
    <col min="13596" max="13596" width="12.7109375" style="404" customWidth="1"/>
    <col min="13597" max="13597" width="11.85546875" style="404" customWidth="1"/>
    <col min="13598" max="13598" width="7.85546875" style="404" customWidth="1"/>
    <col min="13599" max="13599" width="7.5703125" style="404" customWidth="1"/>
    <col min="13600" max="13600" width="8.85546875" style="404" customWidth="1"/>
    <col min="13601" max="13601" width="8.140625" style="404" customWidth="1"/>
    <col min="13602" max="13602" width="7.85546875" style="404" customWidth="1"/>
    <col min="13603" max="13603" width="8.5703125" style="404" customWidth="1"/>
    <col min="13604" max="13604" width="8.28515625" style="404" customWidth="1"/>
    <col min="13605" max="13605" width="11.42578125" style="404" customWidth="1"/>
    <col min="13606" max="13606" width="18" style="404" customWidth="1"/>
    <col min="13607" max="13607" width="21.42578125" style="404" customWidth="1"/>
    <col min="13608" max="13608" width="27.85546875" style="404" customWidth="1"/>
    <col min="13609" max="13824" width="11.42578125" style="404"/>
    <col min="13825" max="13825" width="13.5703125" style="404" customWidth="1"/>
    <col min="13826" max="13826" width="19" style="404" customWidth="1"/>
    <col min="13827" max="13827" width="13.5703125" style="404" customWidth="1"/>
    <col min="13828" max="13828" width="19.7109375" style="404" customWidth="1"/>
    <col min="13829" max="13829" width="13.5703125" style="404" customWidth="1"/>
    <col min="13830" max="13831" width="14.7109375" style="404" customWidth="1"/>
    <col min="13832" max="13832" width="36.140625" style="404" customWidth="1"/>
    <col min="13833" max="13833" width="29.42578125" style="404" customWidth="1"/>
    <col min="13834" max="13834" width="16" style="404" customWidth="1"/>
    <col min="13835" max="13835" width="38.28515625" style="404" customWidth="1"/>
    <col min="13836" max="13836" width="12" style="404" customWidth="1"/>
    <col min="13837" max="13837" width="38.140625" style="404" customWidth="1"/>
    <col min="13838" max="13838" width="17.85546875" style="404" bestFit="1" customWidth="1"/>
    <col min="13839" max="13839" width="24.7109375" style="404" customWidth="1"/>
    <col min="13840" max="13840" width="36.42578125" style="404" customWidth="1"/>
    <col min="13841" max="13841" width="46.7109375" style="404" customWidth="1"/>
    <col min="13842" max="13842" width="43.7109375" style="404" customWidth="1"/>
    <col min="13843" max="13843" width="25.42578125" style="404" customWidth="1"/>
    <col min="13844" max="13844" width="12.42578125" style="404" customWidth="1"/>
    <col min="13845" max="13845" width="16.42578125" style="404" customWidth="1"/>
    <col min="13846" max="13846" width="13.42578125" style="404" customWidth="1"/>
    <col min="13847" max="13847" width="8.5703125" style="404" customWidth="1"/>
    <col min="13848" max="13851" width="11.42578125" style="404" customWidth="1"/>
    <col min="13852" max="13852" width="12.7109375" style="404" customWidth="1"/>
    <col min="13853" max="13853" width="11.85546875" style="404" customWidth="1"/>
    <col min="13854" max="13854" width="7.85546875" style="404" customWidth="1"/>
    <col min="13855" max="13855" width="7.5703125" style="404" customWidth="1"/>
    <col min="13856" max="13856" width="8.85546875" style="404" customWidth="1"/>
    <col min="13857" max="13857" width="8.140625" style="404" customWidth="1"/>
    <col min="13858" max="13858" width="7.85546875" style="404" customWidth="1"/>
    <col min="13859" max="13859" width="8.5703125" style="404" customWidth="1"/>
    <col min="13860" max="13860" width="8.28515625" style="404" customWidth="1"/>
    <col min="13861" max="13861" width="11.42578125" style="404" customWidth="1"/>
    <col min="13862" max="13862" width="18" style="404" customWidth="1"/>
    <col min="13863" max="13863" width="21.42578125" style="404" customWidth="1"/>
    <col min="13864" max="13864" width="27.85546875" style="404" customWidth="1"/>
    <col min="13865" max="14080" width="11.42578125" style="404"/>
    <col min="14081" max="14081" width="13.5703125" style="404" customWidth="1"/>
    <col min="14082" max="14082" width="19" style="404" customWidth="1"/>
    <col min="14083" max="14083" width="13.5703125" style="404" customWidth="1"/>
    <col min="14084" max="14084" width="19.7109375" style="404" customWidth="1"/>
    <col min="14085" max="14085" width="13.5703125" style="404" customWidth="1"/>
    <col min="14086" max="14087" width="14.7109375" style="404" customWidth="1"/>
    <col min="14088" max="14088" width="36.140625" style="404" customWidth="1"/>
    <col min="14089" max="14089" width="29.42578125" style="404" customWidth="1"/>
    <col min="14090" max="14090" width="16" style="404" customWidth="1"/>
    <col min="14091" max="14091" width="38.28515625" style="404" customWidth="1"/>
    <col min="14092" max="14092" width="12" style="404" customWidth="1"/>
    <col min="14093" max="14093" width="38.140625" style="404" customWidth="1"/>
    <col min="14094" max="14094" width="17.85546875" style="404" bestFit="1" customWidth="1"/>
    <col min="14095" max="14095" width="24.7109375" style="404" customWidth="1"/>
    <col min="14096" max="14096" width="36.42578125" style="404" customWidth="1"/>
    <col min="14097" max="14097" width="46.7109375" style="404" customWidth="1"/>
    <col min="14098" max="14098" width="43.7109375" style="404" customWidth="1"/>
    <col min="14099" max="14099" width="25.42578125" style="404" customWidth="1"/>
    <col min="14100" max="14100" width="12.42578125" style="404" customWidth="1"/>
    <col min="14101" max="14101" width="16.42578125" style="404" customWidth="1"/>
    <col min="14102" max="14102" width="13.42578125" style="404" customWidth="1"/>
    <col min="14103" max="14103" width="8.5703125" style="404" customWidth="1"/>
    <col min="14104" max="14107" width="11.42578125" style="404" customWidth="1"/>
    <col min="14108" max="14108" width="12.7109375" style="404" customWidth="1"/>
    <col min="14109" max="14109" width="11.85546875" style="404" customWidth="1"/>
    <col min="14110" max="14110" width="7.85546875" style="404" customWidth="1"/>
    <col min="14111" max="14111" width="7.5703125" style="404" customWidth="1"/>
    <col min="14112" max="14112" width="8.85546875" style="404" customWidth="1"/>
    <col min="14113" max="14113" width="8.140625" style="404" customWidth="1"/>
    <col min="14114" max="14114" width="7.85546875" style="404" customWidth="1"/>
    <col min="14115" max="14115" width="8.5703125" style="404" customWidth="1"/>
    <col min="14116" max="14116" width="8.28515625" style="404" customWidth="1"/>
    <col min="14117" max="14117" width="11.42578125" style="404" customWidth="1"/>
    <col min="14118" max="14118" width="18" style="404" customWidth="1"/>
    <col min="14119" max="14119" width="21.42578125" style="404" customWidth="1"/>
    <col min="14120" max="14120" width="27.85546875" style="404" customWidth="1"/>
    <col min="14121" max="14336" width="11.42578125" style="404"/>
    <col min="14337" max="14337" width="13.5703125" style="404" customWidth="1"/>
    <col min="14338" max="14338" width="19" style="404" customWidth="1"/>
    <col min="14339" max="14339" width="13.5703125" style="404" customWidth="1"/>
    <col min="14340" max="14340" width="19.7109375" style="404" customWidth="1"/>
    <col min="14341" max="14341" width="13.5703125" style="404" customWidth="1"/>
    <col min="14342" max="14343" width="14.7109375" style="404" customWidth="1"/>
    <col min="14344" max="14344" width="36.140625" style="404" customWidth="1"/>
    <col min="14345" max="14345" width="29.42578125" style="404" customWidth="1"/>
    <col min="14346" max="14346" width="16" style="404" customWidth="1"/>
    <col min="14347" max="14347" width="38.28515625" style="404" customWidth="1"/>
    <col min="14348" max="14348" width="12" style="404" customWidth="1"/>
    <col min="14349" max="14349" width="38.140625" style="404" customWidth="1"/>
    <col min="14350" max="14350" width="17.85546875" style="404" bestFit="1" customWidth="1"/>
    <col min="14351" max="14351" width="24.7109375" style="404" customWidth="1"/>
    <col min="14352" max="14352" width="36.42578125" style="404" customWidth="1"/>
    <col min="14353" max="14353" width="46.7109375" style="404" customWidth="1"/>
    <col min="14354" max="14354" width="43.7109375" style="404" customWidth="1"/>
    <col min="14355" max="14355" width="25.42578125" style="404" customWidth="1"/>
    <col min="14356" max="14356" width="12.42578125" style="404" customWidth="1"/>
    <col min="14357" max="14357" width="16.42578125" style="404" customWidth="1"/>
    <col min="14358" max="14358" width="13.42578125" style="404" customWidth="1"/>
    <col min="14359" max="14359" width="8.5703125" style="404" customWidth="1"/>
    <col min="14360" max="14363" width="11.42578125" style="404" customWidth="1"/>
    <col min="14364" max="14364" width="12.7109375" style="404" customWidth="1"/>
    <col min="14365" max="14365" width="11.85546875" style="404" customWidth="1"/>
    <col min="14366" max="14366" width="7.85546875" style="404" customWidth="1"/>
    <col min="14367" max="14367" width="7.5703125" style="404" customWidth="1"/>
    <col min="14368" max="14368" width="8.85546875" style="404" customWidth="1"/>
    <col min="14369" max="14369" width="8.140625" style="404" customWidth="1"/>
    <col min="14370" max="14370" width="7.85546875" style="404" customWidth="1"/>
    <col min="14371" max="14371" width="8.5703125" style="404" customWidth="1"/>
    <col min="14372" max="14372" width="8.28515625" style="404" customWidth="1"/>
    <col min="14373" max="14373" width="11.42578125" style="404" customWidth="1"/>
    <col min="14374" max="14374" width="18" style="404" customWidth="1"/>
    <col min="14375" max="14375" width="21.42578125" style="404" customWidth="1"/>
    <col min="14376" max="14376" width="27.85546875" style="404" customWidth="1"/>
    <col min="14377" max="14592" width="11.42578125" style="404"/>
    <col min="14593" max="14593" width="13.5703125" style="404" customWidth="1"/>
    <col min="14594" max="14594" width="19" style="404" customWidth="1"/>
    <col min="14595" max="14595" width="13.5703125" style="404" customWidth="1"/>
    <col min="14596" max="14596" width="19.7109375" style="404" customWidth="1"/>
    <col min="14597" max="14597" width="13.5703125" style="404" customWidth="1"/>
    <col min="14598" max="14599" width="14.7109375" style="404" customWidth="1"/>
    <col min="14600" max="14600" width="36.140625" style="404" customWidth="1"/>
    <col min="14601" max="14601" width="29.42578125" style="404" customWidth="1"/>
    <col min="14602" max="14602" width="16" style="404" customWidth="1"/>
    <col min="14603" max="14603" width="38.28515625" style="404" customWidth="1"/>
    <col min="14604" max="14604" width="12" style="404" customWidth="1"/>
    <col min="14605" max="14605" width="38.140625" style="404" customWidth="1"/>
    <col min="14606" max="14606" width="17.85546875" style="404" bestFit="1" customWidth="1"/>
    <col min="14607" max="14607" width="24.7109375" style="404" customWidth="1"/>
    <col min="14608" max="14608" width="36.42578125" style="404" customWidth="1"/>
    <col min="14609" max="14609" width="46.7109375" style="404" customWidth="1"/>
    <col min="14610" max="14610" width="43.7109375" style="404" customWidth="1"/>
    <col min="14611" max="14611" width="25.42578125" style="404" customWidth="1"/>
    <col min="14612" max="14612" width="12.42578125" style="404" customWidth="1"/>
    <col min="14613" max="14613" width="16.42578125" style="404" customWidth="1"/>
    <col min="14614" max="14614" width="13.42578125" style="404" customWidth="1"/>
    <col min="14615" max="14615" width="8.5703125" style="404" customWidth="1"/>
    <col min="14616" max="14619" width="11.42578125" style="404" customWidth="1"/>
    <col min="14620" max="14620" width="12.7109375" style="404" customWidth="1"/>
    <col min="14621" max="14621" width="11.85546875" style="404" customWidth="1"/>
    <col min="14622" max="14622" width="7.85546875" style="404" customWidth="1"/>
    <col min="14623" max="14623" width="7.5703125" style="404" customWidth="1"/>
    <col min="14624" max="14624" width="8.85546875" style="404" customWidth="1"/>
    <col min="14625" max="14625" width="8.140625" style="404" customWidth="1"/>
    <col min="14626" max="14626" width="7.85546875" style="404" customWidth="1"/>
    <col min="14627" max="14627" width="8.5703125" style="404" customWidth="1"/>
    <col min="14628" max="14628" width="8.28515625" style="404" customWidth="1"/>
    <col min="14629" max="14629" width="11.42578125" style="404" customWidth="1"/>
    <col min="14630" max="14630" width="18" style="404" customWidth="1"/>
    <col min="14631" max="14631" width="21.42578125" style="404" customWidth="1"/>
    <col min="14632" max="14632" width="27.85546875" style="404" customWidth="1"/>
    <col min="14633" max="14848" width="11.42578125" style="404"/>
    <col min="14849" max="14849" width="13.5703125" style="404" customWidth="1"/>
    <col min="14850" max="14850" width="19" style="404" customWidth="1"/>
    <col min="14851" max="14851" width="13.5703125" style="404" customWidth="1"/>
    <col min="14852" max="14852" width="19.7109375" style="404" customWidth="1"/>
    <col min="14853" max="14853" width="13.5703125" style="404" customWidth="1"/>
    <col min="14854" max="14855" width="14.7109375" style="404" customWidth="1"/>
    <col min="14856" max="14856" width="36.140625" style="404" customWidth="1"/>
    <col min="14857" max="14857" width="29.42578125" style="404" customWidth="1"/>
    <col min="14858" max="14858" width="16" style="404" customWidth="1"/>
    <col min="14859" max="14859" width="38.28515625" style="404" customWidth="1"/>
    <col min="14860" max="14860" width="12" style="404" customWidth="1"/>
    <col min="14861" max="14861" width="38.140625" style="404" customWidth="1"/>
    <col min="14862" max="14862" width="17.85546875" style="404" bestFit="1" customWidth="1"/>
    <col min="14863" max="14863" width="24.7109375" style="404" customWidth="1"/>
    <col min="14864" max="14864" width="36.42578125" style="404" customWidth="1"/>
    <col min="14865" max="14865" width="46.7109375" style="404" customWidth="1"/>
    <col min="14866" max="14866" width="43.7109375" style="404" customWidth="1"/>
    <col min="14867" max="14867" width="25.42578125" style="404" customWidth="1"/>
    <col min="14868" max="14868" width="12.42578125" style="404" customWidth="1"/>
    <col min="14869" max="14869" width="16.42578125" style="404" customWidth="1"/>
    <col min="14870" max="14870" width="13.42578125" style="404" customWidth="1"/>
    <col min="14871" max="14871" width="8.5703125" style="404" customWidth="1"/>
    <col min="14872" max="14875" width="11.42578125" style="404" customWidth="1"/>
    <col min="14876" max="14876" width="12.7109375" style="404" customWidth="1"/>
    <col min="14877" max="14877" width="11.85546875" style="404" customWidth="1"/>
    <col min="14878" max="14878" width="7.85546875" style="404" customWidth="1"/>
    <col min="14879" max="14879" width="7.5703125" style="404" customWidth="1"/>
    <col min="14880" max="14880" width="8.85546875" style="404" customWidth="1"/>
    <col min="14881" max="14881" width="8.140625" style="404" customWidth="1"/>
    <col min="14882" max="14882" width="7.85546875" style="404" customWidth="1"/>
    <col min="14883" max="14883" width="8.5703125" style="404" customWidth="1"/>
    <col min="14884" max="14884" width="8.28515625" style="404" customWidth="1"/>
    <col min="14885" max="14885" width="11.42578125" style="404" customWidth="1"/>
    <col min="14886" max="14886" width="18" style="404" customWidth="1"/>
    <col min="14887" max="14887" width="21.42578125" style="404" customWidth="1"/>
    <col min="14888" max="14888" width="27.85546875" style="404" customWidth="1"/>
    <col min="14889" max="15104" width="11.42578125" style="404"/>
    <col min="15105" max="15105" width="13.5703125" style="404" customWidth="1"/>
    <col min="15106" max="15106" width="19" style="404" customWidth="1"/>
    <col min="15107" max="15107" width="13.5703125" style="404" customWidth="1"/>
    <col min="15108" max="15108" width="19.7109375" style="404" customWidth="1"/>
    <col min="15109" max="15109" width="13.5703125" style="404" customWidth="1"/>
    <col min="15110" max="15111" width="14.7109375" style="404" customWidth="1"/>
    <col min="15112" max="15112" width="36.140625" style="404" customWidth="1"/>
    <col min="15113" max="15113" width="29.42578125" style="404" customWidth="1"/>
    <col min="15114" max="15114" width="16" style="404" customWidth="1"/>
    <col min="15115" max="15115" width="38.28515625" style="404" customWidth="1"/>
    <col min="15116" max="15116" width="12" style="404" customWidth="1"/>
    <col min="15117" max="15117" width="38.140625" style="404" customWidth="1"/>
    <col min="15118" max="15118" width="17.85546875" style="404" bestFit="1" customWidth="1"/>
    <col min="15119" max="15119" width="24.7109375" style="404" customWidth="1"/>
    <col min="15120" max="15120" width="36.42578125" style="404" customWidth="1"/>
    <col min="15121" max="15121" width="46.7109375" style="404" customWidth="1"/>
    <col min="15122" max="15122" width="43.7109375" style="404" customWidth="1"/>
    <col min="15123" max="15123" width="25.42578125" style="404" customWidth="1"/>
    <col min="15124" max="15124" width="12.42578125" style="404" customWidth="1"/>
    <col min="15125" max="15125" width="16.42578125" style="404" customWidth="1"/>
    <col min="15126" max="15126" width="13.42578125" style="404" customWidth="1"/>
    <col min="15127" max="15127" width="8.5703125" style="404" customWidth="1"/>
    <col min="15128" max="15131" width="11.42578125" style="404" customWidth="1"/>
    <col min="15132" max="15132" width="12.7109375" style="404" customWidth="1"/>
    <col min="15133" max="15133" width="11.85546875" style="404" customWidth="1"/>
    <col min="15134" max="15134" width="7.85546875" style="404" customWidth="1"/>
    <col min="15135" max="15135" width="7.5703125" style="404" customWidth="1"/>
    <col min="15136" max="15136" width="8.85546875" style="404" customWidth="1"/>
    <col min="15137" max="15137" width="8.140625" style="404" customWidth="1"/>
    <col min="15138" max="15138" width="7.85546875" style="404" customWidth="1"/>
    <col min="15139" max="15139" width="8.5703125" style="404" customWidth="1"/>
    <col min="15140" max="15140" width="8.28515625" style="404" customWidth="1"/>
    <col min="15141" max="15141" width="11.42578125" style="404" customWidth="1"/>
    <col min="15142" max="15142" width="18" style="404" customWidth="1"/>
    <col min="15143" max="15143" width="21.42578125" style="404" customWidth="1"/>
    <col min="15144" max="15144" width="27.85546875" style="404" customWidth="1"/>
    <col min="15145" max="15360" width="11.42578125" style="404"/>
    <col min="15361" max="15361" width="13.5703125" style="404" customWidth="1"/>
    <col min="15362" max="15362" width="19" style="404" customWidth="1"/>
    <col min="15363" max="15363" width="13.5703125" style="404" customWidth="1"/>
    <col min="15364" max="15364" width="19.7109375" style="404" customWidth="1"/>
    <col min="15365" max="15365" width="13.5703125" style="404" customWidth="1"/>
    <col min="15366" max="15367" width="14.7109375" style="404" customWidth="1"/>
    <col min="15368" max="15368" width="36.140625" style="404" customWidth="1"/>
    <col min="15369" max="15369" width="29.42578125" style="404" customWidth="1"/>
    <col min="15370" max="15370" width="16" style="404" customWidth="1"/>
    <col min="15371" max="15371" width="38.28515625" style="404" customWidth="1"/>
    <col min="15372" max="15372" width="12" style="404" customWidth="1"/>
    <col min="15373" max="15373" width="38.140625" style="404" customWidth="1"/>
    <col min="15374" max="15374" width="17.85546875" style="404" bestFit="1" customWidth="1"/>
    <col min="15375" max="15375" width="24.7109375" style="404" customWidth="1"/>
    <col min="15376" max="15376" width="36.42578125" style="404" customWidth="1"/>
    <col min="15377" max="15377" width="46.7109375" style="404" customWidth="1"/>
    <col min="15378" max="15378" width="43.7109375" style="404" customWidth="1"/>
    <col min="15379" max="15379" width="25.42578125" style="404" customWidth="1"/>
    <col min="15380" max="15380" width="12.42578125" style="404" customWidth="1"/>
    <col min="15381" max="15381" width="16.42578125" style="404" customWidth="1"/>
    <col min="15382" max="15382" width="13.42578125" style="404" customWidth="1"/>
    <col min="15383" max="15383" width="8.5703125" style="404" customWidth="1"/>
    <col min="15384" max="15387" width="11.42578125" style="404" customWidth="1"/>
    <col min="15388" max="15388" width="12.7109375" style="404" customWidth="1"/>
    <col min="15389" max="15389" width="11.85546875" style="404" customWidth="1"/>
    <col min="15390" max="15390" width="7.85546875" style="404" customWidth="1"/>
    <col min="15391" max="15391" width="7.5703125" style="404" customWidth="1"/>
    <col min="15392" max="15392" width="8.85546875" style="404" customWidth="1"/>
    <col min="15393" max="15393" width="8.140625" style="404" customWidth="1"/>
    <col min="15394" max="15394" width="7.85546875" style="404" customWidth="1"/>
    <col min="15395" max="15395" width="8.5703125" style="404" customWidth="1"/>
    <col min="15396" max="15396" width="8.28515625" style="404" customWidth="1"/>
    <col min="15397" max="15397" width="11.42578125" style="404" customWidth="1"/>
    <col min="15398" max="15398" width="18" style="404" customWidth="1"/>
    <col min="15399" max="15399" width="21.42578125" style="404" customWidth="1"/>
    <col min="15400" max="15400" width="27.85546875" style="404" customWidth="1"/>
    <col min="15401" max="15616" width="11.42578125" style="404"/>
    <col min="15617" max="15617" width="13.5703125" style="404" customWidth="1"/>
    <col min="15618" max="15618" width="19" style="404" customWidth="1"/>
    <col min="15619" max="15619" width="13.5703125" style="404" customWidth="1"/>
    <col min="15620" max="15620" width="19.7109375" style="404" customWidth="1"/>
    <col min="15621" max="15621" width="13.5703125" style="404" customWidth="1"/>
    <col min="15622" max="15623" width="14.7109375" style="404" customWidth="1"/>
    <col min="15624" max="15624" width="36.140625" style="404" customWidth="1"/>
    <col min="15625" max="15625" width="29.42578125" style="404" customWidth="1"/>
    <col min="15626" max="15626" width="16" style="404" customWidth="1"/>
    <col min="15627" max="15627" width="38.28515625" style="404" customWidth="1"/>
    <col min="15628" max="15628" width="12" style="404" customWidth="1"/>
    <col min="15629" max="15629" width="38.140625" style="404" customWidth="1"/>
    <col min="15630" max="15630" width="17.85546875" style="404" bestFit="1" customWidth="1"/>
    <col min="15631" max="15631" width="24.7109375" style="404" customWidth="1"/>
    <col min="15632" max="15632" width="36.42578125" style="404" customWidth="1"/>
    <col min="15633" max="15633" width="46.7109375" style="404" customWidth="1"/>
    <col min="15634" max="15634" width="43.7109375" style="404" customWidth="1"/>
    <col min="15635" max="15635" width="25.42578125" style="404" customWidth="1"/>
    <col min="15636" max="15636" width="12.42578125" style="404" customWidth="1"/>
    <col min="15637" max="15637" width="16.42578125" style="404" customWidth="1"/>
    <col min="15638" max="15638" width="13.42578125" style="404" customWidth="1"/>
    <col min="15639" max="15639" width="8.5703125" style="404" customWidth="1"/>
    <col min="15640" max="15643" width="11.42578125" style="404" customWidth="1"/>
    <col min="15644" max="15644" width="12.7109375" style="404" customWidth="1"/>
    <col min="15645" max="15645" width="11.85546875" style="404" customWidth="1"/>
    <col min="15646" max="15646" width="7.85546875" style="404" customWidth="1"/>
    <col min="15647" max="15647" width="7.5703125" style="404" customWidth="1"/>
    <col min="15648" max="15648" width="8.85546875" style="404" customWidth="1"/>
    <col min="15649" max="15649" width="8.140625" style="404" customWidth="1"/>
    <col min="15650" max="15650" width="7.85546875" style="404" customWidth="1"/>
    <col min="15651" max="15651" width="8.5703125" style="404" customWidth="1"/>
    <col min="15652" max="15652" width="8.28515625" style="404" customWidth="1"/>
    <col min="15653" max="15653" width="11.42578125" style="404" customWidth="1"/>
    <col min="15654" max="15654" width="18" style="404" customWidth="1"/>
    <col min="15655" max="15655" width="21.42578125" style="404" customWidth="1"/>
    <col min="15656" max="15656" width="27.85546875" style="404" customWidth="1"/>
    <col min="15657" max="15872" width="11.42578125" style="404"/>
    <col min="15873" max="15873" width="13.5703125" style="404" customWidth="1"/>
    <col min="15874" max="15874" width="19" style="404" customWidth="1"/>
    <col min="15875" max="15875" width="13.5703125" style="404" customWidth="1"/>
    <col min="15876" max="15876" width="19.7109375" style="404" customWidth="1"/>
    <col min="15877" max="15877" width="13.5703125" style="404" customWidth="1"/>
    <col min="15878" max="15879" width="14.7109375" style="404" customWidth="1"/>
    <col min="15880" max="15880" width="36.140625" style="404" customWidth="1"/>
    <col min="15881" max="15881" width="29.42578125" style="404" customWidth="1"/>
    <col min="15882" max="15882" width="16" style="404" customWidth="1"/>
    <col min="15883" max="15883" width="38.28515625" style="404" customWidth="1"/>
    <col min="15884" max="15884" width="12" style="404" customWidth="1"/>
    <col min="15885" max="15885" width="38.140625" style="404" customWidth="1"/>
    <col min="15886" max="15886" width="17.85546875" style="404" bestFit="1" customWidth="1"/>
    <col min="15887" max="15887" width="24.7109375" style="404" customWidth="1"/>
    <col min="15888" max="15888" width="36.42578125" style="404" customWidth="1"/>
    <col min="15889" max="15889" width="46.7109375" style="404" customWidth="1"/>
    <col min="15890" max="15890" width="43.7109375" style="404" customWidth="1"/>
    <col min="15891" max="15891" width="25.42578125" style="404" customWidth="1"/>
    <col min="15892" max="15892" width="12.42578125" style="404" customWidth="1"/>
    <col min="15893" max="15893" width="16.42578125" style="404" customWidth="1"/>
    <col min="15894" max="15894" width="13.42578125" style="404" customWidth="1"/>
    <col min="15895" max="15895" width="8.5703125" style="404" customWidth="1"/>
    <col min="15896" max="15899" width="11.42578125" style="404" customWidth="1"/>
    <col min="15900" max="15900" width="12.7109375" style="404" customWidth="1"/>
    <col min="15901" max="15901" width="11.85546875" style="404" customWidth="1"/>
    <col min="15902" max="15902" width="7.85546875" style="404" customWidth="1"/>
    <col min="15903" max="15903" width="7.5703125" style="404" customWidth="1"/>
    <col min="15904" max="15904" width="8.85546875" style="404" customWidth="1"/>
    <col min="15905" max="15905" width="8.140625" style="404" customWidth="1"/>
    <col min="15906" max="15906" width="7.85546875" style="404" customWidth="1"/>
    <col min="15907" max="15907" width="8.5703125" style="404" customWidth="1"/>
    <col min="15908" max="15908" width="8.28515625" style="404" customWidth="1"/>
    <col min="15909" max="15909" width="11.42578125" style="404" customWidth="1"/>
    <col min="15910" max="15910" width="18" style="404" customWidth="1"/>
    <col min="15911" max="15911" width="21.42578125" style="404" customWidth="1"/>
    <col min="15912" max="15912" width="27.85546875" style="404" customWidth="1"/>
    <col min="15913" max="16128" width="11.42578125" style="404"/>
    <col min="16129" max="16129" width="13.5703125" style="404" customWidth="1"/>
    <col min="16130" max="16130" width="19" style="404" customWidth="1"/>
    <col min="16131" max="16131" width="13.5703125" style="404" customWidth="1"/>
    <col min="16132" max="16132" width="19.7109375" style="404" customWidth="1"/>
    <col min="16133" max="16133" width="13.5703125" style="404" customWidth="1"/>
    <col min="16134" max="16135" width="14.7109375" style="404" customWidth="1"/>
    <col min="16136" max="16136" width="36.140625" style="404" customWidth="1"/>
    <col min="16137" max="16137" width="29.42578125" style="404" customWidth="1"/>
    <col min="16138" max="16138" width="16" style="404" customWidth="1"/>
    <col min="16139" max="16139" width="38.28515625" style="404" customWidth="1"/>
    <col min="16140" max="16140" width="12" style="404" customWidth="1"/>
    <col min="16141" max="16141" width="38.140625" style="404" customWidth="1"/>
    <col min="16142" max="16142" width="17.85546875" style="404" bestFit="1" customWidth="1"/>
    <col min="16143" max="16143" width="24.7109375" style="404" customWidth="1"/>
    <col min="16144" max="16144" width="36.42578125" style="404" customWidth="1"/>
    <col min="16145" max="16145" width="46.7109375" style="404" customWidth="1"/>
    <col min="16146" max="16146" width="43.7109375" style="404" customWidth="1"/>
    <col min="16147" max="16147" width="25.42578125" style="404" customWidth="1"/>
    <col min="16148" max="16148" width="12.42578125" style="404" customWidth="1"/>
    <col min="16149" max="16149" width="16.42578125" style="404" customWidth="1"/>
    <col min="16150" max="16150" width="13.42578125" style="404" customWidth="1"/>
    <col min="16151" max="16151" width="8.5703125" style="404" customWidth="1"/>
    <col min="16152" max="16155" width="11.42578125" style="404" customWidth="1"/>
    <col min="16156" max="16156" width="12.7109375" style="404" customWidth="1"/>
    <col min="16157" max="16157" width="11.85546875" style="404" customWidth="1"/>
    <col min="16158" max="16158" width="7.85546875" style="404" customWidth="1"/>
    <col min="16159" max="16159" width="7.5703125" style="404" customWidth="1"/>
    <col min="16160" max="16160" width="8.85546875" style="404" customWidth="1"/>
    <col min="16161" max="16161" width="8.140625" style="404" customWidth="1"/>
    <col min="16162" max="16162" width="7.85546875" style="404" customWidth="1"/>
    <col min="16163" max="16163" width="8.5703125" style="404" customWidth="1"/>
    <col min="16164" max="16164" width="8.28515625" style="404" customWidth="1"/>
    <col min="16165" max="16165" width="11.42578125" style="404" customWidth="1"/>
    <col min="16166" max="16166" width="18" style="404" customWidth="1"/>
    <col min="16167" max="16167" width="21.42578125" style="404" customWidth="1"/>
    <col min="16168" max="16168" width="27.85546875" style="404" customWidth="1"/>
    <col min="16169" max="16384" width="11.42578125" style="404"/>
  </cols>
  <sheetData>
    <row r="1" spans="1:256" ht="22.5" customHeight="1" x14ac:dyDescent="0.2">
      <c r="A1" s="3670" t="s">
        <v>1757</v>
      </c>
      <c r="B1" s="3671"/>
      <c r="C1" s="3671"/>
      <c r="D1" s="3671"/>
      <c r="E1" s="3671"/>
      <c r="F1" s="3671"/>
      <c r="G1" s="3671"/>
      <c r="H1" s="3671"/>
      <c r="I1" s="3671"/>
      <c r="J1" s="3671"/>
      <c r="K1" s="3671"/>
      <c r="L1" s="3671"/>
      <c r="M1" s="3671"/>
      <c r="N1" s="3671"/>
      <c r="O1" s="3671"/>
      <c r="P1" s="3671"/>
      <c r="Q1" s="3671"/>
      <c r="R1" s="3671"/>
      <c r="S1" s="3671"/>
      <c r="T1" s="3671"/>
      <c r="U1" s="3671"/>
      <c r="V1" s="3671"/>
      <c r="W1" s="3671"/>
      <c r="X1" s="3671"/>
      <c r="Y1" s="3671"/>
      <c r="Z1" s="3671"/>
      <c r="AA1" s="3671"/>
      <c r="AB1" s="3671"/>
      <c r="AC1" s="3671"/>
      <c r="AD1" s="3671"/>
      <c r="AE1" s="3671"/>
      <c r="AF1" s="3671"/>
      <c r="AG1" s="3671"/>
      <c r="AH1" s="3671"/>
      <c r="AI1" s="3671"/>
      <c r="AJ1" s="3671"/>
      <c r="AK1" s="3671"/>
      <c r="AL1" s="3671"/>
      <c r="AM1" s="710" t="s">
        <v>0</v>
      </c>
      <c r="AN1" s="970" t="s">
        <v>346</v>
      </c>
    </row>
    <row r="2" spans="1:256" ht="22.5" customHeight="1" x14ac:dyDescent="0.2">
      <c r="A2" s="3671"/>
      <c r="B2" s="3671"/>
      <c r="C2" s="3671"/>
      <c r="D2" s="3671"/>
      <c r="E2" s="3671"/>
      <c r="F2" s="3671"/>
      <c r="G2" s="3671"/>
      <c r="H2" s="3671"/>
      <c r="I2" s="3671"/>
      <c r="J2" s="3671"/>
      <c r="K2" s="3671"/>
      <c r="L2" s="3671"/>
      <c r="M2" s="3671"/>
      <c r="N2" s="3671"/>
      <c r="O2" s="3671"/>
      <c r="P2" s="3671"/>
      <c r="Q2" s="3671"/>
      <c r="R2" s="3671"/>
      <c r="S2" s="3671"/>
      <c r="T2" s="3671"/>
      <c r="U2" s="3671"/>
      <c r="V2" s="3671"/>
      <c r="W2" s="3671"/>
      <c r="X2" s="3671"/>
      <c r="Y2" s="3671"/>
      <c r="Z2" s="3671"/>
      <c r="AA2" s="3671"/>
      <c r="AB2" s="3671"/>
      <c r="AC2" s="3671"/>
      <c r="AD2" s="3671"/>
      <c r="AE2" s="3671"/>
      <c r="AF2" s="3671"/>
      <c r="AG2" s="3671"/>
      <c r="AH2" s="3671"/>
      <c r="AI2" s="3671"/>
      <c r="AJ2" s="3671"/>
      <c r="AK2" s="3671"/>
      <c r="AL2" s="3671"/>
      <c r="AM2" s="726" t="s">
        <v>2</v>
      </c>
      <c r="AN2" s="970" t="s">
        <v>114</v>
      </c>
    </row>
    <row r="3" spans="1:256" ht="22.5" customHeight="1" x14ac:dyDescent="0.2">
      <c r="A3" s="3671"/>
      <c r="B3" s="3671"/>
      <c r="C3" s="3671"/>
      <c r="D3" s="3671"/>
      <c r="E3" s="3671"/>
      <c r="F3" s="3671"/>
      <c r="G3" s="3671"/>
      <c r="H3" s="3671"/>
      <c r="I3" s="3671"/>
      <c r="J3" s="3671"/>
      <c r="K3" s="3671"/>
      <c r="L3" s="3671"/>
      <c r="M3" s="3671"/>
      <c r="N3" s="3671"/>
      <c r="O3" s="3671"/>
      <c r="P3" s="3671"/>
      <c r="Q3" s="3671"/>
      <c r="R3" s="3671"/>
      <c r="S3" s="3671"/>
      <c r="T3" s="3671"/>
      <c r="U3" s="3671"/>
      <c r="V3" s="3671"/>
      <c r="W3" s="3671"/>
      <c r="X3" s="3671"/>
      <c r="Y3" s="3671"/>
      <c r="Z3" s="3671"/>
      <c r="AA3" s="3671"/>
      <c r="AB3" s="3671"/>
      <c r="AC3" s="3671"/>
      <c r="AD3" s="3671"/>
      <c r="AE3" s="3671"/>
      <c r="AF3" s="3671"/>
      <c r="AG3" s="3671"/>
      <c r="AH3" s="3671"/>
      <c r="AI3" s="3671"/>
      <c r="AJ3" s="3671"/>
      <c r="AK3" s="3671"/>
      <c r="AL3" s="3671"/>
      <c r="AM3" s="710" t="s">
        <v>4</v>
      </c>
      <c r="AN3" s="971" t="s">
        <v>5</v>
      </c>
    </row>
    <row r="4" spans="1:256" ht="30" customHeight="1" x14ac:dyDescent="0.2">
      <c r="A4" s="2828"/>
      <c r="B4" s="2828"/>
      <c r="C4" s="2828"/>
      <c r="D4" s="2828"/>
      <c r="E4" s="2828"/>
      <c r="F4" s="2828"/>
      <c r="G4" s="2828"/>
      <c r="H4" s="2828"/>
      <c r="I4" s="2828"/>
      <c r="J4" s="2828"/>
      <c r="K4" s="2828"/>
      <c r="L4" s="2828"/>
      <c r="M4" s="2828"/>
      <c r="N4" s="2828"/>
      <c r="O4" s="2828"/>
      <c r="P4" s="2828"/>
      <c r="Q4" s="2828"/>
      <c r="R4" s="2828"/>
      <c r="S4" s="2828"/>
      <c r="T4" s="2828"/>
      <c r="U4" s="2828"/>
      <c r="V4" s="2828"/>
      <c r="W4" s="2828"/>
      <c r="X4" s="2828"/>
      <c r="Y4" s="2828"/>
      <c r="Z4" s="2828"/>
      <c r="AA4" s="2828"/>
      <c r="AB4" s="2828"/>
      <c r="AC4" s="2828"/>
      <c r="AD4" s="2828"/>
      <c r="AE4" s="2828"/>
      <c r="AF4" s="2828"/>
      <c r="AG4" s="2828"/>
      <c r="AH4" s="2828"/>
      <c r="AI4" s="2828"/>
      <c r="AJ4" s="2828"/>
      <c r="AK4" s="2828"/>
      <c r="AL4" s="2828"/>
      <c r="AM4" s="710" t="s">
        <v>6</v>
      </c>
      <c r="AN4" s="972" t="s">
        <v>7</v>
      </c>
      <c r="AO4" s="2429"/>
      <c r="AP4" s="973"/>
      <c r="AQ4" s="973"/>
      <c r="AR4" s="973"/>
      <c r="AS4" s="973"/>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c r="DM4" s="405"/>
      <c r="DN4" s="405"/>
      <c r="DO4" s="405"/>
      <c r="DP4" s="405"/>
      <c r="DQ4" s="405"/>
      <c r="DR4" s="405"/>
      <c r="DS4" s="405"/>
      <c r="DT4" s="405"/>
      <c r="DU4" s="405"/>
      <c r="DV4" s="405"/>
      <c r="DW4" s="405"/>
      <c r="DX4" s="405"/>
      <c r="DY4" s="405"/>
      <c r="DZ4" s="405"/>
      <c r="EA4" s="405"/>
      <c r="EB4" s="405"/>
      <c r="EC4" s="405"/>
      <c r="ED4" s="405"/>
      <c r="EE4" s="405"/>
      <c r="EF4" s="405"/>
      <c r="EG4" s="405"/>
      <c r="EH4" s="405"/>
      <c r="EI4" s="405"/>
      <c r="EJ4" s="405"/>
      <c r="EK4" s="405"/>
      <c r="EL4" s="405"/>
      <c r="EM4" s="405"/>
      <c r="EN4" s="405"/>
      <c r="EO4" s="405"/>
      <c r="EP4" s="405"/>
      <c r="EQ4" s="405"/>
      <c r="ER4" s="405"/>
      <c r="ES4" s="405"/>
      <c r="ET4" s="405"/>
      <c r="EU4" s="405"/>
      <c r="EV4" s="405"/>
      <c r="EW4" s="405"/>
      <c r="EX4" s="405"/>
      <c r="EY4" s="405"/>
      <c r="EZ4" s="405"/>
      <c r="FA4" s="405"/>
      <c r="FB4" s="405"/>
      <c r="FC4" s="405"/>
      <c r="FD4" s="405"/>
      <c r="FE4" s="405"/>
      <c r="FF4" s="405"/>
      <c r="FG4" s="405"/>
      <c r="FH4" s="405"/>
      <c r="FI4" s="405"/>
      <c r="FJ4" s="405"/>
      <c r="FK4" s="405"/>
      <c r="FL4" s="405"/>
      <c r="FM4" s="405"/>
      <c r="FN4" s="405"/>
      <c r="FO4" s="405"/>
      <c r="FP4" s="405"/>
      <c r="FQ4" s="405"/>
      <c r="FR4" s="405"/>
      <c r="FS4" s="405"/>
      <c r="FT4" s="405"/>
      <c r="FU4" s="405"/>
      <c r="FV4" s="405"/>
      <c r="FW4" s="405"/>
      <c r="FX4" s="405"/>
      <c r="FY4" s="405"/>
      <c r="FZ4" s="405"/>
      <c r="GA4" s="405"/>
      <c r="GB4" s="405"/>
      <c r="GC4" s="405"/>
      <c r="GD4" s="405"/>
      <c r="GE4" s="405"/>
      <c r="GF4" s="405"/>
      <c r="GG4" s="405"/>
      <c r="GH4" s="405"/>
      <c r="GI4" s="405"/>
      <c r="GJ4" s="405"/>
      <c r="GK4" s="405"/>
      <c r="GL4" s="405"/>
      <c r="GM4" s="405"/>
      <c r="GN4" s="405"/>
      <c r="GO4" s="405"/>
      <c r="GP4" s="405"/>
      <c r="GQ4" s="405"/>
      <c r="GR4" s="405"/>
      <c r="GS4" s="405"/>
      <c r="GT4" s="405"/>
      <c r="GU4" s="405"/>
      <c r="GV4" s="405"/>
      <c r="GW4" s="405"/>
      <c r="GX4" s="405"/>
      <c r="GY4" s="405"/>
      <c r="GZ4" s="405"/>
      <c r="HA4" s="405"/>
      <c r="HB4" s="405"/>
      <c r="HC4" s="405"/>
      <c r="HD4" s="405"/>
      <c r="HE4" s="405"/>
      <c r="HF4" s="405"/>
      <c r="HG4" s="405"/>
      <c r="HH4" s="405"/>
      <c r="HI4" s="405"/>
      <c r="HJ4" s="405"/>
      <c r="HK4" s="405"/>
      <c r="HL4" s="405"/>
      <c r="HM4" s="405"/>
      <c r="HN4" s="405"/>
      <c r="HO4" s="405"/>
      <c r="HP4" s="405"/>
      <c r="HQ4" s="405"/>
      <c r="HR4" s="405"/>
      <c r="HS4" s="405"/>
      <c r="HT4" s="405"/>
      <c r="HU4" s="405"/>
      <c r="HV4" s="405"/>
      <c r="HW4" s="405"/>
      <c r="HX4" s="405"/>
      <c r="HY4" s="405"/>
      <c r="HZ4" s="405"/>
      <c r="IA4" s="405"/>
      <c r="IB4" s="405"/>
      <c r="IC4" s="405"/>
      <c r="ID4" s="405"/>
      <c r="IE4" s="405"/>
      <c r="IF4" s="405"/>
      <c r="IG4" s="405"/>
      <c r="IH4" s="405"/>
      <c r="II4" s="405"/>
      <c r="IJ4" s="405"/>
      <c r="IK4" s="405"/>
      <c r="IL4" s="405"/>
      <c r="IM4" s="405"/>
      <c r="IN4" s="405"/>
      <c r="IO4" s="405"/>
      <c r="IP4" s="405"/>
      <c r="IQ4" s="405"/>
      <c r="IR4" s="405"/>
      <c r="IS4" s="405"/>
      <c r="IT4" s="405"/>
      <c r="IU4" s="405"/>
      <c r="IV4" s="405"/>
    </row>
    <row r="5" spans="1:256" ht="24.75" customHeight="1" x14ac:dyDescent="0.2">
      <c r="A5" s="2846" t="s">
        <v>1286</v>
      </c>
      <c r="B5" s="2846"/>
      <c r="C5" s="2846"/>
      <c r="D5" s="2846"/>
      <c r="E5" s="2846"/>
      <c r="F5" s="2846"/>
      <c r="G5" s="2846"/>
      <c r="H5" s="2846"/>
      <c r="I5" s="2846"/>
      <c r="J5" s="2846"/>
      <c r="K5" s="1499"/>
      <c r="L5" s="1499"/>
      <c r="M5" s="2847" t="s">
        <v>9</v>
      </c>
      <c r="N5" s="2847"/>
      <c r="O5" s="2847"/>
      <c r="P5" s="2847"/>
      <c r="Q5" s="2847"/>
      <c r="R5" s="2847"/>
      <c r="S5" s="2847"/>
      <c r="T5" s="2847"/>
      <c r="U5" s="2847"/>
      <c r="V5" s="2847"/>
      <c r="W5" s="2847"/>
      <c r="X5" s="2847"/>
      <c r="Y5" s="2847"/>
      <c r="Z5" s="2847"/>
      <c r="AA5" s="2847"/>
      <c r="AB5" s="2847"/>
      <c r="AC5" s="2847"/>
      <c r="AD5" s="2847"/>
      <c r="AE5" s="2847"/>
      <c r="AF5" s="2847"/>
      <c r="AG5" s="2847"/>
      <c r="AH5" s="2847"/>
      <c r="AI5" s="2847"/>
      <c r="AJ5" s="2847"/>
      <c r="AK5" s="2847"/>
      <c r="AL5" s="2847"/>
      <c r="AM5" s="2847"/>
      <c r="AN5" s="2847"/>
    </row>
    <row r="6" spans="1:256" ht="27.75" customHeight="1" x14ac:dyDescent="0.2">
      <c r="A6" s="2828"/>
      <c r="B6" s="2828"/>
      <c r="C6" s="2828"/>
      <c r="D6" s="2828"/>
      <c r="E6" s="2828"/>
      <c r="F6" s="2828"/>
      <c r="G6" s="2828"/>
      <c r="H6" s="2828"/>
      <c r="I6" s="2828"/>
      <c r="J6" s="2828"/>
      <c r="K6" s="1500"/>
      <c r="L6" s="1500"/>
      <c r="M6" s="3672"/>
      <c r="N6" s="3673"/>
      <c r="O6" s="3673"/>
      <c r="P6" s="3673"/>
      <c r="Q6" s="3673"/>
      <c r="R6" s="3673"/>
      <c r="S6" s="3673"/>
      <c r="T6" s="3673"/>
      <c r="U6" s="3674"/>
      <c r="V6" s="3672" t="s">
        <v>10</v>
      </c>
      <c r="W6" s="3673"/>
      <c r="X6" s="3673"/>
      <c r="Y6" s="3673"/>
      <c r="Z6" s="3673"/>
      <c r="AA6" s="3673"/>
      <c r="AB6" s="3673"/>
      <c r="AC6" s="3673"/>
      <c r="AD6" s="3673"/>
      <c r="AE6" s="3673"/>
      <c r="AF6" s="3673"/>
      <c r="AG6" s="3673"/>
      <c r="AH6" s="3673"/>
      <c r="AI6" s="3673"/>
      <c r="AJ6" s="3673"/>
      <c r="AK6" s="3673"/>
      <c r="AL6" s="3672"/>
      <c r="AM6" s="3673"/>
      <c r="AN6" s="3674"/>
    </row>
    <row r="7" spans="1:256" ht="14.25" customHeight="1" x14ac:dyDescent="0.2">
      <c r="A7" s="3675" t="s">
        <v>11</v>
      </c>
      <c r="B7" s="3666" t="s">
        <v>12</v>
      </c>
      <c r="C7" s="3666" t="s">
        <v>11</v>
      </c>
      <c r="D7" s="3666" t="s">
        <v>13</v>
      </c>
      <c r="E7" s="3666" t="s">
        <v>11</v>
      </c>
      <c r="F7" s="3666" t="s">
        <v>14</v>
      </c>
      <c r="G7" s="3666" t="s">
        <v>11</v>
      </c>
      <c r="H7" s="3666" t="s">
        <v>15</v>
      </c>
      <c r="I7" s="3666" t="s">
        <v>16</v>
      </c>
      <c r="J7" s="3666" t="s">
        <v>17</v>
      </c>
      <c r="K7" s="3666" t="s">
        <v>18</v>
      </c>
      <c r="L7" s="3666" t="s">
        <v>947</v>
      </c>
      <c r="M7" s="3666" t="s">
        <v>9</v>
      </c>
      <c r="N7" s="3666" t="s">
        <v>20</v>
      </c>
      <c r="O7" s="3678" t="s">
        <v>21</v>
      </c>
      <c r="P7" s="3681" t="s">
        <v>22</v>
      </c>
      <c r="Q7" s="3681" t="s">
        <v>23</v>
      </c>
      <c r="R7" s="3666" t="s">
        <v>24</v>
      </c>
      <c r="S7" s="3685" t="s">
        <v>21</v>
      </c>
      <c r="T7" s="3666" t="s">
        <v>11</v>
      </c>
      <c r="U7" s="3666" t="s">
        <v>25</v>
      </c>
      <c r="V7" s="3684" t="s">
        <v>26</v>
      </c>
      <c r="W7" s="3684"/>
      <c r="X7" s="3684" t="s">
        <v>27</v>
      </c>
      <c r="Y7" s="3684"/>
      <c r="Z7" s="3684"/>
      <c r="AA7" s="3684"/>
      <c r="AB7" s="3684" t="s">
        <v>28</v>
      </c>
      <c r="AC7" s="3684"/>
      <c r="AD7" s="3684"/>
      <c r="AE7" s="3684"/>
      <c r="AF7" s="3684"/>
      <c r="AG7" s="3684"/>
      <c r="AH7" s="3684" t="s">
        <v>29</v>
      </c>
      <c r="AI7" s="3684"/>
      <c r="AJ7" s="3684"/>
      <c r="AK7" s="974" t="s">
        <v>30</v>
      </c>
      <c r="AL7" s="3735" t="s">
        <v>31</v>
      </c>
      <c r="AM7" s="3735" t="s">
        <v>32</v>
      </c>
      <c r="AN7" s="3743" t="s">
        <v>33</v>
      </c>
    </row>
    <row r="8" spans="1:256" ht="14.25" customHeight="1" x14ac:dyDescent="0.2">
      <c r="A8" s="3676"/>
      <c r="B8" s="3667"/>
      <c r="C8" s="3667"/>
      <c r="D8" s="3667"/>
      <c r="E8" s="3667"/>
      <c r="F8" s="3667"/>
      <c r="G8" s="3667"/>
      <c r="H8" s="3667"/>
      <c r="I8" s="3667"/>
      <c r="J8" s="3667"/>
      <c r="K8" s="3667"/>
      <c r="L8" s="3667"/>
      <c r="M8" s="3667"/>
      <c r="N8" s="3667"/>
      <c r="O8" s="3679"/>
      <c r="P8" s="3682"/>
      <c r="Q8" s="3682"/>
      <c r="R8" s="3667"/>
      <c r="S8" s="3686"/>
      <c r="T8" s="3667"/>
      <c r="U8" s="3667"/>
      <c r="V8" s="3684"/>
      <c r="W8" s="3684"/>
      <c r="X8" s="3684"/>
      <c r="Y8" s="3684"/>
      <c r="Z8" s="3684"/>
      <c r="AA8" s="3684"/>
      <c r="AB8" s="3684"/>
      <c r="AC8" s="3684"/>
      <c r="AD8" s="3684"/>
      <c r="AE8" s="3684"/>
      <c r="AF8" s="3684"/>
      <c r="AG8" s="3684"/>
      <c r="AH8" s="3684"/>
      <c r="AI8" s="3684"/>
      <c r="AJ8" s="3684"/>
      <c r="AK8" s="1640" t="s">
        <v>30</v>
      </c>
      <c r="AL8" s="3736"/>
      <c r="AM8" s="3736"/>
      <c r="AN8" s="3744"/>
    </row>
    <row r="9" spans="1:256" ht="67.5" customHeight="1" x14ac:dyDescent="0.2">
      <c r="A9" s="3677"/>
      <c r="B9" s="3668"/>
      <c r="C9" s="3668"/>
      <c r="D9" s="3668"/>
      <c r="E9" s="3668"/>
      <c r="F9" s="3668"/>
      <c r="G9" s="3668"/>
      <c r="H9" s="3668"/>
      <c r="I9" s="3668"/>
      <c r="J9" s="3668"/>
      <c r="K9" s="3668"/>
      <c r="L9" s="3668"/>
      <c r="M9" s="3668"/>
      <c r="N9" s="3668"/>
      <c r="O9" s="3680"/>
      <c r="P9" s="3683"/>
      <c r="Q9" s="3683"/>
      <c r="R9" s="3668"/>
      <c r="S9" s="975" t="s">
        <v>632</v>
      </c>
      <c r="T9" s="3668"/>
      <c r="U9" s="3668"/>
      <c r="V9" s="976" t="s">
        <v>34</v>
      </c>
      <c r="W9" s="977" t="s">
        <v>35</v>
      </c>
      <c r="X9" s="976" t="s">
        <v>36</v>
      </c>
      <c r="Y9" s="976" t="s">
        <v>115</v>
      </c>
      <c r="Z9" s="976" t="s">
        <v>384</v>
      </c>
      <c r="AA9" s="976" t="s">
        <v>117</v>
      </c>
      <c r="AB9" s="976" t="s">
        <v>40</v>
      </c>
      <c r="AC9" s="976" t="s">
        <v>41</v>
      </c>
      <c r="AD9" s="976" t="s">
        <v>42</v>
      </c>
      <c r="AE9" s="976" t="s">
        <v>43</v>
      </c>
      <c r="AF9" s="976" t="s">
        <v>44</v>
      </c>
      <c r="AG9" s="976" t="s">
        <v>45</v>
      </c>
      <c r="AH9" s="976" t="s">
        <v>46</v>
      </c>
      <c r="AI9" s="976" t="s">
        <v>47</v>
      </c>
      <c r="AJ9" s="976" t="s">
        <v>48</v>
      </c>
      <c r="AK9" s="976" t="s">
        <v>30</v>
      </c>
      <c r="AL9" s="3737"/>
      <c r="AM9" s="3737"/>
      <c r="AN9" s="3745"/>
    </row>
    <row r="10" spans="1:256" ht="15" x14ac:dyDescent="0.2">
      <c r="A10" s="978">
        <v>3</v>
      </c>
      <c r="B10" s="979" t="s">
        <v>919</v>
      </c>
      <c r="C10" s="980"/>
      <c r="D10" s="980"/>
      <c r="E10" s="980"/>
      <c r="F10" s="980"/>
      <c r="G10" s="980"/>
      <c r="H10" s="981"/>
      <c r="I10" s="981"/>
      <c r="J10" s="980"/>
      <c r="K10" s="980"/>
      <c r="L10" s="980"/>
      <c r="M10" s="981"/>
      <c r="N10" s="980"/>
      <c r="O10" s="980"/>
      <c r="P10" s="981"/>
      <c r="Q10" s="981"/>
      <c r="R10" s="981"/>
      <c r="S10" s="980"/>
      <c r="T10" s="982"/>
      <c r="U10" s="981"/>
      <c r="V10" s="980"/>
      <c r="W10" s="980"/>
      <c r="X10" s="980"/>
      <c r="Y10" s="980"/>
      <c r="Z10" s="980"/>
      <c r="AA10" s="980"/>
      <c r="AB10" s="980"/>
      <c r="AC10" s="980"/>
      <c r="AD10" s="980"/>
      <c r="AE10" s="980"/>
      <c r="AF10" s="980"/>
      <c r="AG10" s="980"/>
      <c r="AH10" s="980"/>
      <c r="AI10" s="980"/>
      <c r="AJ10" s="980"/>
      <c r="AK10" s="980"/>
      <c r="AL10" s="980"/>
      <c r="AM10" s="980"/>
      <c r="AN10" s="983"/>
    </row>
    <row r="11" spans="1:256" ht="15" x14ac:dyDescent="0.2">
      <c r="A11" s="984"/>
      <c r="B11" s="985"/>
      <c r="C11" s="986">
        <v>16</v>
      </c>
      <c r="D11" s="987" t="s">
        <v>1274</v>
      </c>
      <c r="E11" s="988"/>
      <c r="F11" s="988"/>
      <c r="G11" s="988"/>
      <c r="H11" s="989"/>
      <c r="I11" s="989"/>
      <c r="J11" s="988"/>
      <c r="K11" s="988"/>
      <c r="L11" s="988"/>
      <c r="M11" s="989"/>
      <c r="N11" s="988"/>
      <c r="O11" s="988"/>
      <c r="P11" s="989"/>
      <c r="Q11" s="989"/>
      <c r="R11" s="989"/>
      <c r="S11" s="988"/>
      <c r="T11" s="990"/>
      <c r="U11" s="989"/>
      <c r="V11" s="988"/>
      <c r="W11" s="988"/>
      <c r="X11" s="988"/>
      <c r="Y11" s="988"/>
      <c r="Z11" s="988"/>
      <c r="AA11" s="988"/>
      <c r="AB11" s="988"/>
      <c r="AC11" s="988"/>
      <c r="AD11" s="988"/>
      <c r="AE11" s="988"/>
      <c r="AF11" s="988"/>
      <c r="AG11" s="988"/>
      <c r="AH11" s="988"/>
      <c r="AI11" s="988"/>
      <c r="AJ11" s="988"/>
      <c r="AK11" s="988"/>
      <c r="AL11" s="988"/>
      <c r="AM11" s="988"/>
      <c r="AN11" s="991"/>
    </row>
    <row r="12" spans="1:256" ht="15" x14ac:dyDescent="0.2">
      <c r="A12" s="984"/>
      <c r="B12" s="985"/>
      <c r="C12" s="992"/>
      <c r="D12" s="985"/>
      <c r="E12" s="876">
        <v>56</v>
      </c>
      <c r="F12" s="993" t="s">
        <v>1287</v>
      </c>
      <c r="G12" s="994"/>
      <c r="H12" s="995"/>
      <c r="I12" s="995"/>
      <c r="J12" s="994"/>
      <c r="K12" s="994"/>
      <c r="L12" s="994"/>
      <c r="M12" s="995"/>
      <c r="N12" s="994"/>
      <c r="O12" s="994"/>
      <c r="P12" s="995"/>
      <c r="Q12" s="995"/>
      <c r="R12" s="995"/>
      <c r="S12" s="994"/>
      <c r="T12" s="996"/>
      <c r="U12" s="995"/>
      <c r="V12" s="994"/>
      <c r="W12" s="994"/>
      <c r="X12" s="994"/>
      <c r="Y12" s="994"/>
      <c r="Z12" s="994"/>
      <c r="AA12" s="994"/>
      <c r="AB12" s="994"/>
      <c r="AC12" s="994"/>
      <c r="AD12" s="994"/>
      <c r="AE12" s="994"/>
      <c r="AF12" s="994"/>
      <c r="AG12" s="994"/>
      <c r="AH12" s="994"/>
      <c r="AI12" s="994"/>
      <c r="AJ12" s="994"/>
      <c r="AK12" s="994"/>
      <c r="AL12" s="994"/>
      <c r="AM12" s="994"/>
      <c r="AN12" s="997"/>
    </row>
    <row r="13" spans="1:256" ht="48.75" customHeight="1" x14ac:dyDescent="0.2">
      <c r="A13" s="984"/>
      <c r="B13" s="985"/>
      <c r="C13" s="992"/>
      <c r="D13" s="985"/>
      <c r="E13" s="3746"/>
      <c r="F13" s="3747"/>
      <c r="G13" s="3752">
        <v>180</v>
      </c>
      <c r="H13" s="3704" t="s">
        <v>1288</v>
      </c>
      <c r="I13" s="3029" t="s">
        <v>1289</v>
      </c>
      <c r="J13" s="2842">
        <v>1</v>
      </c>
      <c r="K13" s="3698" t="s">
        <v>1290</v>
      </c>
      <c r="L13" s="3755" t="s">
        <v>1291</v>
      </c>
      <c r="M13" s="3689" t="s">
        <v>1292</v>
      </c>
      <c r="N13" s="3705">
        <f>SUM(S13:S16)/O13</f>
        <v>0.65509862607338021</v>
      </c>
      <c r="O13" s="3742">
        <f>SUM(S13:S20)</f>
        <v>64050000</v>
      </c>
      <c r="P13" s="3704" t="s">
        <v>1293</v>
      </c>
      <c r="Q13" s="3203" t="s">
        <v>1294</v>
      </c>
      <c r="R13" s="1007" t="s">
        <v>1295</v>
      </c>
      <c r="S13" s="1810">
        <f>28960000-6136200</f>
        <v>22823800</v>
      </c>
      <c r="T13" s="1627" t="s">
        <v>214</v>
      </c>
      <c r="U13" s="1627" t="s">
        <v>275</v>
      </c>
      <c r="V13" s="3758">
        <v>1813</v>
      </c>
      <c r="W13" s="3758">
        <v>1887</v>
      </c>
      <c r="X13" s="3357">
        <v>2000</v>
      </c>
      <c r="Y13" s="3357">
        <v>700</v>
      </c>
      <c r="Z13" s="3357">
        <v>1000</v>
      </c>
      <c r="AA13" s="3357"/>
      <c r="AB13" s="3357"/>
      <c r="AC13" s="3357"/>
      <c r="AD13" s="3357"/>
      <c r="AE13" s="3357"/>
      <c r="AF13" s="3357"/>
      <c r="AG13" s="3357"/>
      <c r="AH13" s="3357"/>
      <c r="AI13" s="3357"/>
      <c r="AJ13" s="3357"/>
      <c r="AK13" s="3357">
        <f>SUM(X13:AA20)</f>
        <v>3700</v>
      </c>
      <c r="AL13" s="3098">
        <v>43467</v>
      </c>
      <c r="AM13" s="3098">
        <v>43830</v>
      </c>
      <c r="AN13" s="3203" t="s">
        <v>1296</v>
      </c>
    </row>
    <row r="14" spans="1:256" ht="51.75" customHeight="1" x14ac:dyDescent="0.2">
      <c r="A14" s="984"/>
      <c r="B14" s="985"/>
      <c r="C14" s="992"/>
      <c r="D14" s="985"/>
      <c r="E14" s="3748"/>
      <c r="F14" s="3749"/>
      <c r="G14" s="3753"/>
      <c r="H14" s="3689"/>
      <c r="I14" s="3159"/>
      <c r="J14" s="2843"/>
      <c r="K14" s="3699"/>
      <c r="L14" s="3741"/>
      <c r="M14" s="3689"/>
      <c r="N14" s="2936"/>
      <c r="O14" s="3742"/>
      <c r="P14" s="3689"/>
      <c r="Q14" s="3204"/>
      <c r="R14" s="1045" t="s">
        <v>1297</v>
      </c>
      <c r="S14" s="1810">
        <v>3500000</v>
      </c>
      <c r="T14" s="1627" t="s">
        <v>214</v>
      </c>
      <c r="U14" s="1627" t="s">
        <v>275</v>
      </c>
      <c r="V14" s="3759"/>
      <c r="W14" s="3759"/>
      <c r="X14" s="3358"/>
      <c r="Y14" s="3358"/>
      <c r="Z14" s="3358"/>
      <c r="AA14" s="3358"/>
      <c r="AB14" s="3358"/>
      <c r="AC14" s="3358"/>
      <c r="AD14" s="3358"/>
      <c r="AE14" s="3358"/>
      <c r="AF14" s="3358"/>
      <c r="AG14" s="3358"/>
      <c r="AH14" s="3358"/>
      <c r="AI14" s="3358"/>
      <c r="AJ14" s="3358"/>
      <c r="AK14" s="3358"/>
      <c r="AL14" s="3098"/>
      <c r="AM14" s="3098"/>
      <c r="AN14" s="3204"/>
    </row>
    <row r="15" spans="1:256" ht="63.75" customHeight="1" x14ac:dyDescent="0.2">
      <c r="A15" s="984"/>
      <c r="B15" s="985"/>
      <c r="C15" s="992"/>
      <c r="D15" s="985"/>
      <c r="E15" s="3748"/>
      <c r="F15" s="3749"/>
      <c r="G15" s="3753"/>
      <c r="H15" s="3689"/>
      <c r="I15" s="3159"/>
      <c r="J15" s="2843"/>
      <c r="K15" s="3699"/>
      <c r="L15" s="3741"/>
      <c r="M15" s="3689"/>
      <c r="N15" s="2936"/>
      <c r="O15" s="3742"/>
      <c r="P15" s="3689"/>
      <c r="Q15" s="3204"/>
      <c r="R15" s="1527" t="s">
        <v>1298</v>
      </c>
      <c r="S15" s="1810">
        <v>4280000</v>
      </c>
      <c r="T15" s="1627" t="s">
        <v>214</v>
      </c>
      <c r="U15" s="1627" t="s">
        <v>275</v>
      </c>
      <c r="V15" s="3759"/>
      <c r="W15" s="3759"/>
      <c r="X15" s="3358"/>
      <c r="Y15" s="3358"/>
      <c r="Z15" s="3358"/>
      <c r="AA15" s="3358"/>
      <c r="AB15" s="3358"/>
      <c r="AC15" s="3358"/>
      <c r="AD15" s="3358"/>
      <c r="AE15" s="3358"/>
      <c r="AF15" s="3358"/>
      <c r="AG15" s="3358"/>
      <c r="AH15" s="3358"/>
      <c r="AI15" s="3358"/>
      <c r="AJ15" s="3358"/>
      <c r="AK15" s="3358"/>
      <c r="AL15" s="3098"/>
      <c r="AM15" s="3098"/>
      <c r="AN15" s="3204"/>
    </row>
    <row r="16" spans="1:256" ht="66" customHeight="1" x14ac:dyDescent="0.2">
      <c r="A16" s="984"/>
      <c r="B16" s="985"/>
      <c r="C16" s="992"/>
      <c r="D16" s="985"/>
      <c r="E16" s="3748"/>
      <c r="F16" s="3749"/>
      <c r="G16" s="3754"/>
      <c r="H16" s="3729"/>
      <c r="I16" s="3030"/>
      <c r="J16" s="3134"/>
      <c r="K16" s="3699"/>
      <c r="L16" s="3741"/>
      <c r="M16" s="3689"/>
      <c r="N16" s="2937"/>
      <c r="O16" s="3742"/>
      <c r="P16" s="3689"/>
      <c r="Q16" s="3205"/>
      <c r="R16" s="1527" t="s">
        <v>1299</v>
      </c>
      <c r="S16" s="1810">
        <f>7960000+3395267</f>
        <v>11355267</v>
      </c>
      <c r="T16" s="1627" t="s">
        <v>214</v>
      </c>
      <c r="U16" s="1627" t="s">
        <v>275</v>
      </c>
      <c r="V16" s="3759"/>
      <c r="W16" s="3759"/>
      <c r="X16" s="3358"/>
      <c r="Y16" s="3358"/>
      <c r="Z16" s="3358"/>
      <c r="AA16" s="3358"/>
      <c r="AB16" s="3358"/>
      <c r="AC16" s="3358"/>
      <c r="AD16" s="3358"/>
      <c r="AE16" s="3358"/>
      <c r="AF16" s="3358"/>
      <c r="AG16" s="3358"/>
      <c r="AH16" s="3358"/>
      <c r="AI16" s="3358"/>
      <c r="AJ16" s="3358"/>
      <c r="AK16" s="3358"/>
      <c r="AL16" s="3098"/>
      <c r="AM16" s="3098"/>
      <c r="AN16" s="3204"/>
    </row>
    <row r="17" spans="1:40" ht="66" customHeight="1" x14ac:dyDescent="0.2">
      <c r="A17" s="984"/>
      <c r="B17" s="985"/>
      <c r="C17" s="992"/>
      <c r="D17" s="985"/>
      <c r="E17" s="3748"/>
      <c r="F17" s="3749"/>
      <c r="G17" s="3752">
        <v>181</v>
      </c>
      <c r="H17" s="3704" t="s">
        <v>1300</v>
      </c>
      <c r="I17" s="3029" t="s">
        <v>1301</v>
      </c>
      <c r="J17" s="2842">
        <v>6</v>
      </c>
      <c r="K17" s="3699"/>
      <c r="L17" s="3741"/>
      <c r="M17" s="3689"/>
      <c r="N17" s="3705">
        <f>SUM(S17:S20)/O13</f>
        <v>0.34490137392661985</v>
      </c>
      <c r="O17" s="3742"/>
      <c r="P17" s="3689"/>
      <c r="Q17" s="3203" t="s">
        <v>1302</v>
      </c>
      <c r="R17" s="1007" t="s">
        <v>1303</v>
      </c>
      <c r="S17" s="1810">
        <f>4750000+126933</f>
        <v>4876933</v>
      </c>
      <c r="T17" s="1627" t="s">
        <v>214</v>
      </c>
      <c r="U17" s="1627" t="s">
        <v>275</v>
      </c>
      <c r="V17" s="3759"/>
      <c r="W17" s="3759"/>
      <c r="X17" s="3358"/>
      <c r="Y17" s="3358"/>
      <c r="Z17" s="3358"/>
      <c r="AA17" s="3358"/>
      <c r="AB17" s="3358"/>
      <c r="AC17" s="3358"/>
      <c r="AD17" s="3358"/>
      <c r="AE17" s="3358"/>
      <c r="AF17" s="3358"/>
      <c r="AG17" s="3358"/>
      <c r="AH17" s="3358"/>
      <c r="AI17" s="3358"/>
      <c r="AJ17" s="3358"/>
      <c r="AK17" s="3358"/>
      <c r="AL17" s="3098"/>
      <c r="AM17" s="3098"/>
      <c r="AN17" s="3204"/>
    </row>
    <row r="18" spans="1:40" ht="72" customHeight="1" x14ac:dyDescent="0.2">
      <c r="A18" s="984"/>
      <c r="B18" s="985"/>
      <c r="C18" s="992"/>
      <c r="D18" s="985"/>
      <c r="E18" s="3748"/>
      <c r="F18" s="3749"/>
      <c r="G18" s="3753"/>
      <c r="H18" s="3689"/>
      <c r="I18" s="3159"/>
      <c r="J18" s="2843"/>
      <c r="K18" s="3699"/>
      <c r="L18" s="3741"/>
      <c r="M18" s="3689"/>
      <c r="N18" s="2936"/>
      <c r="O18" s="3742"/>
      <c r="P18" s="3689"/>
      <c r="Q18" s="3204"/>
      <c r="R18" s="1007" t="s">
        <v>1304</v>
      </c>
      <c r="S18" s="1810">
        <f>5750000+750000</f>
        <v>6500000</v>
      </c>
      <c r="T18" s="1627" t="s">
        <v>214</v>
      </c>
      <c r="U18" s="1627" t="s">
        <v>275</v>
      </c>
      <c r="V18" s="3759"/>
      <c r="W18" s="3759"/>
      <c r="X18" s="3358"/>
      <c r="Y18" s="3358"/>
      <c r="Z18" s="3358"/>
      <c r="AA18" s="3358"/>
      <c r="AB18" s="3358"/>
      <c r="AC18" s="3358"/>
      <c r="AD18" s="3358"/>
      <c r="AE18" s="3358"/>
      <c r="AF18" s="3358"/>
      <c r="AG18" s="3358"/>
      <c r="AH18" s="3358"/>
      <c r="AI18" s="3358"/>
      <c r="AJ18" s="3358"/>
      <c r="AK18" s="3358"/>
      <c r="AL18" s="3098"/>
      <c r="AM18" s="3098"/>
      <c r="AN18" s="3204"/>
    </row>
    <row r="19" spans="1:40" ht="66" customHeight="1" x14ac:dyDescent="0.2">
      <c r="A19" s="984"/>
      <c r="B19" s="985"/>
      <c r="C19" s="992"/>
      <c r="D19" s="985"/>
      <c r="E19" s="3748"/>
      <c r="F19" s="3749"/>
      <c r="G19" s="3753"/>
      <c r="H19" s="3689"/>
      <c r="I19" s="3159"/>
      <c r="J19" s="2843"/>
      <c r="K19" s="3699"/>
      <c r="L19" s="3741"/>
      <c r="M19" s="3689"/>
      <c r="N19" s="2936"/>
      <c r="O19" s="3742"/>
      <c r="P19" s="3689"/>
      <c r="Q19" s="3204"/>
      <c r="R19" s="1007" t="s">
        <v>1305</v>
      </c>
      <c r="S19" s="1810">
        <f>4750000+1500000</f>
        <v>6250000</v>
      </c>
      <c r="T19" s="1627" t="s">
        <v>214</v>
      </c>
      <c r="U19" s="1627" t="s">
        <v>275</v>
      </c>
      <c r="V19" s="3759"/>
      <c r="W19" s="3759"/>
      <c r="X19" s="3358"/>
      <c r="Y19" s="3358"/>
      <c r="Z19" s="3358"/>
      <c r="AA19" s="3358"/>
      <c r="AB19" s="3358"/>
      <c r="AC19" s="3358"/>
      <c r="AD19" s="3358"/>
      <c r="AE19" s="3358"/>
      <c r="AF19" s="3358"/>
      <c r="AG19" s="3358"/>
      <c r="AH19" s="3358"/>
      <c r="AI19" s="3358"/>
      <c r="AJ19" s="3358"/>
      <c r="AK19" s="3358"/>
      <c r="AL19" s="3098"/>
      <c r="AM19" s="3098"/>
      <c r="AN19" s="3204"/>
    </row>
    <row r="20" spans="1:40" ht="57.75" customHeight="1" x14ac:dyDescent="0.2">
      <c r="A20" s="984"/>
      <c r="B20" s="985"/>
      <c r="C20" s="998"/>
      <c r="D20" s="999"/>
      <c r="E20" s="3750"/>
      <c r="F20" s="3751"/>
      <c r="G20" s="3754"/>
      <c r="H20" s="3729"/>
      <c r="I20" s="3030"/>
      <c r="J20" s="3134"/>
      <c r="K20" s="3732"/>
      <c r="L20" s="3756"/>
      <c r="M20" s="3729"/>
      <c r="N20" s="2937"/>
      <c r="O20" s="3757"/>
      <c r="P20" s="3729"/>
      <c r="Q20" s="3205"/>
      <c r="R20" s="1045" t="s">
        <v>1306</v>
      </c>
      <c r="S20" s="1811">
        <f>4100000+364000</f>
        <v>4464000</v>
      </c>
      <c r="T20" s="1627" t="s">
        <v>214</v>
      </c>
      <c r="U20" s="1627" t="s">
        <v>275</v>
      </c>
      <c r="V20" s="3760"/>
      <c r="W20" s="3760"/>
      <c r="X20" s="3359"/>
      <c r="Y20" s="3359"/>
      <c r="Z20" s="3359"/>
      <c r="AA20" s="3359"/>
      <c r="AB20" s="3359"/>
      <c r="AC20" s="3359"/>
      <c r="AD20" s="3359"/>
      <c r="AE20" s="3359"/>
      <c r="AF20" s="3359"/>
      <c r="AG20" s="3359"/>
      <c r="AH20" s="3359"/>
      <c r="AI20" s="3359"/>
      <c r="AJ20" s="3359"/>
      <c r="AK20" s="3359"/>
      <c r="AL20" s="3688"/>
      <c r="AM20" s="3688"/>
      <c r="AN20" s="3205"/>
    </row>
    <row r="21" spans="1:40" ht="15" x14ac:dyDescent="0.2">
      <c r="A21" s="984"/>
      <c r="B21" s="985"/>
      <c r="C21" s="986">
        <v>17</v>
      </c>
      <c r="D21" s="1000" t="s">
        <v>1307</v>
      </c>
      <c r="E21" s="1001"/>
      <c r="F21" s="1001"/>
      <c r="G21" s="1001"/>
      <c r="H21" s="1215"/>
      <c r="I21" s="1215"/>
      <c r="J21" s="1001"/>
      <c r="K21" s="1001"/>
      <c r="L21" s="1001"/>
      <c r="M21" s="1002"/>
      <c r="N21" s="1001"/>
      <c r="O21" s="1001"/>
      <c r="P21" s="1215"/>
      <c r="Q21" s="1215"/>
      <c r="R21" s="1215"/>
      <c r="S21" s="1812"/>
      <c r="T21" s="1003"/>
      <c r="U21" s="1002"/>
      <c r="V21" s="1001"/>
      <c r="W21" s="1001"/>
      <c r="X21" s="1001"/>
      <c r="Y21" s="1001"/>
      <c r="Z21" s="1001"/>
      <c r="AA21" s="1001"/>
      <c r="AB21" s="1001"/>
      <c r="AC21" s="1001"/>
      <c r="AD21" s="1001"/>
      <c r="AE21" s="1001"/>
      <c r="AF21" s="1001"/>
      <c r="AG21" s="1001"/>
      <c r="AH21" s="1001"/>
      <c r="AI21" s="1001"/>
      <c r="AJ21" s="1001"/>
      <c r="AK21" s="1001"/>
      <c r="AL21" s="1001"/>
      <c r="AM21" s="1001"/>
      <c r="AN21" s="920"/>
    </row>
    <row r="22" spans="1:40" ht="15" x14ac:dyDescent="0.2">
      <c r="A22" s="984"/>
      <c r="B22" s="985"/>
      <c r="C22" s="424"/>
      <c r="D22" s="425"/>
      <c r="E22" s="876">
        <v>58</v>
      </c>
      <c r="F22" s="993" t="s">
        <v>1308</v>
      </c>
      <c r="G22" s="994"/>
      <c r="H22" s="1216"/>
      <c r="I22" s="1216"/>
      <c r="J22" s="994"/>
      <c r="K22" s="994"/>
      <c r="L22" s="994"/>
      <c r="M22" s="995"/>
      <c r="N22" s="994"/>
      <c r="O22" s="994"/>
      <c r="P22" s="1216"/>
      <c r="Q22" s="1216"/>
      <c r="R22" s="1218"/>
      <c r="S22" s="1813"/>
      <c r="T22" s="1013"/>
      <c r="U22" s="1004"/>
      <c r="V22" s="994"/>
      <c r="W22" s="994"/>
      <c r="X22" s="994"/>
      <c r="Y22" s="994"/>
      <c r="Z22" s="994"/>
      <c r="AA22" s="994"/>
      <c r="AB22" s="994"/>
      <c r="AC22" s="994"/>
      <c r="AD22" s="994"/>
      <c r="AE22" s="994"/>
      <c r="AF22" s="994"/>
      <c r="AG22" s="994"/>
      <c r="AH22" s="994"/>
      <c r="AI22" s="994"/>
      <c r="AJ22" s="994"/>
      <c r="AK22" s="994"/>
      <c r="AL22" s="994"/>
      <c r="AM22" s="994"/>
      <c r="AN22" s="997"/>
    </row>
    <row r="23" spans="1:40" ht="51.75" customHeight="1" x14ac:dyDescent="0.2">
      <c r="A23" s="984"/>
      <c r="B23" s="985"/>
      <c r="C23" s="424"/>
      <c r="D23" s="425"/>
      <c r="E23" s="413"/>
      <c r="F23" s="415"/>
      <c r="G23" s="3738">
        <v>183</v>
      </c>
      <c r="H23" s="3697" t="s">
        <v>1309</v>
      </c>
      <c r="I23" s="3697" t="s">
        <v>1310</v>
      </c>
      <c r="J23" s="3739">
        <v>1</v>
      </c>
      <c r="K23" s="3698" t="s">
        <v>1311</v>
      </c>
      <c r="L23" s="3741" t="s">
        <v>1312</v>
      </c>
      <c r="M23" s="3689" t="s">
        <v>1313</v>
      </c>
      <c r="N23" s="2936">
        <f>SUM(S23:S29)/O23</f>
        <v>1</v>
      </c>
      <c r="O23" s="3742">
        <f>SUM(S23:S29)</f>
        <v>178850000</v>
      </c>
      <c r="P23" s="3689" t="s">
        <v>1314</v>
      </c>
      <c r="Q23" s="3209" t="s">
        <v>1315</v>
      </c>
      <c r="R23" s="1007" t="s">
        <v>1316</v>
      </c>
      <c r="S23" s="1814">
        <v>18590000</v>
      </c>
      <c r="T23" s="1630">
        <v>20</v>
      </c>
      <c r="U23" s="1255" t="s">
        <v>61</v>
      </c>
      <c r="V23" s="3691">
        <v>3625</v>
      </c>
      <c r="W23" s="3669">
        <v>3875</v>
      </c>
      <c r="X23" s="3669">
        <v>2000</v>
      </c>
      <c r="Y23" s="3669">
        <v>4000</v>
      </c>
      <c r="Z23" s="3669">
        <v>1000</v>
      </c>
      <c r="AA23" s="3669">
        <v>500</v>
      </c>
      <c r="AB23" s="3669"/>
      <c r="AC23" s="3669"/>
      <c r="AD23" s="3669"/>
      <c r="AE23" s="3669"/>
      <c r="AF23" s="3669"/>
      <c r="AG23" s="3669"/>
      <c r="AH23" s="3669"/>
      <c r="AI23" s="3669"/>
      <c r="AJ23" s="3669"/>
      <c r="AK23" s="3695">
        <f>SUM(X23:AI29)</f>
        <v>7500</v>
      </c>
      <c r="AL23" s="3096">
        <v>43467</v>
      </c>
      <c r="AM23" s="3098">
        <v>43830</v>
      </c>
      <c r="AN23" s="3204" t="s">
        <v>1296</v>
      </c>
    </row>
    <row r="24" spans="1:40" ht="86.25" customHeight="1" x14ac:dyDescent="0.2">
      <c r="A24" s="984"/>
      <c r="B24" s="985"/>
      <c r="C24" s="424"/>
      <c r="D24" s="425"/>
      <c r="E24" s="424"/>
      <c r="F24" s="425"/>
      <c r="G24" s="3738"/>
      <c r="H24" s="3697"/>
      <c r="I24" s="3697"/>
      <c r="J24" s="3739"/>
      <c r="K24" s="3699"/>
      <c r="L24" s="3741"/>
      <c r="M24" s="3689"/>
      <c r="N24" s="2936"/>
      <c r="O24" s="3742"/>
      <c r="P24" s="3689"/>
      <c r="Q24" s="3690"/>
      <c r="R24" s="1007" t="s">
        <v>1317</v>
      </c>
      <c r="S24" s="1814">
        <f>40770000+14981000-15881418</f>
        <v>39869582</v>
      </c>
      <c r="T24" s="1630">
        <v>20</v>
      </c>
      <c r="U24" s="1255" t="s">
        <v>61</v>
      </c>
      <c r="V24" s="3691"/>
      <c r="W24" s="3669"/>
      <c r="X24" s="3669"/>
      <c r="Y24" s="3669"/>
      <c r="Z24" s="3669"/>
      <c r="AA24" s="3669"/>
      <c r="AB24" s="3669"/>
      <c r="AC24" s="3669"/>
      <c r="AD24" s="3669"/>
      <c r="AE24" s="3669"/>
      <c r="AF24" s="3669"/>
      <c r="AG24" s="3669"/>
      <c r="AH24" s="3669"/>
      <c r="AI24" s="3669"/>
      <c r="AJ24" s="3669"/>
      <c r="AK24" s="3669"/>
      <c r="AL24" s="3097"/>
      <c r="AM24" s="3098"/>
      <c r="AN24" s="3204"/>
    </row>
    <row r="25" spans="1:40" ht="55.5" customHeight="1" x14ac:dyDescent="0.2">
      <c r="A25" s="984"/>
      <c r="B25" s="985"/>
      <c r="C25" s="424"/>
      <c r="D25" s="425"/>
      <c r="E25" s="424"/>
      <c r="F25" s="425"/>
      <c r="G25" s="3738"/>
      <c r="H25" s="3697"/>
      <c r="I25" s="3697"/>
      <c r="J25" s="3739"/>
      <c r="K25" s="3699"/>
      <c r="L25" s="3741"/>
      <c r="M25" s="3689"/>
      <c r="N25" s="2936"/>
      <c r="O25" s="3742"/>
      <c r="P25" s="3689"/>
      <c r="Q25" s="3690"/>
      <c r="R25" s="1007" t="s">
        <v>1318</v>
      </c>
      <c r="S25" s="1814">
        <f>37180000-7180000</f>
        <v>30000000</v>
      </c>
      <c r="T25" s="1630">
        <v>20</v>
      </c>
      <c r="U25" s="1255" t="s">
        <v>61</v>
      </c>
      <c r="V25" s="3691"/>
      <c r="W25" s="3669"/>
      <c r="X25" s="3669"/>
      <c r="Y25" s="3669"/>
      <c r="Z25" s="3669"/>
      <c r="AA25" s="3669"/>
      <c r="AB25" s="3669"/>
      <c r="AC25" s="3669"/>
      <c r="AD25" s="3669"/>
      <c r="AE25" s="3669"/>
      <c r="AF25" s="3669"/>
      <c r="AG25" s="3669"/>
      <c r="AH25" s="3669"/>
      <c r="AI25" s="3669"/>
      <c r="AJ25" s="3669"/>
      <c r="AK25" s="3669"/>
      <c r="AL25" s="3097"/>
      <c r="AM25" s="3098"/>
      <c r="AN25" s="3204"/>
    </row>
    <row r="26" spans="1:40" ht="51.75" customHeight="1" x14ac:dyDescent="0.2">
      <c r="A26" s="984"/>
      <c r="B26" s="985"/>
      <c r="C26" s="424"/>
      <c r="D26" s="425"/>
      <c r="E26" s="424"/>
      <c r="F26" s="425"/>
      <c r="G26" s="3738"/>
      <c r="H26" s="3697"/>
      <c r="I26" s="3697"/>
      <c r="J26" s="3739"/>
      <c r="K26" s="3699"/>
      <c r="L26" s="3741"/>
      <c r="M26" s="3689"/>
      <c r="N26" s="2936"/>
      <c r="O26" s="3742"/>
      <c r="P26" s="3689"/>
      <c r="Q26" s="3690"/>
      <c r="R26" s="1007" t="s">
        <v>1319</v>
      </c>
      <c r="S26" s="1814">
        <f>37180000-7801000</f>
        <v>29379000</v>
      </c>
      <c r="T26" s="1630">
        <v>20</v>
      </c>
      <c r="U26" s="1255" t="s">
        <v>61</v>
      </c>
      <c r="V26" s="3691"/>
      <c r="W26" s="3669"/>
      <c r="X26" s="3669"/>
      <c r="Y26" s="3669"/>
      <c r="Z26" s="3669"/>
      <c r="AA26" s="3669"/>
      <c r="AB26" s="3669"/>
      <c r="AC26" s="3669"/>
      <c r="AD26" s="3669"/>
      <c r="AE26" s="3669"/>
      <c r="AF26" s="3669"/>
      <c r="AG26" s="3669"/>
      <c r="AH26" s="3669"/>
      <c r="AI26" s="3669"/>
      <c r="AJ26" s="3669"/>
      <c r="AK26" s="3669"/>
      <c r="AL26" s="3097"/>
      <c r="AM26" s="3098"/>
      <c r="AN26" s="3204"/>
    </row>
    <row r="27" spans="1:40" ht="45.75" customHeight="1" x14ac:dyDescent="0.2">
      <c r="A27" s="984"/>
      <c r="B27" s="985"/>
      <c r="C27" s="424"/>
      <c r="D27" s="425"/>
      <c r="E27" s="424"/>
      <c r="F27" s="425"/>
      <c r="G27" s="3738"/>
      <c r="H27" s="3697"/>
      <c r="I27" s="3697"/>
      <c r="J27" s="3739"/>
      <c r="K27" s="3699"/>
      <c r="L27" s="3741"/>
      <c r="M27" s="3689"/>
      <c r="N27" s="2936"/>
      <c r="O27" s="3742"/>
      <c r="P27" s="3689"/>
      <c r="Q27" s="3690"/>
      <c r="R27" s="1007" t="s">
        <v>1320</v>
      </c>
      <c r="S27" s="1815">
        <f>31130000-13093617</f>
        <v>18036383</v>
      </c>
      <c r="T27" s="1630">
        <v>20</v>
      </c>
      <c r="U27" s="1255" t="s">
        <v>61</v>
      </c>
      <c r="V27" s="3691"/>
      <c r="W27" s="3669"/>
      <c r="X27" s="3669"/>
      <c r="Y27" s="3669"/>
      <c r="Z27" s="3669"/>
      <c r="AA27" s="3669"/>
      <c r="AB27" s="3669"/>
      <c r="AC27" s="3669"/>
      <c r="AD27" s="3669"/>
      <c r="AE27" s="3669"/>
      <c r="AF27" s="3669"/>
      <c r="AG27" s="3669"/>
      <c r="AH27" s="3669"/>
      <c r="AI27" s="3669"/>
      <c r="AJ27" s="3669"/>
      <c r="AK27" s="3669"/>
      <c r="AL27" s="3097"/>
      <c r="AM27" s="3098"/>
      <c r="AN27" s="3204"/>
    </row>
    <row r="28" spans="1:40" ht="33.75" customHeight="1" x14ac:dyDescent="0.2">
      <c r="A28" s="984"/>
      <c r="B28" s="985"/>
      <c r="C28" s="424"/>
      <c r="D28" s="425"/>
      <c r="E28" s="424"/>
      <c r="F28" s="425"/>
      <c r="G28" s="3738"/>
      <c r="H28" s="3697"/>
      <c r="I28" s="3697"/>
      <c r="J28" s="3739"/>
      <c r="K28" s="3699"/>
      <c r="L28" s="3741"/>
      <c r="M28" s="3689"/>
      <c r="N28" s="2936"/>
      <c r="O28" s="3742"/>
      <c r="P28" s="3689"/>
      <c r="Q28" s="3203" t="s">
        <v>1321</v>
      </c>
      <c r="R28" s="1045" t="s">
        <v>1322</v>
      </c>
      <c r="S28" s="1816">
        <f>6000000+28975035</f>
        <v>34975035</v>
      </c>
      <c r="T28" s="1630">
        <v>20</v>
      </c>
      <c r="U28" s="1255" t="s">
        <v>61</v>
      </c>
      <c r="V28" s="3691"/>
      <c r="W28" s="3669"/>
      <c r="X28" s="3669"/>
      <c r="Y28" s="3669"/>
      <c r="Z28" s="3669"/>
      <c r="AA28" s="3669"/>
      <c r="AB28" s="3669"/>
      <c r="AC28" s="3669"/>
      <c r="AD28" s="3669"/>
      <c r="AE28" s="3669"/>
      <c r="AF28" s="3669"/>
      <c r="AG28" s="3669"/>
      <c r="AH28" s="3669"/>
      <c r="AI28" s="3669"/>
      <c r="AJ28" s="3669"/>
      <c r="AK28" s="3669"/>
      <c r="AL28" s="3097"/>
      <c r="AM28" s="3098"/>
      <c r="AN28" s="3204"/>
    </row>
    <row r="29" spans="1:40" ht="31.5" customHeight="1" x14ac:dyDescent="0.2">
      <c r="A29" s="984"/>
      <c r="B29" s="985"/>
      <c r="C29" s="424"/>
      <c r="D29" s="425"/>
      <c r="E29" s="424"/>
      <c r="F29" s="425"/>
      <c r="G29" s="3738"/>
      <c r="H29" s="3697"/>
      <c r="I29" s="3697"/>
      <c r="J29" s="3740"/>
      <c r="K29" s="3699"/>
      <c r="L29" s="3741"/>
      <c r="M29" s="3689"/>
      <c r="N29" s="2936"/>
      <c r="O29" s="3706"/>
      <c r="P29" s="3689"/>
      <c r="Q29" s="3204"/>
      <c r="R29" s="1045" t="s">
        <v>1323</v>
      </c>
      <c r="S29" s="1817">
        <v>8000000</v>
      </c>
      <c r="T29" s="1630">
        <v>20</v>
      </c>
      <c r="U29" s="1255" t="s">
        <v>61</v>
      </c>
      <c r="V29" s="3691"/>
      <c r="W29" s="3669"/>
      <c r="X29" s="3669"/>
      <c r="Y29" s="3669"/>
      <c r="Z29" s="3669"/>
      <c r="AA29" s="3669"/>
      <c r="AB29" s="3669"/>
      <c r="AC29" s="3669"/>
      <c r="AD29" s="3669"/>
      <c r="AE29" s="3669"/>
      <c r="AF29" s="3669"/>
      <c r="AG29" s="3669"/>
      <c r="AH29" s="3669"/>
      <c r="AI29" s="3669"/>
      <c r="AJ29" s="3669"/>
      <c r="AK29" s="3355"/>
      <c r="AL29" s="3097"/>
      <c r="AM29" s="3096"/>
      <c r="AN29" s="3204"/>
    </row>
    <row r="30" spans="1:40" ht="28.5" customHeight="1" x14ac:dyDescent="0.2">
      <c r="A30" s="984"/>
      <c r="B30" s="985"/>
      <c r="C30" s="424"/>
      <c r="D30" s="425"/>
      <c r="E30" s="876">
        <v>59</v>
      </c>
      <c r="F30" s="993" t="s">
        <v>1324</v>
      </c>
      <c r="G30" s="1005"/>
      <c r="H30" s="1216"/>
      <c r="I30" s="1216"/>
      <c r="J30" s="994"/>
      <c r="K30" s="994"/>
      <c r="L30" s="994"/>
      <c r="M30" s="995"/>
      <c r="N30" s="994"/>
      <c r="O30" s="994"/>
      <c r="P30" s="1216"/>
      <c r="Q30" s="1218"/>
      <c r="R30" s="1216" t="s">
        <v>1325</v>
      </c>
      <c r="S30" s="1813"/>
      <c r="T30" s="1253"/>
      <c r="U30" s="1252"/>
      <c r="V30" s="994"/>
      <c r="W30" s="994"/>
      <c r="X30" s="994"/>
      <c r="Y30" s="994"/>
      <c r="Z30" s="994"/>
      <c r="AA30" s="994"/>
      <c r="AB30" s="994"/>
      <c r="AC30" s="994"/>
      <c r="AD30" s="994"/>
      <c r="AE30" s="994"/>
      <c r="AF30" s="994"/>
      <c r="AG30" s="994"/>
      <c r="AH30" s="994"/>
      <c r="AI30" s="994"/>
      <c r="AJ30" s="994"/>
      <c r="AK30" s="994"/>
      <c r="AL30" s="994"/>
      <c r="AM30" s="994"/>
      <c r="AN30" s="997"/>
    </row>
    <row r="31" spans="1:40" ht="52.5" customHeight="1" x14ac:dyDescent="0.2">
      <c r="A31" s="984"/>
      <c r="B31" s="985"/>
      <c r="C31" s="424"/>
      <c r="D31" s="425"/>
      <c r="E31" s="424"/>
      <c r="F31" s="1006"/>
      <c r="G31" s="3761">
        <v>184</v>
      </c>
      <c r="H31" s="3762" t="s">
        <v>1326</v>
      </c>
      <c r="I31" s="3029" t="s">
        <v>1327</v>
      </c>
      <c r="J31" s="3357">
        <v>1</v>
      </c>
      <c r="K31" s="3764" t="s">
        <v>1328</v>
      </c>
      <c r="L31" s="3755" t="s">
        <v>1329</v>
      </c>
      <c r="M31" s="3765" t="s">
        <v>1330</v>
      </c>
      <c r="N31" s="3705">
        <f>SUM(S31:S37)/O31</f>
        <v>0.84878821717366193</v>
      </c>
      <c r="O31" s="3757">
        <f>SUM(S31:S43)</f>
        <v>519400000</v>
      </c>
      <c r="P31" s="3768" t="s">
        <v>1331</v>
      </c>
      <c r="Q31" s="2674" t="s">
        <v>1332</v>
      </c>
      <c r="R31" s="1007" t="s">
        <v>1333</v>
      </c>
      <c r="S31" s="1817">
        <f>12600000-6100000</f>
        <v>6500000</v>
      </c>
      <c r="T31" s="1630">
        <v>20</v>
      </c>
      <c r="U31" s="1374" t="s">
        <v>275</v>
      </c>
      <c r="V31" s="3770">
        <v>8575</v>
      </c>
      <c r="W31" s="3770">
        <v>8925</v>
      </c>
      <c r="X31" s="3687">
        <v>12000</v>
      </c>
      <c r="Y31" s="3771">
        <v>4000</v>
      </c>
      <c r="Z31" s="3771">
        <v>1500</v>
      </c>
      <c r="AA31" s="3687"/>
      <c r="AB31" s="3687"/>
      <c r="AC31" s="3687"/>
      <c r="AD31" s="3687"/>
      <c r="AE31" s="3687"/>
      <c r="AF31" s="3687"/>
      <c r="AG31" s="3687"/>
      <c r="AH31" s="3687"/>
      <c r="AI31" s="3687"/>
      <c r="AJ31" s="3687"/>
      <c r="AK31" s="3692">
        <f>SUM(V31:W41)</f>
        <v>17500</v>
      </c>
      <c r="AL31" s="3688">
        <v>43467</v>
      </c>
      <c r="AM31" s="3688">
        <v>43830</v>
      </c>
      <c r="AN31" s="2674" t="s">
        <v>1296</v>
      </c>
    </row>
    <row r="32" spans="1:40" ht="54.75" customHeight="1" x14ac:dyDescent="0.2">
      <c r="A32" s="984"/>
      <c r="B32" s="985"/>
      <c r="C32" s="424"/>
      <c r="D32" s="425"/>
      <c r="E32" s="424"/>
      <c r="F32" s="1006"/>
      <c r="G32" s="3761"/>
      <c r="H32" s="3763"/>
      <c r="I32" s="3159"/>
      <c r="J32" s="3358"/>
      <c r="K32" s="3764"/>
      <c r="L32" s="3741"/>
      <c r="M32" s="3766"/>
      <c r="N32" s="2936"/>
      <c r="O32" s="3757"/>
      <c r="P32" s="3768"/>
      <c r="Q32" s="2674"/>
      <c r="R32" s="1527" t="s">
        <v>1334</v>
      </c>
      <c r="S32" s="1818">
        <f>12100000-5600000</f>
        <v>6500000</v>
      </c>
      <c r="T32" s="1630">
        <v>20</v>
      </c>
      <c r="U32" s="1374" t="s">
        <v>275</v>
      </c>
      <c r="V32" s="3770"/>
      <c r="W32" s="3770"/>
      <c r="X32" s="3687"/>
      <c r="Y32" s="3771"/>
      <c r="Z32" s="3771"/>
      <c r="AA32" s="3687"/>
      <c r="AB32" s="3687"/>
      <c r="AC32" s="3687"/>
      <c r="AD32" s="3687"/>
      <c r="AE32" s="3687"/>
      <c r="AF32" s="3687"/>
      <c r="AG32" s="3687"/>
      <c r="AH32" s="3687"/>
      <c r="AI32" s="3687"/>
      <c r="AJ32" s="3687"/>
      <c r="AK32" s="3692"/>
      <c r="AL32" s="3688"/>
      <c r="AM32" s="3688"/>
      <c r="AN32" s="2674"/>
    </row>
    <row r="33" spans="1:40" ht="60.75" customHeight="1" x14ac:dyDescent="0.2">
      <c r="A33" s="984"/>
      <c r="B33" s="985"/>
      <c r="C33" s="424"/>
      <c r="D33" s="425"/>
      <c r="E33" s="424"/>
      <c r="F33" s="1006"/>
      <c r="G33" s="3761"/>
      <c r="H33" s="3763"/>
      <c r="I33" s="3159"/>
      <c r="J33" s="3358"/>
      <c r="K33" s="3764"/>
      <c r="L33" s="3741"/>
      <c r="M33" s="3766"/>
      <c r="N33" s="2936"/>
      <c r="O33" s="3757"/>
      <c r="P33" s="3768"/>
      <c r="Q33" s="2674"/>
      <c r="R33" s="1527" t="s">
        <v>1335</v>
      </c>
      <c r="S33" s="1819">
        <f>20000000+10170000+7000000+1460600</f>
        <v>38630600</v>
      </c>
      <c r="T33" s="1630">
        <v>20</v>
      </c>
      <c r="U33" s="1374" t="s">
        <v>275</v>
      </c>
      <c r="V33" s="3770"/>
      <c r="W33" s="3770"/>
      <c r="X33" s="3687"/>
      <c r="Y33" s="3771"/>
      <c r="Z33" s="3771"/>
      <c r="AA33" s="3687"/>
      <c r="AB33" s="3687"/>
      <c r="AC33" s="3687"/>
      <c r="AD33" s="3687"/>
      <c r="AE33" s="3687"/>
      <c r="AF33" s="3687"/>
      <c r="AG33" s="3687"/>
      <c r="AH33" s="3687"/>
      <c r="AI33" s="3687"/>
      <c r="AJ33" s="3687"/>
      <c r="AK33" s="3692"/>
      <c r="AL33" s="3688"/>
      <c r="AM33" s="3688"/>
      <c r="AN33" s="2674"/>
    </row>
    <row r="34" spans="1:40" ht="69" customHeight="1" x14ac:dyDescent="0.2">
      <c r="A34" s="984"/>
      <c r="B34" s="985"/>
      <c r="C34" s="424"/>
      <c r="D34" s="425"/>
      <c r="E34" s="424"/>
      <c r="F34" s="1006"/>
      <c r="G34" s="3761"/>
      <c r="H34" s="3763"/>
      <c r="I34" s="3159"/>
      <c r="J34" s="3358"/>
      <c r="K34" s="3764"/>
      <c r="L34" s="3741"/>
      <c r="M34" s="3766"/>
      <c r="N34" s="2936"/>
      <c r="O34" s="3757"/>
      <c r="P34" s="3768"/>
      <c r="Q34" s="2674"/>
      <c r="R34" s="1527" t="s">
        <v>1336</v>
      </c>
      <c r="S34" s="1816">
        <v>29400000</v>
      </c>
      <c r="T34" s="1630">
        <v>20</v>
      </c>
      <c r="U34" s="1374" t="s">
        <v>275</v>
      </c>
      <c r="V34" s="3770"/>
      <c r="W34" s="3770"/>
      <c r="X34" s="3687"/>
      <c r="Y34" s="3771"/>
      <c r="Z34" s="3771"/>
      <c r="AA34" s="3687"/>
      <c r="AB34" s="3687"/>
      <c r="AC34" s="3687"/>
      <c r="AD34" s="3687"/>
      <c r="AE34" s="3687"/>
      <c r="AF34" s="3687"/>
      <c r="AG34" s="3687"/>
      <c r="AH34" s="3687"/>
      <c r="AI34" s="3687"/>
      <c r="AJ34" s="3687"/>
      <c r="AK34" s="3692"/>
      <c r="AL34" s="3688"/>
      <c r="AM34" s="3688"/>
      <c r="AN34" s="2674"/>
    </row>
    <row r="35" spans="1:40" ht="89.25" customHeight="1" x14ac:dyDescent="0.2">
      <c r="A35" s="984"/>
      <c r="B35" s="985"/>
      <c r="C35" s="424"/>
      <c r="D35" s="425"/>
      <c r="E35" s="424"/>
      <c r="F35" s="1006"/>
      <c r="G35" s="3761"/>
      <c r="H35" s="3763"/>
      <c r="I35" s="3159"/>
      <c r="J35" s="3358"/>
      <c r="K35" s="3764"/>
      <c r="L35" s="3741"/>
      <c r="M35" s="3766"/>
      <c r="N35" s="2936"/>
      <c r="O35" s="3757"/>
      <c r="P35" s="3768"/>
      <c r="Q35" s="2674"/>
      <c r="R35" s="1527" t="s">
        <v>1337</v>
      </c>
      <c r="S35" s="1816">
        <f>11300000-9470000</f>
        <v>1830000</v>
      </c>
      <c r="T35" s="1630">
        <v>20</v>
      </c>
      <c r="U35" s="1374" t="s">
        <v>275</v>
      </c>
      <c r="V35" s="3770"/>
      <c r="W35" s="3770"/>
      <c r="X35" s="3687"/>
      <c r="Y35" s="3771"/>
      <c r="Z35" s="3771"/>
      <c r="AA35" s="3687"/>
      <c r="AB35" s="3687"/>
      <c r="AC35" s="3687"/>
      <c r="AD35" s="3687"/>
      <c r="AE35" s="3687"/>
      <c r="AF35" s="3687"/>
      <c r="AG35" s="3687"/>
      <c r="AH35" s="3687"/>
      <c r="AI35" s="3687"/>
      <c r="AJ35" s="3687"/>
      <c r="AK35" s="3692"/>
      <c r="AL35" s="3688"/>
      <c r="AM35" s="3688"/>
      <c r="AN35" s="2674"/>
    </row>
    <row r="36" spans="1:40" ht="65.25" customHeight="1" x14ac:dyDescent="0.2">
      <c r="A36" s="984"/>
      <c r="B36" s="985"/>
      <c r="C36" s="424"/>
      <c r="D36" s="425"/>
      <c r="E36" s="424"/>
      <c r="F36" s="1006"/>
      <c r="G36" s="3761"/>
      <c r="H36" s="3763"/>
      <c r="I36" s="3159"/>
      <c r="J36" s="3358"/>
      <c r="K36" s="3764"/>
      <c r="L36" s="3741"/>
      <c r="M36" s="3766"/>
      <c r="N36" s="2936"/>
      <c r="O36" s="3757"/>
      <c r="P36" s="3768"/>
      <c r="Q36" s="2674"/>
      <c r="R36" s="1007" t="s">
        <v>1338</v>
      </c>
      <c r="S36" s="1819">
        <f>0+350000000</f>
        <v>350000000</v>
      </c>
      <c r="T36" s="1630">
        <v>20</v>
      </c>
      <c r="U36" s="1374" t="s">
        <v>275</v>
      </c>
      <c r="V36" s="3770"/>
      <c r="W36" s="3770"/>
      <c r="X36" s="3687"/>
      <c r="Y36" s="3771"/>
      <c r="Z36" s="3771"/>
      <c r="AA36" s="3687"/>
      <c r="AB36" s="3687"/>
      <c r="AC36" s="3687"/>
      <c r="AD36" s="3687"/>
      <c r="AE36" s="3687"/>
      <c r="AF36" s="3687"/>
      <c r="AG36" s="3687"/>
      <c r="AH36" s="3687"/>
      <c r="AI36" s="3687"/>
      <c r="AJ36" s="3687"/>
      <c r="AK36" s="3692"/>
      <c r="AL36" s="3688"/>
      <c r="AM36" s="3688"/>
      <c r="AN36" s="2674"/>
    </row>
    <row r="37" spans="1:40" ht="27.75" customHeight="1" x14ac:dyDescent="0.2">
      <c r="A37" s="984"/>
      <c r="B37" s="985"/>
      <c r="C37" s="424"/>
      <c r="D37" s="425"/>
      <c r="E37" s="424"/>
      <c r="F37" s="1006"/>
      <c r="G37" s="3761"/>
      <c r="H37" s="3763"/>
      <c r="I37" s="3159"/>
      <c r="J37" s="3358"/>
      <c r="K37" s="3764"/>
      <c r="L37" s="3741"/>
      <c r="M37" s="3766"/>
      <c r="N37" s="2936"/>
      <c r="O37" s="3757"/>
      <c r="P37" s="3768"/>
      <c r="Q37" s="2674"/>
      <c r="R37" s="1007" t="s">
        <v>1339</v>
      </c>
      <c r="S37" s="1819">
        <f>4000000+11000000-7000000</f>
        <v>8000000</v>
      </c>
      <c r="T37" s="1630">
        <v>20</v>
      </c>
      <c r="U37" s="1374" t="s">
        <v>275</v>
      </c>
      <c r="V37" s="3770"/>
      <c r="W37" s="3770"/>
      <c r="X37" s="3687"/>
      <c r="Y37" s="3771"/>
      <c r="Z37" s="3771"/>
      <c r="AA37" s="3687"/>
      <c r="AB37" s="3687"/>
      <c r="AC37" s="3687"/>
      <c r="AD37" s="3687"/>
      <c r="AE37" s="3687"/>
      <c r="AF37" s="3687"/>
      <c r="AG37" s="3687"/>
      <c r="AH37" s="3687"/>
      <c r="AI37" s="3687"/>
      <c r="AJ37" s="3687"/>
      <c r="AK37" s="3692"/>
      <c r="AL37" s="3688"/>
      <c r="AM37" s="3688"/>
      <c r="AN37" s="2674"/>
    </row>
    <row r="38" spans="1:40" ht="49.5" customHeight="1" x14ac:dyDescent="0.2">
      <c r="A38" s="984"/>
      <c r="B38" s="985"/>
      <c r="C38" s="424"/>
      <c r="D38" s="425"/>
      <c r="E38" s="424"/>
      <c r="F38" s="425"/>
      <c r="G38" s="2528">
        <v>185</v>
      </c>
      <c r="H38" s="3696" t="s">
        <v>1340</v>
      </c>
      <c r="I38" s="3029" t="s">
        <v>1341</v>
      </c>
      <c r="J38" s="3357">
        <v>1</v>
      </c>
      <c r="K38" s="3764"/>
      <c r="L38" s="3741"/>
      <c r="M38" s="3766"/>
      <c r="N38" s="3705">
        <f>SUM(S38:S40)/O31</f>
        <v>7.4199845976126305E-2</v>
      </c>
      <c r="O38" s="3757"/>
      <c r="P38" s="3769"/>
      <c r="Q38" s="3774" t="s">
        <v>1342</v>
      </c>
      <c r="R38" s="1007" t="s">
        <v>1343</v>
      </c>
      <c r="S38" s="1820">
        <v>19000000</v>
      </c>
      <c r="T38" s="1630">
        <v>20</v>
      </c>
      <c r="U38" s="1374" t="s">
        <v>275</v>
      </c>
      <c r="V38" s="3770"/>
      <c r="W38" s="3770"/>
      <c r="X38" s="3687"/>
      <c r="Y38" s="3771"/>
      <c r="Z38" s="3771"/>
      <c r="AA38" s="3687"/>
      <c r="AB38" s="3687"/>
      <c r="AC38" s="3687"/>
      <c r="AD38" s="3687"/>
      <c r="AE38" s="3687"/>
      <c r="AF38" s="3687"/>
      <c r="AG38" s="3687"/>
      <c r="AH38" s="3687"/>
      <c r="AI38" s="3687"/>
      <c r="AJ38" s="3687"/>
      <c r="AK38" s="3692"/>
      <c r="AL38" s="3688"/>
      <c r="AM38" s="3688"/>
      <c r="AN38" s="2674"/>
    </row>
    <row r="39" spans="1:40" ht="36.75" customHeight="1" x14ac:dyDescent="0.2">
      <c r="A39" s="984"/>
      <c r="B39" s="985"/>
      <c r="C39" s="424"/>
      <c r="D39" s="425"/>
      <c r="E39" s="424"/>
      <c r="F39" s="425"/>
      <c r="G39" s="2528"/>
      <c r="H39" s="3697"/>
      <c r="I39" s="3159"/>
      <c r="J39" s="3358"/>
      <c r="K39" s="3764"/>
      <c r="L39" s="3741"/>
      <c r="M39" s="3766"/>
      <c r="N39" s="2936"/>
      <c r="O39" s="3757"/>
      <c r="P39" s="3769"/>
      <c r="Q39" s="3774"/>
      <c r="R39" s="1007" t="s">
        <v>1344</v>
      </c>
      <c r="S39" s="1818">
        <f>18600000-1460600</f>
        <v>17139400</v>
      </c>
      <c r="T39" s="1630">
        <v>20</v>
      </c>
      <c r="U39" s="1374" t="s">
        <v>275</v>
      </c>
      <c r="V39" s="3770"/>
      <c r="W39" s="3770"/>
      <c r="X39" s="3687"/>
      <c r="Y39" s="3771"/>
      <c r="Z39" s="3771"/>
      <c r="AA39" s="3687"/>
      <c r="AB39" s="3687"/>
      <c r="AC39" s="3687"/>
      <c r="AD39" s="3687"/>
      <c r="AE39" s="3687"/>
      <c r="AF39" s="3687"/>
      <c r="AG39" s="3687"/>
      <c r="AH39" s="3687"/>
      <c r="AI39" s="3687"/>
      <c r="AJ39" s="3687"/>
      <c r="AK39" s="3692"/>
      <c r="AL39" s="3688"/>
      <c r="AM39" s="3688"/>
      <c r="AN39" s="2674"/>
    </row>
    <row r="40" spans="1:40" ht="52.5" customHeight="1" x14ac:dyDescent="0.2">
      <c r="A40" s="984"/>
      <c r="B40" s="985"/>
      <c r="C40" s="424"/>
      <c r="D40" s="425"/>
      <c r="E40" s="424"/>
      <c r="F40" s="425"/>
      <c r="G40" s="2534"/>
      <c r="H40" s="3730"/>
      <c r="I40" s="3030"/>
      <c r="J40" s="3359"/>
      <c r="K40" s="3764"/>
      <c r="L40" s="3741"/>
      <c r="M40" s="3766"/>
      <c r="N40" s="2937"/>
      <c r="O40" s="3757"/>
      <c r="P40" s="3769"/>
      <c r="Q40" s="3775"/>
      <c r="R40" s="1007" t="s">
        <v>1345</v>
      </c>
      <c r="S40" s="1818">
        <v>2400000</v>
      </c>
      <c r="T40" s="1630">
        <v>20</v>
      </c>
      <c r="U40" s="1374" t="s">
        <v>275</v>
      </c>
      <c r="V40" s="3770"/>
      <c r="W40" s="3770"/>
      <c r="X40" s="3687"/>
      <c r="Y40" s="3771"/>
      <c r="Z40" s="3771"/>
      <c r="AA40" s="3687"/>
      <c r="AB40" s="3687"/>
      <c r="AC40" s="3687"/>
      <c r="AD40" s="3687"/>
      <c r="AE40" s="3687"/>
      <c r="AF40" s="3687"/>
      <c r="AG40" s="3687"/>
      <c r="AH40" s="3687"/>
      <c r="AI40" s="3687"/>
      <c r="AJ40" s="3687"/>
      <c r="AK40" s="3692"/>
      <c r="AL40" s="3688"/>
      <c r="AM40" s="3688"/>
      <c r="AN40" s="2674"/>
    </row>
    <row r="41" spans="1:40" ht="67.5" customHeight="1" x14ac:dyDescent="0.2">
      <c r="A41" s="984"/>
      <c r="B41" s="985"/>
      <c r="C41" s="424"/>
      <c r="D41" s="425"/>
      <c r="E41" s="424"/>
      <c r="F41" s="1006"/>
      <c r="G41" s="3761">
        <v>186</v>
      </c>
      <c r="H41" s="3772" t="s">
        <v>1346</v>
      </c>
      <c r="I41" s="3212" t="s">
        <v>1347</v>
      </c>
      <c r="J41" s="3687">
        <v>1</v>
      </c>
      <c r="K41" s="3764"/>
      <c r="L41" s="3741"/>
      <c r="M41" s="3766"/>
      <c r="N41" s="2943">
        <f>SUM(S41:S43)/O31</f>
        <v>7.7011936850211779E-2</v>
      </c>
      <c r="O41" s="3757"/>
      <c r="P41" s="3769"/>
      <c r="Q41" s="3773" t="s">
        <v>1348</v>
      </c>
      <c r="R41" s="1008" t="s">
        <v>1349</v>
      </c>
      <c r="S41" s="1818">
        <f>25000000+1451000</f>
        <v>26451000</v>
      </c>
      <c r="T41" s="1630">
        <v>20</v>
      </c>
      <c r="U41" s="1374" t="s">
        <v>275</v>
      </c>
      <c r="V41" s="3770"/>
      <c r="W41" s="3770"/>
      <c r="X41" s="3687"/>
      <c r="Y41" s="3771"/>
      <c r="Z41" s="3771"/>
      <c r="AA41" s="3687"/>
      <c r="AB41" s="3687"/>
      <c r="AC41" s="3687"/>
      <c r="AD41" s="3687"/>
      <c r="AE41" s="3687"/>
      <c r="AF41" s="3687"/>
      <c r="AG41" s="3687"/>
      <c r="AH41" s="3687"/>
      <c r="AI41" s="3687"/>
      <c r="AJ41" s="3687"/>
      <c r="AK41" s="3692"/>
      <c r="AL41" s="3688"/>
      <c r="AM41" s="3688"/>
      <c r="AN41" s="2674"/>
    </row>
    <row r="42" spans="1:40" ht="64.5" customHeight="1" x14ac:dyDescent="0.2">
      <c r="A42" s="984"/>
      <c r="B42" s="985"/>
      <c r="C42" s="424"/>
      <c r="D42" s="425"/>
      <c r="E42" s="424"/>
      <c r="F42" s="1006"/>
      <c r="G42" s="3761"/>
      <c r="H42" s="3772"/>
      <c r="I42" s="3212"/>
      <c r="J42" s="3687"/>
      <c r="K42" s="3764"/>
      <c r="L42" s="3741"/>
      <c r="M42" s="3766"/>
      <c r="N42" s="2943"/>
      <c r="O42" s="3757"/>
      <c r="P42" s="3769"/>
      <c r="Q42" s="3774"/>
      <c r="R42" s="1008" t="s">
        <v>1350</v>
      </c>
      <c r="S42" s="1818">
        <f>8500000-1451000</f>
        <v>7049000</v>
      </c>
      <c r="T42" s="1630">
        <v>20</v>
      </c>
      <c r="U42" s="1374" t="s">
        <v>275</v>
      </c>
      <c r="V42" s="3770"/>
      <c r="W42" s="3770"/>
      <c r="X42" s="3687"/>
      <c r="Y42" s="3771"/>
      <c r="Z42" s="3771"/>
      <c r="AA42" s="3687"/>
      <c r="AB42" s="3687"/>
      <c r="AC42" s="3687"/>
      <c r="AD42" s="3687"/>
      <c r="AE42" s="3687"/>
      <c r="AF42" s="3687"/>
      <c r="AG42" s="3687"/>
      <c r="AH42" s="3687"/>
      <c r="AI42" s="3687"/>
      <c r="AJ42" s="3687"/>
      <c r="AK42" s="3692"/>
      <c r="AL42" s="3688"/>
      <c r="AM42" s="3688"/>
      <c r="AN42" s="2674"/>
    </row>
    <row r="43" spans="1:40" ht="71.25" x14ac:dyDescent="0.2">
      <c r="A43" s="984"/>
      <c r="B43" s="985"/>
      <c r="C43" s="424"/>
      <c r="D43" s="425"/>
      <c r="E43" s="424"/>
      <c r="F43" s="1006"/>
      <c r="G43" s="3761"/>
      <c r="H43" s="3772"/>
      <c r="I43" s="3212"/>
      <c r="J43" s="3687"/>
      <c r="K43" s="3764"/>
      <c r="L43" s="3756"/>
      <c r="M43" s="3767"/>
      <c r="N43" s="2943"/>
      <c r="O43" s="3757"/>
      <c r="P43" s="3769"/>
      <c r="Q43" s="3775"/>
      <c r="R43" s="1009" t="s">
        <v>1351</v>
      </c>
      <c r="S43" s="1818">
        <v>6500000</v>
      </c>
      <c r="T43" s="1630">
        <v>20</v>
      </c>
      <c r="U43" s="1374" t="s">
        <v>275</v>
      </c>
      <c r="V43" s="3770"/>
      <c r="W43" s="3770"/>
      <c r="X43" s="3687"/>
      <c r="Y43" s="3771"/>
      <c r="Z43" s="3771"/>
      <c r="AA43" s="3687"/>
      <c r="AB43" s="3687"/>
      <c r="AC43" s="3687"/>
      <c r="AD43" s="3687"/>
      <c r="AE43" s="3687"/>
      <c r="AF43" s="3687"/>
      <c r="AG43" s="3687"/>
      <c r="AH43" s="3687"/>
      <c r="AI43" s="3687"/>
      <c r="AJ43" s="3687"/>
      <c r="AK43" s="3692"/>
      <c r="AL43" s="3688"/>
      <c r="AM43" s="3688"/>
      <c r="AN43" s="2674"/>
    </row>
    <row r="44" spans="1:40" ht="15" x14ac:dyDescent="0.2">
      <c r="A44" s="984"/>
      <c r="B44" s="985"/>
      <c r="C44" s="424"/>
      <c r="D44" s="425"/>
      <c r="E44" s="1010">
        <v>60</v>
      </c>
      <c r="F44" s="993" t="s">
        <v>1352</v>
      </c>
      <c r="G44" s="994"/>
      <c r="H44" s="1216"/>
      <c r="I44" s="1216"/>
      <c r="J44" s="994"/>
      <c r="K44" s="994"/>
      <c r="L44" s="994"/>
      <c r="M44" s="995"/>
      <c r="N44" s="994"/>
      <c r="O44" s="994"/>
      <c r="P44" s="1216"/>
      <c r="Q44" s="1216"/>
      <c r="R44" s="1216"/>
      <c r="S44" s="1821"/>
      <c r="T44" s="1254"/>
      <c r="U44" s="995"/>
      <c r="V44" s="994"/>
      <c r="W44" s="994"/>
      <c r="X44" s="994"/>
      <c r="Y44" s="994"/>
      <c r="Z44" s="994"/>
      <c r="AA44" s="994"/>
      <c r="AB44" s="994"/>
      <c r="AC44" s="994"/>
      <c r="AD44" s="994"/>
      <c r="AE44" s="994"/>
      <c r="AF44" s="994"/>
      <c r="AG44" s="994"/>
      <c r="AH44" s="994"/>
      <c r="AI44" s="994"/>
      <c r="AJ44" s="994"/>
      <c r="AK44" s="994"/>
      <c r="AL44" s="994"/>
      <c r="AM44" s="994"/>
      <c r="AN44" s="997"/>
    </row>
    <row r="45" spans="1:40" ht="52.5" customHeight="1" x14ac:dyDescent="0.2">
      <c r="A45" s="984"/>
      <c r="B45" s="985"/>
      <c r="C45" s="424"/>
      <c r="D45" s="425"/>
      <c r="E45" s="413"/>
      <c r="F45" s="415"/>
      <c r="G45" s="2533">
        <v>187</v>
      </c>
      <c r="H45" s="3696" t="s">
        <v>1353</v>
      </c>
      <c r="I45" s="3203" t="s">
        <v>1354</v>
      </c>
      <c r="J45" s="3354">
        <v>1</v>
      </c>
      <c r="K45" s="3698" t="s">
        <v>1355</v>
      </c>
      <c r="L45" s="3701" t="s">
        <v>1356</v>
      </c>
      <c r="M45" s="3689" t="s">
        <v>1357</v>
      </c>
      <c r="N45" s="3776">
        <f>SUM(S45:S50)/O45</f>
        <v>0.26666666666666666</v>
      </c>
      <c r="O45" s="3742">
        <f>SUM(S45:S56)</f>
        <v>120000000</v>
      </c>
      <c r="P45" s="3689" t="s">
        <v>1358</v>
      </c>
      <c r="Q45" s="3212" t="s">
        <v>1359</v>
      </c>
      <c r="R45" s="1007" t="s">
        <v>1360</v>
      </c>
      <c r="S45" s="1822">
        <v>10000000</v>
      </c>
      <c r="T45" s="1630">
        <v>20</v>
      </c>
      <c r="U45" s="1374" t="s">
        <v>275</v>
      </c>
      <c r="V45" s="3357">
        <v>2500</v>
      </c>
      <c r="W45" s="3447">
        <v>1500</v>
      </c>
      <c r="X45" s="3357"/>
      <c r="Y45" s="3357">
        <v>2500</v>
      </c>
      <c r="Z45" s="3357">
        <v>1500</v>
      </c>
      <c r="AA45" s="3357"/>
      <c r="AB45" s="3782"/>
      <c r="AC45" s="3357"/>
      <c r="AD45" s="3354"/>
      <c r="AE45" s="3354"/>
      <c r="AF45" s="3354"/>
      <c r="AG45" s="3354"/>
      <c r="AH45" s="3354"/>
      <c r="AI45" s="3354"/>
      <c r="AJ45" s="3354"/>
      <c r="AK45" s="3354">
        <f>SUM(V45:W56)</f>
        <v>4000</v>
      </c>
      <c r="AL45" s="3779">
        <v>43467</v>
      </c>
      <c r="AM45" s="3098">
        <v>43830</v>
      </c>
      <c r="AN45" s="3205" t="s">
        <v>1296</v>
      </c>
    </row>
    <row r="46" spans="1:40" ht="45" customHeight="1" x14ac:dyDescent="0.2">
      <c r="A46" s="984"/>
      <c r="B46" s="985"/>
      <c r="C46" s="424"/>
      <c r="D46" s="425"/>
      <c r="E46" s="424"/>
      <c r="F46" s="425"/>
      <c r="G46" s="2528"/>
      <c r="H46" s="3697"/>
      <c r="I46" s="3204"/>
      <c r="J46" s="3355"/>
      <c r="K46" s="3699"/>
      <c r="L46" s="3701"/>
      <c r="M46" s="3689"/>
      <c r="N46" s="3777"/>
      <c r="O46" s="3742"/>
      <c r="P46" s="3689"/>
      <c r="Q46" s="3212"/>
      <c r="R46" s="1007" t="s">
        <v>1361</v>
      </c>
      <c r="S46" s="1822">
        <f>8000000-8000000</f>
        <v>0</v>
      </c>
      <c r="T46" s="1630">
        <v>20</v>
      </c>
      <c r="U46" s="1374" t="s">
        <v>275</v>
      </c>
      <c r="V46" s="3358"/>
      <c r="W46" s="3448"/>
      <c r="X46" s="3358"/>
      <c r="Y46" s="3358"/>
      <c r="Z46" s="3358"/>
      <c r="AA46" s="3358"/>
      <c r="AB46" s="3783"/>
      <c r="AC46" s="3358"/>
      <c r="AD46" s="3355"/>
      <c r="AE46" s="3355"/>
      <c r="AF46" s="3355"/>
      <c r="AG46" s="3355"/>
      <c r="AH46" s="3355"/>
      <c r="AI46" s="3355"/>
      <c r="AJ46" s="3355"/>
      <c r="AK46" s="3355"/>
      <c r="AL46" s="3779"/>
      <c r="AM46" s="3098"/>
      <c r="AN46" s="3205"/>
    </row>
    <row r="47" spans="1:40" ht="51" customHeight="1" x14ac:dyDescent="0.2">
      <c r="A47" s="984"/>
      <c r="B47" s="985"/>
      <c r="C47" s="424"/>
      <c r="D47" s="425"/>
      <c r="E47" s="424"/>
      <c r="F47" s="425"/>
      <c r="G47" s="2528"/>
      <c r="H47" s="3697"/>
      <c r="I47" s="3204"/>
      <c r="J47" s="3355"/>
      <c r="K47" s="3699"/>
      <c r="L47" s="3701"/>
      <c r="M47" s="3689"/>
      <c r="N47" s="3777"/>
      <c r="O47" s="3742"/>
      <c r="P47" s="3689"/>
      <c r="Q47" s="3212"/>
      <c r="R47" s="1007" t="s">
        <v>1362</v>
      </c>
      <c r="S47" s="1822">
        <v>8000000</v>
      </c>
      <c r="T47" s="1630">
        <v>20</v>
      </c>
      <c r="U47" s="1374" t="s">
        <v>275</v>
      </c>
      <c r="V47" s="3358"/>
      <c r="W47" s="3448"/>
      <c r="X47" s="3358"/>
      <c r="Y47" s="3358"/>
      <c r="Z47" s="3358"/>
      <c r="AA47" s="3358"/>
      <c r="AB47" s="3783"/>
      <c r="AC47" s="3358"/>
      <c r="AD47" s="3355"/>
      <c r="AE47" s="3355"/>
      <c r="AF47" s="3355"/>
      <c r="AG47" s="3355"/>
      <c r="AH47" s="3355"/>
      <c r="AI47" s="3355"/>
      <c r="AJ47" s="3355"/>
      <c r="AK47" s="3355"/>
      <c r="AL47" s="3779"/>
      <c r="AM47" s="3098"/>
      <c r="AN47" s="3205"/>
    </row>
    <row r="48" spans="1:40" ht="63.75" customHeight="1" x14ac:dyDescent="0.2">
      <c r="A48" s="984"/>
      <c r="B48" s="985"/>
      <c r="C48" s="424"/>
      <c r="D48" s="425"/>
      <c r="E48" s="424"/>
      <c r="F48" s="425"/>
      <c r="G48" s="2528"/>
      <c r="H48" s="3697"/>
      <c r="I48" s="3204"/>
      <c r="J48" s="3355"/>
      <c r="K48" s="3699"/>
      <c r="L48" s="3701"/>
      <c r="M48" s="3689"/>
      <c r="N48" s="3777"/>
      <c r="O48" s="3742"/>
      <c r="P48" s="3689"/>
      <c r="Q48" s="3212"/>
      <c r="R48" s="1007" t="s">
        <v>1363</v>
      </c>
      <c r="S48" s="1822">
        <v>4000000</v>
      </c>
      <c r="T48" s="1630">
        <v>20</v>
      </c>
      <c r="U48" s="1374" t="s">
        <v>275</v>
      </c>
      <c r="V48" s="3358"/>
      <c r="W48" s="3448"/>
      <c r="X48" s="3358"/>
      <c r="Y48" s="3358"/>
      <c r="Z48" s="3358"/>
      <c r="AA48" s="3358"/>
      <c r="AB48" s="3783"/>
      <c r="AC48" s="3358"/>
      <c r="AD48" s="3355"/>
      <c r="AE48" s="3355"/>
      <c r="AF48" s="3355"/>
      <c r="AG48" s="3355"/>
      <c r="AH48" s="3355"/>
      <c r="AI48" s="3355"/>
      <c r="AJ48" s="3355"/>
      <c r="AK48" s="3355"/>
      <c r="AL48" s="3779"/>
      <c r="AM48" s="3098"/>
      <c r="AN48" s="3205"/>
    </row>
    <row r="49" spans="1:40" ht="46.5" customHeight="1" x14ac:dyDescent="0.2">
      <c r="A49" s="984"/>
      <c r="B49" s="985"/>
      <c r="C49" s="424"/>
      <c r="D49" s="425"/>
      <c r="E49" s="424"/>
      <c r="F49" s="425"/>
      <c r="G49" s="2528"/>
      <c r="H49" s="3697"/>
      <c r="I49" s="3204"/>
      <c r="J49" s="3355"/>
      <c r="K49" s="3699"/>
      <c r="L49" s="3701"/>
      <c r="M49" s="3689"/>
      <c r="N49" s="3777"/>
      <c r="O49" s="3742"/>
      <c r="P49" s="3689"/>
      <c r="Q49" s="3212"/>
      <c r="R49" s="1007" t="s">
        <v>1364</v>
      </c>
      <c r="S49" s="1822">
        <v>9000000</v>
      </c>
      <c r="T49" s="1630">
        <v>20</v>
      </c>
      <c r="U49" s="1374" t="s">
        <v>275</v>
      </c>
      <c r="V49" s="3358"/>
      <c r="W49" s="3448"/>
      <c r="X49" s="3358"/>
      <c r="Y49" s="3358"/>
      <c r="Z49" s="3358"/>
      <c r="AA49" s="3358"/>
      <c r="AB49" s="3783"/>
      <c r="AC49" s="3358"/>
      <c r="AD49" s="3355"/>
      <c r="AE49" s="3355"/>
      <c r="AF49" s="3355"/>
      <c r="AG49" s="3355"/>
      <c r="AH49" s="3355"/>
      <c r="AI49" s="3355"/>
      <c r="AJ49" s="3355"/>
      <c r="AK49" s="3355"/>
      <c r="AL49" s="3779"/>
      <c r="AM49" s="3098"/>
      <c r="AN49" s="3205"/>
    </row>
    <row r="50" spans="1:40" ht="35.25" customHeight="1" x14ac:dyDescent="0.2">
      <c r="A50" s="984"/>
      <c r="B50" s="985"/>
      <c r="C50" s="424"/>
      <c r="D50" s="425"/>
      <c r="E50" s="424"/>
      <c r="F50" s="425"/>
      <c r="G50" s="2534"/>
      <c r="H50" s="3730"/>
      <c r="I50" s="3205"/>
      <c r="J50" s="3356"/>
      <c r="K50" s="3699"/>
      <c r="L50" s="3701"/>
      <c r="M50" s="3689"/>
      <c r="N50" s="3778"/>
      <c r="O50" s="3742"/>
      <c r="P50" s="3689"/>
      <c r="Q50" s="3212"/>
      <c r="R50" s="1007" t="s">
        <v>1365</v>
      </c>
      <c r="S50" s="1822">
        <v>1000000</v>
      </c>
      <c r="T50" s="1630">
        <v>20</v>
      </c>
      <c r="U50" s="1374" t="s">
        <v>275</v>
      </c>
      <c r="V50" s="3358"/>
      <c r="W50" s="3448"/>
      <c r="X50" s="3358"/>
      <c r="Y50" s="3358"/>
      <c r="Z50" s="3358"/>
      <c r="AA50" s="3358"/>
      <c r="AB50" s="3783"/>
      <c r="AC50" s="3358"/>
      <c r="AD50" s="3355"/>
      <c r="AE50" s="3355"/>
      <c r="AF50" s="3355"/>
      <c r="AG50" s="3355"/>
      <c r="AH50" s="3355"/>
      <c r="AI50" s="3355"/>
      <c r="AJ50" s="3355"/>
      <c r="AK50" s="3355"/>
      <c r="AL50" s="3779"/>
      <c r="AM50" s="3098"/>
      <c r="AN50" s="3205"/>
    </row>
    <row r="51" spans="1:40" ht="89.25" customHeight="1" x14ac:dyDescent="0.2">
      <c r="A51" s="984"/>
      <c r="B51" s="985"/>
      <c r="C51" s="424"/>
      <c r="D51" s="425"/>
      <c r="E51" s="424"/>
      <c r="F51" s="425"/>
      <c r="G51" s="2533">
        <v>188</v>
      </c>
      <c r="H51" s="3696" t="s">
        <v>1366</v>
      </c>
      <c r="I51" s="3203" t="s">
        <v>1367</v>
      </c>
      <c r="J51" s="3354">
        <v>2</v>
      </c>
      <c r="K51" s="3699"/>
      <c r="L51" s="3701"/>
      <c r="M51" s="3689"/>
      <c r="N51" s="3776">
        <f>SUM(S51:S53)/O45</f>
        <v>0.4</v>
      </c>
      <c r="O51" s="3742"/>
      <c r="P51" s="3689"/>
      <c r="Q51" s="3203" t="s">
        <v>1366</v>
      </c>
      <c r="R51" s="1527" t="s">
        <v>1368</v>
      </c>
      <c r="S51" s="1822">
        <v>30000000</v>
      </c>
      <c r="T51" s="1630">
        <v>20</v>
      </c>
      <c r="U51" s="1374" t="s">
        <v>275</v>
      </c>
      <c r="V51" s="3358"/>
      <c r="W51" s="3448"/>
      <c r="X51" s="3358"/>
      <c r="Y51" s="3358"/>
      <c r="Z51" s="3358"/>
      <c r="AA51" s="3358"/>
      <c r="AB51" s="3783"/>
      <c r="AC51" s="3358"/>
      <c r="AD51" s="3355"/>
      <c r="AE51" s="3355"/>
      <c r="AF51" s="3355"/>
      <c r="AG51" s="3355"/>
      <c r="AH51" s="3355"/>
      <c r="AI51" s="3355"/>
      <c r="AJ51" s="3355"/>
      <c r="AK51" s="3355"/>
      <c r="AL51" s="3779"/>
      <c r="AM51" s="3098"/>
      <c r="AN51" s="3205"/>
    </row>
    <row r="52" spans="1:40" ht="52.5" customHeight="1" x14ac:dyDescent="0.2">
      <c r="A52" s="984"/>
      <c r="B52" s="985"/>
      <c r="C52" s="424"/>
      <c r="D52" s="425"/>
      <c r="E52" s="424"/>
      <c r="F52" s="425"/>
      <c r="G52" s="2528"/>
      <c r="H52" s="3697"/>
      <c r="I52" s="3204"/>
      <c r="J52" s="3355"/>
      <c r="K52" s="3699"/>
      <c r="L52" s="3701"/>
      <c r="M52" s="3689"/>
      <c r="N52" s="3777"/>
      <c r="O52" s="3742"/>
      <c r="P52" s="3689"/>
      <c r="Q52" s="3204"/>
      <c r="R52" s="1527" t="s">
        <v>1369</v>
      </c>
      <c r="S52" s="1822">
        <f>7000000+8000000</f>
        <v>15000000</v>
      </c>
      <c r="T52" s="1630">
        <v>20</v>
      </c>
      <c r="U52" s="1374" t="s">
        <v>275</v>
      </c>
      <c r="V52" s="3358"/>
      <c r="W52" s="3448"/>
      <c r="X52" s="3358"/>
      <c r="Y52" s="3358"/>
      <c r="Z52" s="3358"/>
      <c r="AA52" s="3358"/>
      <c r="AB52" s="3783"/>
      <c r="AC52" s="3358"/>
      <c r="AD52" s="3355"/>
      <c r="AE52" s="3355"/>
      <c r="AF52" s="3355"/>
      <c r="AG52" s="3355"/>
      <c r="AH52" s="3355"/>
      <c r="AI52" s="3355"/>
      <c r="AJ52" s="3355"/>
      <c r="AK52" s="3355"/>
      <c r="AL52" s="3779"/>
      <c r="AM52" s="3098"/>
      <c r="AN52" s="3205"/>
    </row>
    <row r="53" spans="1:40" ht="45" customHeight="1" x14ac:dyDescent="0.2">
      <c r="A53" s="984"/>
      <c r="B53" s="985"/>
      <c r="C53" s="424"/>
      <c r="D53" s="425"/>
      <c r="E53" s="424"/>
      <c r="F53" s="425"/>
      <c r="G53" s="2534"/>
      <c r="H53" s="3730"/>
      <c r="I53" s="3205"/>
      <c r="J53" s="3356"/>
      <c r="K53" s="3699"/>
      <c r="L53" s="3701"/>
      <c r="M53" s="3689"/>
      <c r="N53" s="3778"/>
      <c r="O53" s="3757"/>
      <c r="P53" s="3689"/>
      <c r="Q53" s="3205"/>
      <c r="R53" s="1527" t="s">
        <v>1370</v>
      </c>
      <c r="S53" s="1822">
        <v>3000000</v>
      </c>
      <c r="T53" s="1630">
        <v>20</v>
      </c>
      <c r="U53" s="1374" t="s">
        <v>275</v>
      </c>
      <c r="V53" s="3358"/>
      <c r="W53" s="3448"/>
      <c r="X53" s="3358"/>
      <c r="Y53" s="3358"/>
      <c r="Z53" s="3358"/>
      <c r="AA53" s="3358"/>
      <c r="AB53" s="3783"/>
      <c r="AC53" s="3358"/>
      <c r="AD53" s="3355"/>
      <c r="AE53" s="3355"/>
      <c r="AF53" s="3355"/>
      <c r="AG53" s="3355"/>
      <c r="AH53" s="3355"/>
      <c r="AI53" s="3355"/>
      <c r="AJ53" s="3355"/>
      <c r="AK53" s="3355"/>
      <c r="AL53" s="3687"/>
      <c r="AM53" s="3393"/>
      <c r="AN53" s="2674"/>
    </row>
    <row r="54" spans="1:40" ht="50.25" customHeight="1" x14ac:dyDescent="0.2">
      <c r="A54" s="984"/>
      <c r="B54" s="985"/>
      <c r="C54" s="424"/>
      <c r="D54" s="425"/>
      <c r="E54" s="424"/>
      <c r="F54" s="425"/>
      <c r="G54" s="2533">
        <v>189</v>
      </c>
      <c r="H54" s="3696" t="s">
        <v>1371</v>
      </c>
      <c r="I54" s="3029" t="s">
        <v>1372</v>
      </c>
      <c r="J54" s="3357">
        <v>1</v>
      </c>
      <c r="K54" s="3699"/>
      <c r="L54" s="3701"/>
      <c r="M54" s="3689"/>
      <c r="N54" s="3780">
        <f>SUM(S54:S56)/O45</f>
        <v>0.33333333333333331</v>
      </c>
      <c r="O54" s="3757"/>
      <c r="P54" s="3689"/>
      <c r="Q54" s="3029" t="s">
        <v>1373</v>
      </c>
      <c r="R54" s="1517" t="s">
        <v>1374</v>
      </c>
      <c r="S54" s="1822">
        <v>32000000</v>
      </c>
      <c r="T54" s="1630">
        <v>20</v>
      </c>
      <c r="U54" s="1374" t="s">
        <v>275</v>
      </c>
      <c r="V54" s="3358"/>
      <c r="W54" s="3448"/>
      <c r="X54" s="3358"/>
      <c r="Y54" s="3358"/>
      <c r="Z54" s="3358"/>
      <c r="AA54" s="3358"/>
      <c r="AB54" s="3783"/>
      <c r="AC54" s="3358"/>
      <c r="AD54" s="3355"/>
      <c r="AE54" s="3355"/>
      <c r="AF54" s="3355"/>
      <c r="AG54" s="3355"/>
      <c r="AH54" s="3355"/>
      <c r="AI54" s="3355"/>
      <c r="AJ54" s="3355"/>
      <c r="AK54" s="3355"/>
      <c r="AL54" s="3687"/>
      <c r="AM54" s="3393"/>
      <c r="AN54" s="2674"/>
    </row>
    <row r="55" spans="1:40" ht="54" customHeight="1" x14ac:dyDescent="0.2">
      <c r="A55" s="984"/>
      <c r="B55" s="985"/>
      <c r="C55" s="424"/>
      <c r="D55" s="425"/>
      <c r="E55" s="424"/>
      <c r="F55" s="425"/>
      <c r="G55" s="2528"/>
      <c r="H55" s="3697"/>
      <c r="I55" s="3159"/>
      <c r="J55" s="3358"/>
      <c r="K55" s="3699"/>
      <c r="L55" s="3701"/>
      <c r="M55" s="3689"/>
      <c r="N55" s="3781"/>
      <c r="O55" s="3757"/>
      <c r="P55" s="3689"/>
      <c r="Q55" s="3159"/>
      <c r="R55" s="1517" t="s">
        <v>1375</v>
      </c>
      <c r="S55" s="1822">
        <v>4000000</v>
      </c>
      <c r="T55" s="1630">
        <v>20</v>
      </c>
      <c r="U55" s="1374" t="s">
        <v>275</v>
      </c>
      <c r="V55" s="3358"/>
      <c r="W55" s="3448"/>
      <c r="X55" s="3358"/>
      <c r="Y55" s="3358"/>
      <c r="Z55" s="3358"/>
      <c r="AA55" s="3358"/>
      <c r="AB55" s="3783"/>
      <c r="AC55" s="3358"/>
      <c r="AD55" s="3355"/>
      <c r="AE55" s="3355"/>
      <c r="AF55" s="3355"/>
      <c r="AG55" s="3355"/>
      <c r="AH55" s="3355"/>
      <c r="AI55" s="3355"/>
      <c r="AJ55" s="3355"/>
      <c r="AK55" s="3355"/>
      <c r="AL55" s="3687"/>
      <c r="AM55" s="3393"/>
      <c r="AN55" s="2674"/>
    </row>
    <row r="56" spans="1:40" ht="48.75" customHeight="1" x14ac:dyDescent="0.2">
      <c r="A56" s="984"/>
      <c r="B56" s="985"/>
      <c r="C56" s="424"/>
      <c r="D56" s="425"/>
      <c r="E56" s="424"/>
      <c r="F56" s="425"/>
      <c r="G56" s="2528"/>
      <c r="H56" s="3697"/>
      <c r="I56" s="3159"/>
      <c r="J56" s="3358"/>
      <c r="K56" s="3699"/>
      <c r="L56" s="3701"/>
      <c r="M56" s="3689"/>
      <c r="N56" s="3781"/>
      <c r="O56" s="3757"/>
      <c r="P56" s="3689"/>
      <c r="Q56" s="3159"/>
      <c r="R56" s="1517" t="s">
        <v>1376</v>
      </c>
      <c r="S56" s="1822">
        <v>4000000</v>
      </c>
      <c r="T56" s="1630">
        <v>20</v>
      </c>
      <c r="U56" s="1374" t="s">
        <v>275</v>
      </c>
      <c r="V56" s="3358"/>
      <c r="W56" s="3448"/>
      <c r="X56" s="3358"/>
      <c r="Y56" s="3358"/>
      <c r="Z56" s="3358"/>
      <c r="AA56" s="3358"/>
      <c r="AB56" s="3783"/>
      <c r="AC56" s="3358"/>
      <c r="AD56" s="3355"/>
      <c r="AE56" s="3355"/>
      <c r="AF56" s="3355"/>
      <c r="AG56" s="3355"/>
      <c r="AH56" s="3355"/>
      <c r="AI56" s="3355"/>
      <c r="AJ56" s="3355"/>
      <c r="AK56" s="3355"/>
      <c r="AL56" s="3687"/>
      <c r="AM56" s="3393"/>
      <c r="AN56" s="2674"/>
    </row>
    <row r="57" spans="1:40" ht="15" x14ac:dyDescent="0.2">
      <c r="A57" s="984"/>
      <c r="B57" s="985"/>
      <c r="C57" s="424"/>
      <c r="D57" s="425"/>
      <c r="E57" s="876">
        <v>61</v>
      </c>
      <c r="F57" s="993" t="s">
        <v>1377</v>
      </c>
      <c r="G57" s="994"/>
      <c r="H57" s="1216"/>
      <c r="I57" s="1216"/>
      <c r="J57" s="994"/>
      <c r="K57" s="994"/>
      <c r="L57" s="994"/>
      <c r="M57" s="995"/>
      <c r="N57" s="994"/>
      <c r="O57" s="994"/>
      <c r="P57" s="1216"/>
      <c r="Q57" s="1216"/>
      <c r="R57" s="1216"/>
      <c r="S57" s="1813"/>
      <c r="T57" s="996"/>
      <c r="U57" s="995"/>
      <c r="V57" s="994"/>
      <c r="W57" s="994"/>
      <c r="X57" s="994"/>
      <c r="Y57" s="994"/>
      <c r="Z57" s="994"/>
      <c r="AA57" s="994"/>
      <c r="AB57" s="994"/>
      <c r="AC57" s="994"/>
      <c r="AD57" s="994"/>
      <c r="AE57" s="994"/>
      <c r="AF57" s="994"/>
      <c r="AG57" s="994"/>
      <c r="AH57" s="994"/>
      <c r="AI57" s="994"/>
      <c r="AJ57" s="994"/>
      <c r="AK57" s="994"/>
      <c r="AL57" s="994"/>
      <c r="AM57" s="994"/>
      <c r="AN57" s="997"/>
    </row>
    <row r="58" spans="1:40" ht="71.25" x14ac:dyDescent="0.2">
      <c r="A58" s="984"/>
      <c r="B58" s="985"/>
      <c r="C58" s="424"/>
      <c r="D58" s="425"/>
      <c r="E58" s="413"/>
      <c r="F58" s="425"/>
      <c r="G58" s="2533">
        <v>190</v>
      </c>
      <c r="H58" s="3696" t="s">
        <v>1378</v>
      </c>
      <c r="I58" s="3696" t="s">
        <v>1379</v>
      </c>
      <c r="J58" s="2842">
        <v>1</v>
      </c>
      <c r="K58" s="3698" t="s">
        <v>1380</v>
      </c>
      <c r="L58" s="3700" t="s">
        <v>1381</v>
      </c>
      <c r="M58" s="3704" t="s">
        <v>1382</v>
      </c>
      <c r="N58" s="3705">
        <f>SUM(S58:S74)/O58</f>
        <v>1</v>
      </c>
      <c r="O58" s="3706">
        <f>SUM(S58:S74)</f>
        <v>190000000</v>
      </c>
      <c r="P58" s="3708" t="s">
        <v>1383</v>
      </c>
      <c r="Q58" s="2674" t="s">
        <v>1384</v>
      </c>
      <c r="R58" s="1015" t="s">
        <v>1385</v>
      </c>
      <c r="S58" s="1820">
        <v>5280000</v>
      </c>
      <c r="T58" s="1630">
        <v>20</v>
      </c>
      <c r="U58" s="1374" t="s">
        <v>275</v>
      </c>
      <c r="V58" s="3693">
        <v>1500</v>
      </c>
      <c r="W58" s="3693">
        <v>1500</v>
      </c>
      <c r="X58" s="3693">
        <v>480</v>
      </c>
      <c r="Y58" s="3693">
        <v>480</v>
      </c>
      <c r="Z58" s="3693">
        <v>1000</v>
      </c>
      <c r="AA58" s="3693">
        <v>1000</v>
      </c>
      <c r="AB58" s="3693">
        <v>20</v>
      </c>
      <c r="AC58" s="3693">
        <v>20</v>
      </c>
      <c r="AD58" s="3693"/>
      <c r="AE58" s="3693"/>
      <c r="AF58" s="3693"/>
      <c r="AG58" s="3693"/>
      <c r="AH58" s="3693">
        <v>3000</v>
      </c>
      <c r="AI58" s="3393"/>
      <c r="AJ58" s="3393"/>
      <c r="AK58" s="3393">
        <f>SUM(V58:W74)</f>
        <v>3000</v>
      </c>
      <c r="AL58" s="3688">
        <v>43467</v>
      </c>
      <c r="AM58" s="3784">
        <v>43830</v>
      </c>
      <c r="AN58" s="2674" t="s">
        <v>1296</v>
      </c>
    </row>
    <row r="59" spans="1:40" ht="57" x14ac:dyDescent="0.2">
      <c r="A59" s="984"/>
      <c r="B59" s="985"/>
      <c r="C59" s="424"/>
      <c r="D59" s="425"/>
      <c r="E59" s="424"/>
      <c r="F59" s="425"/>
      <c r="G59" s="2528"/>
      <c r="H59" s="3697"/>
      <c r="I59" s="3697"/>
      <c r="J59" s="2843"/>
      <c r="K59" s="3699"/>
      <c r="L59" s="3701"/>
      <c r="M59" s="3689"/>
      <c r="N59" s="2936"/>
      <c r="O59" s="3707"/>
      <c r="P59" s="3709"/>
      <c r="Q59" s="2674"/>
      <c r="R59" s="1015" t="s">
        <v>1386</v>
      </c>
      <c r="S59" s="1820">
        <f>13080000-13080000</f>
        <v>0</v>
      </c>
      <c r="T59" s="1630">
        <v>20</v>
      </c>
      <c r="U59" s="1374" t="s">
        <v>275</v>
      </c>
      <c r="V59" s="3693"/>
      <c r="W59" s="3693"/>
      <c r="X59" s="3693"/>
      <c r="Y59" s="3693"/>
      <c r="Z59" s="3693"/>
      <c r="AA59" s="3693"/>
      <c r="AB59" s="3693"/>
      <c r="AC59" s="3693"/>
      <c r="AD59" s="3693"/>
      <c r="AE59" s="3693"/>
      <c r="AF59" s="3693"/>
      <c r="AG59" s="3693"/>
      <c r="AH59" s="3693"/>
      <c r="AI59" s="3393"/>
      <c r="AJ59" s="3393"/>
      <c r="AK59" s="3393"/>
      <c r="AL59" s="3688"/>
      <c r="AM59" s="3785"/>
      <c r="AN59" s="2674"/>
    </row>
    <row r="60" spans="1:40" ht="57" x14ac:dyDescent="0.2">
      <c r="A60" s="984"/>
      <c r="B60" s="985"/>
      <c r="C60" s="424"/>
      <c r="D60" s="425"/>
      <c r="E60" s="424"/>
      <c r="F60" s="425"/>
      <c r="G60" s="2528"/>
      <c r="H60" s="3697"/>
      <c r="I60" s="3697"/>
      <c r="J60" s="2843"/>
      <c r="K60" s="3699"/>
      <c r="L60" s="3701"/>
      <c r="M60" s="3689"/>
      <c r="N60" s="2936"/>
      <c r="O60" s="3707"/>
      <c r="P60" s="3709"/>
      <c r="Q60" s="2674"/>
      <c r="R60" s="1015" t="s">
        <v>1387</v>
      </c>
      <c r="S60" s="1820">
        <v>5000000</v>
      </c>
      <c r="T60" s="1630">
        <v>20</v>
      </c>
      <c r="U60" s="1374" t="s">
        <v>275</v>
      </c>
      <c r="V60" s="3693"/>
      <c r="W60" s="3693"/>
      <c r="X60" s="3693"/>
      <c r="Y60" s="3693"/>
      <c r="Z60" s="3693"/>
      <c r="AA60" s="3693"/>
      <c r="AB60" s="3693"/>
      <c r="AC60" s="3693"/>
      <c r="AD60" s="3693"/>
      <c r="AE60" s="3693"/>
      <c r="AF60" s="3693"/>
      <c r="AG60" s="3693"/>
      <c r="AH60" s="3693"/>
      <c r="AI60" s="3393"/>
      <c r="AJ60" s="3393"/>
      <c r="AK60" s="3393"/>
      <c r="AL60" s="3688"/>
      <c r="AM60" s="3785"/>
      <c r="AN60" s="2674"/>
    </row>
    <row r="61" spans="1:40" ht="57" x14ac:dyDescent="0.2">
      <c r="A61" s="984"/>
      <c r="B61" s="985"/>
      <c r="C61" s="424"/>
      <c r="D61" s="425"/>
      <c r="E61" s="424"/>
      <c r="F61" s="425"/>
      <c r="G61" s="2528"/>
      <c r="H61" s="3697"/>
      <c r="I61" s="3697"/>
      <c r="J61" s="2843"/>
      <c r="K61" s="3699"/>
      <c r="L61" s="3701"/>
      <c r="M61" s="3689"/>
      <c r="N61" s="2936"/>
      <c r="O61" s="3707"/>
      <c r="P61" s="3709"/>
      <c r="Q61" s="2674"/>
      <c r="R61" s="1015" t="s">
        <v>1388</v>
      </c>
      <c r="S61" s="1820">
        <v>4000000</v>
      </c>
      <c r="T61" s="1630">
        <v>20</v>
      </c>
      <c r="U61" s="1374" t="s">
        <v>275</v>
      </c>
      <c r="V61" s="3693"/>
      <c r="W61" s="3693"/>
      <c r="X61" s="3693"/>
      <c r="Y61" s="3693"/>
      <c r="Z61" s="3693"/>
      <c r="AA61" s="3693"/>
      <c r="AB61" s="3693"/>
      <c r="AC61" s="3693"/>
      <c r="AD61" s="3693"/>
      <c r="AE61" s="3693"/>
      <c r="AF61" s="3693"/>
      <c r="AG61" s="3693"/>
      <c r="AH61" s="3693"/>
      <c r="AI61" s="3393"/>
      <c r="AJ61" s="3393"/>
      <c r="AK61" s="3393"/>
      <c r="AL61" s="3688"/>
      <c r="AM61" s="3785"/>
      <c r="AN61" s="2674"/>
    </row>
    <row r="62" spans="1:40" ht="110.25" customHeight="1" x14ac:dyDescent="0.2">
      <c r="A62" s="984"/>
      <c r="B62" s="985"/>
      <c r="C62" s="424"/>
      <c r="D62" s="425"/>
      <c r="E62" s="424"/>
      <c r="F62" s="425"/>
      <c r="G62" s="2528"/>
      <c r="H62" s="3697"/>
      <c r="I62" s="3697"/>
      <c r="J62" s="2843"/>
      <c r="K62" s="3699"/>
      <c r="L62" s="3701"/>
      <c r="M62" s="3689"/>
      <c r="N62" s="2936"/>
      <c r="O62" s="3707"/>
      <c r="P62" s="3709"/>
      <c r="Q62" s="2674" t="s">
        <v>1389</v>
      </c>
      <c r="R62" s="1015" t="s">
        <v>1390</v>
      </c>
      <c r="S62" s="1819">
        <f>22000000-2299000</f>
        <v>19701000</v>
      </c>
      <c r="T62" s="1630">
        <v>20</v>
      </c>
      <c r="U62" s="1374" t="s">
        <v>275</v>
      </c>
      <c r="V62" s="3693"/>
      <c r="W62" s="3693"/>
      <c r="X62" s="3693"/>
      <c r="Y62" s="3693"/>
      <c r="Z62" s="3693"/>
      <c r="AA62" s="3693"/>
      <c r="AB62" s="3693"/>
      <c r="AC62" s="3693"/>
      <c r="AD62" s="3693"/>
      <c r="AE62" s="3693"/>
      <c r="AF62" s="3693"/>
      <c r="AG62" s="3693"/>
      <c r="AH62" s="3693"/>
      <c r="AI62" s="3393"/>
      <c r="AJ62" s="3393"/>
      <c r="AK62" s="3393"/>
      <c r="AL62" s="3688"/>
      <c r="AM62" s="3785"/>
      <c r="AN62" s="2674"/>
    </row>
    <row r="63" spans="1:40" ht="55.5" customHeight="1" x14ac:dyDescent="0.2">
      <c r="A63" s="984"/>
      <c r="B63" s="985"/>
      <c r="C63" s="424"/>
      <c r="D63" s="425"/>
      <c r="E63" s="424"/>
      <c r="F63" s="425"/>
      <c r="G63" s="2528"/>
      <c r="H63" s="3697"/>
      <c r="I63" s="3697"/>
      <c r="J63" s="2843"/>
      <c r="K63" s="3699"/>
      <c r="L63" s="3701"/>
      <c r="M63" s="3689"/>
      <c r="N63" s="2936"/>
      <c r="O63" s="3707"/>
      <c r="P63" s="3709"/>
      <c r="Q63" s="2674"/>
      <c r="R63" s="1015" t="s">
        <v>1391</v>
      </c>
      <c r="S63" s="1819">
        <f>13010000-5000000</f>
        <v>8010000</v>
      </c>
      <c r="T63" s="1630">
        <v>20</v>
      </c>
      <c r="U63" s="1374" t="s">
        <v>275</v>
      </c>
      <c r="V63" s="3693"/>
      <c r="W63" s="3693"/>
      <c r="X63" s="3693"/>
      <c r="Y63" s="3693"/>
      <c r="Z63" s="3693"/>
      <c r="AA63" s="3693"/>
      <c r="AB63" s="3693"/>
      <c r="AC63" s="3693"/>
      <c r="AD63" s="3693"/>
      <c r="AE63" s="3693"/>
      <c r="AF63" s="3693"/>
      <c r="AG63" s="3693"/>
      <c r="AH63" s="3693"/>
      <c r="AI63" s="3393"/>
      <c r="AJ63" s="3393"/>
      <c r="AK63" s="3393"/>
      <c r="AL63" s="3688"/>
      <c r="AM63" s="3785"/>
      <c r="AN63" s="2674"/>
    </row>
    <row r="64" spans="1:40" ht="102.75" customHeight="1" x14ac:dyDescent="0.2">
      <c r="A64" s="984"/>
      <c r="B64" s="985"/>
      <c r="C64" s="424"/>
      <c r="D64" s="425"/>
      <c r="E64" s="424"/>
      <c r="F64" s="425"/>
      <c r="G64" s="2528"/>
      <c r="H64" s="3697"/>
      <c r="I64" s="3697"/>
      <c r="J64" s="2843"/>
      <c r="K64" s="3699"/>
      <c r="L64" s="3701"/>
      <c r="M64" s="3689"/>
      <c r="N64" s="2936"/>
      <c r="O64" s="3707"/>
      <c r="P64" s="3709"/>
      <c r="Q64" s="2674"/>
      <c r="R64" s="1015" t="s">
        <v>1392</v>
      </c>
      <c r="S64" s="1819">
        <v>6000000</v>
      </c>
      <c r="T64" s="1630">
        <v>20</v>
      </c>
      <c r="U64" s="1374" t="s">
        <v>275</v>
      </c>
      <c r="V64" s="3693"/>
      <c r="W64" s="3693"/>
      <c r="X64" s="3693"/>
      <c r="Y64" s="3693"/>
      <c r="Z64" s="3693"/>
      <c r="AA64" s="3693"/>
      <c r="AB64" s="3693"/>
      <c r="AC64" s="3693"/>
      <c r="AD64" s="3693"/>
      <c r="AE64" s="3693"/>
      <c r="AF64" s="3693"/>
      <c r="AG64" s="3693"/>
      <c r="AH64" s="3693"/>
      <c r="AI64" s="3393"/>
      <c r="AJ64" s="3393"/>
      <c r="AK64" s="3393"/>
      <c r="AL64" s="3688"/>
      <c r="AM64" s="3785"/>
      <c r="AN64" s="2674"/>
    </row>
    <row r="65" spans="1:256" ht="57" x14ac:dyDescent="0.2">
      <c r="A65" s="984"/>
      <c r="B65" s="985"/>
      <c r="C65" s="424"/>
      <c r="D65" s="425"/>
      <c r="E65" s="424"/>
      <c r="F65" s="425"/>
      <c r="G65" s="2528"/>
      <c r="H65" s="3697"/>
      <c r="I65" s="3697"/>
      <c r="J65" s="2843"/>
      <c r="K65" s="3699"/>
      <c r="L65" s="3701"/>
      <c r="M65" s="3689"/>
      <c r="N65" s="2936"/>
      <c r="O65" s="3707"/>
      <c r="P65" s="3709"/>
      <c r="Q65" s="2674"/>
      <c r="R65" s="1015" t="s">
        <v>1393</v>
      </c>
      <c r="S65" s="1819">
        <f>12580000-2580000</f>
        <v>10000000</v>
      </c>
      <c r="T65" s="1630">
        <v>20</v>
      </c>
      <c r="U65" s="1374" t="s">
        <v>275</v>
      </c>
      <c r="V65" s="3693"/>
      <c r="W65" s="3693"/>
      <c r="X65" s="3693"/>
      <c r="Y65" s="3693"/>
      <c r="Z65" s="3693"/>
      <c r="AA65" s="3693"/>
      <c r="AB65" s="3693"/>
      <c r="AC65" s="3693"/>
      <c r="AD65" s="3693"/>
      <c r="AE65" s="3693"/>
      <c r="AF65" s="3693"/>
      <c r="AG65" s="3693"/>
      <c r="AH65" s="3693"/>
      <c r="AI65" s="3393"/>
      <c r="AJ65" s="3393"/>
      <c r="AK65" s="3393"/>
      <c r="AL65" s="3688"/>
      <c r="AM65" s="3785"/>
      <c r="AN65" s="2674"/>
    </row>
    <row r="66" spans="1:256" ht="57" x14ac:dyDescent="0.2">
      <c r="A66" s="984"/>
      <c r="B66" s="985"/>
      <c r="C66" s="424"/>
      <c r="D66" s="425"/>
      <c r="E66" s="424"/>
      <c r="F66" s="425"/>
      <c r="G66" s="2528"/>
      <c r="H66" s="3697"/>
      <c r="I66" s="3697"/>
      <c r="J66" s="2843"/>
      <c r="K66" s="3699"/>
      <c r="L66" s="3701"/>
      <c r="M66" s="3689"/>
      <c r="N66" s="2936"/>
      <c r="O66" s="3707"/>
      <c r="P66" s="3709"/>
      <c r="Q66" s="2674"/>
      <c r="R66" s="1015" t="s">
        <v>1394</v>
      </c>
      <c r="S66" s="1819">
        <f>5000000+25959000</f>
        <v>30959000</v>
      </c>
      <c r="T66" s="1630">
        <v>20</v>
      </c>
      <c r="U66" s="1374" t="s">
        <v>275</v>
      </c>
      <c r="V66" s="3693"/>
      <c r="W66" s="3693"/>
      <c r="X66" s="3693"/>
      <c r="Y66" s="3693"/>
      <c r="Z66" s="3693"/>
      <c r="AA66" s="3693"/>
      <c r="AB66" s="3693"/>
      <c r="AC66" s="3693"/>
      <c r="AD66" s="3693"/>
      <c r="AE66" s="3693"/>
      <c r="AF66" s="3693"/>
      <c r="AG66" s="3693"/>
      <c r="AH66" s="3693"/>
      <c r="AI66" s="3393"/>
      <c r="AJ66" s="3393"/>
      <c r="AK66" s="3393"/>
      <c r="AL66" s="3688"/>
      <c r="AM66" s="3785"/>
      <c r="AN66" s="2674"/>
    </row>
    <row r="67" spans="1:256" ht="71.25" x14ac:dyDescent="0.2">
      <c r="A67" s="984"/>
      <c r="B67" s="985"/>
      <c r="C67" s="424"/>
      <c r="D67" s="425"/>
      <c r="E67" s="424"/>
      <c r="F67" s="425"/>
      <c r="G67" s="2528"/>
      <c r="H67" s="3697"/>
      <c r="I67" s="3697"/>
      <c r="J67" s="2843"/>
      <c r="K67" s="3699"/>
      <c r="L67" s="3701"/>
      <c r="M67" s="3689"/>
      <c r="N67" s="2936"/>
      <c r="O67" s="3707"/>
      <c r="P67" s="3709"/>
      <c r="Q67" s="2674"/>
      <c r="R67" s="1015" t="s">
        <v>1395</v>
      </c>
      <c r="S67" s="1819">
        <v>7920000</v>
      </c>
      <c r="T67" s="1630">
        <v>20</v>
      </c>
      <c r="U67" s="1374" t="s">
        <v>275</v>
      </c>
      <c r="V67" s="3693"/>
      <c r="W67" s="3693"/>
      <c r="X67" s="3693"/>
      <c r="Y67" s="3693"/>
      <c r="Z67" s="3693"/>
      <c r="AA67" s="3693"/>
      <c r="AB67" s="3693"/>
      <c r="AC67" s="3693"/>
      <c r="AD67" s="3693"/>
      <c r="AE67" s="3693"/>
      <c r="AF67" s="3693"/>
      <c r="AG67" s="3693"/>
      <c r="AH67" s="3693"/>
      <c r="AI67" s="3393"/>
      <c r="AJ67" s="3393"/>
      <c r="AK67" s="3393"/>
      <c r="AL67" s="3688"/>
      <c r="AM67" s="3785"/>
      <c r="AN67" s="2674"/>
    </row>
    <row r="68" spans="1:256" ht="57" x14ac:dyDescent="0.2">
      <c r="A68" s="984"/>
      <c r="B68" s="985"/>
      <c r="C68" s="424"/>
      <c r="D68" s="425"/>
      <c r="E68" s="424"/>
      <c r="F68" s="425"/>
      <c r="G68" s="2528"/>
      <c r="H68" s="3697"/>
      <c r="I68" s="3697"/>
      <c r="J68" s="2843"/>
      <c r="K68" s="3699"/>
      <c r="L68" s="3701"/>
      <c r="M68" s="3689"/>
      <c r="N68" s="2936"/>
      <c r="O68" s="3707"/>
      <c r="P68" s="3709"/>
      <c r="Q68" s="2674"/>
      <c r="R68" s="1015" t="s">
        <v>1396</v>
      </c>
      <c r="S68" s="1819">
        <v>8320000</v>
      </c>
      <c r="T68" s="1630">
        <v>20</v>
      </c>
      <c r="U68" s="1374" t="s">
        <v>275</v>
      </c>
      <c r="V68" s="3693"/>
      <c r="W68" s="3693"/>
      <c r="X68" s="3693"/>
      <c r="Y68" s="3693"/>
      <c r="Z68" s="3693"/>
      <c r="AA68" s="3693"/>
      <c r="AB68" s="3693"/>
      <c r="AC68" s="3693"/>
      <c r="AD68" s="3693"/>
      <c r="AE68" s="3693"/>
      <c r="AF68" s="3693"/>
      <c r="AG68" s="3693"/>
      <c r="AH68" s="3693"/>
      <c r="AI68" s="3393"/>
      <c r="AJ68" s="3393"/>
      <c r="AK68" s="3393"/>
      <c r="AL68" s="3688"/>
      <c r="AM68" s="3785"/>
      <c r="AN68" s="2674"/>
    </row>
    <row r="69" spans="1:256" ht="57" x14ac:dyDescent="0.2">
      <c r="A69" s="984"/>
      <c r="B69" s="985"/>
      <c r="C69" s="424"/>
      <c r="D69" s="425"/>
      <c r="E69" s="424"/>
      <c r="F69" s="425"/>
      <c r="G69" s="2528"/>
      <c r="H69" s="3697"/>
      <c r="I69" s="3697"/>
      <c r="J69" s="2843"/>
      <c r="K69" s="3699"/>
      <c r="L69" s="3701"/>
      <c r="M69" s="3689"/>
      <c r="N69" s="2936"/>
      <c r="O69" s="3707"/>
      <c r="P69" s="3709"/>
      <c r="Q69" s="2674"/>
      <c r="R69" s="1007" t="s">
        <v>1397</v>
      </c>
      <c r="S69" s="1819">
        <v>10280000</v>
      </c>
      <c r="T69" s="1630">
        <v>20</v>
      </c>
      <c r="U69" s="1374" t="s">
        <v>275</v>
      </c>
      <c r="V69" s="3693"/>
      <c r="W69" s="3693"/>
      <c r="X69" s="3693"/>
      <c r="Y69" s="3693"/>
      <c r="Z69" s="3693"/>
      <c r="AA69" s="3693"/>
      <c r="AB69" s="3693"/>
      <c r="AC69" s="3693"/>
      <c r="AD69" s="3693"/>
      <c r="AE69" s="3693"/>
      <c r="AF69" s="3693"/>
      <c r="AG69" s="3693"/>
      <c r="AH69" s="3693"/>
      <c r="AI69" s="3393"/>
      <c r="AJ69" s="3393"/>
      <c r="AK69" s="3393"/>
      <c r="AL69" s="3688"/>
      <c r="AM69" s="3785"/>
      <c r="AN69" s="2674"/>
    </row>
    <row r="70" spans="1:256" ht="57" x14ac:dyDescent="0.2">
      <c r="A70" s="984"/>
      <c r="B70" s="985"/>
      <c r="C70" s="424"/>
      <c r="D70" s="425"/>
      <c r="E70" s="424"/>
      <c r="F70" s="425"/>
      <c r="G70" s="2528"/>
      <c r="H70" s="3697"/>
      <c r="I70" s="3697"/>
      <c r="J70" s="2843"/>
      <c r="K70" s="3699"/>
      <c r="L70" s="3701"/>
      <c r="M70" s="3689"/>
      <c r="N70" s="2936"/>
      <c r="O70" s="3707"/>
      <c r="P70" s="3709"/>
      <c r="Q70" s="2674"/>
      <c r="R70" s="1007" t="s">
        <v>1398</v>
      </c>
      <c r="S70" s="1819">
        <v>2450000</v>
      </c>
      <c r="T70" s="1630">
        <v>20</v>
      </c>
      <c r="U70" s="1374" t="s">
        <v>275</v>
      </c>
      <c r="V70" s="3693"/>
      <c r="W70" s="3693"/>
      <c r="X70" s="3693"/>
      <c r="Y70" s="3693"/>
      <c r="Z70" s="3693"/>
      <c r="AA70" s="3693"/>
      <c r="AB70" s="3693"/>
      <c r="AC70" s="3693"/>
      <c r="AD70" s="3693"/>
      <c r="AE70" s="3693"/>
      <c r="AF70" s="3693"/>
      <c r="AG70" s="3693"/>
      <c r="AH70" s="3693"/>
      <c r="AI70" s="3393"/>
      <c r="AJ70" s="3393"/>
      <c r="AK70" s="3393"/>
      <c r="AL70" s="3688"/>
      <c r="AM70" s="3785"/>
      <c r="AN70" s="2674"/>
    </row>
    <row r="71" spans="1:256" ht="57" x14ac:dyDescent="0.2">
      <c r="A71" s="984"/>
      <c r="B71" s="985"/>
      <c r="C71" s="424"/>
      <c r="D71" s="425"/>
      <c r="E71" s="424"/>
      <c r="F71" s="425"/>
      <c r="G71" s="2528"/>
      <c r="H71" s="3697"/>
      <c r="I71" s="3697"/>
      <c r="J71" s="2843"/>
      <c r="K71" s="3699"/>
      <c r="L71" s="3701"/>
      <c r="M71" s="3689"/>
      <c r="N71" s="2936"/>
      <c r="O71" s="3707"/>
      <c r="P71" s="3709"/>
      <c r="Q71" s="2674"/>
      <c r="R71" s="1007" t="s">
        <v>1399</v>
      </c>
      <c r="S71" s="1819">
        <v>14800000</v>
      </c>
      <c r="T71" s="1630">
        <v>20</v>
      </c>
      <c r="U71" s="1374" t="s">
        <v>275</v>
      </c>
      <c r="V71" s="3693"/>
      <c r="W71" s="3693"/>
      <c r="X71" s="3693"/>
      <c r="Y71" s="3693"/>
      <c r="Z71" s="3693"/>
      <c r="AA71" s="3693"/>
      <c r="AB71" s="3693"/>
      <c r="AC71" s="3693"/>
      <c r="AD71" s="3693"/>
      <c r="AE71" s="3693"/>
      <c r="AF71" s="3693"/>
      <c r="AG71" s="3693"/>
      <c r="AH71" s="3693"/>
      <c r="AI71" s="3393"/>
      <c r="AJ71" s="3393"/>
      <c r="AK71" s="3393"/>
      <c r="AL71" s="3688"/>
      <c r="AM71" s="3785"/>
      <c r="AN71" s="2674"/>
    </row>
    <row r="72" spans="1:256" ht="57" x14ac:dyDescent="0.2">
      <c r="A72" s="984"/>
      <c r="B72" s="985"/>
      <c r="C72" s="424"/>
      <c r="D72" s="425"/>
      <c r="E72" s="424"/>
      <c r="F72" s="425"/>
      <c r="G72" s="2528"/>
      <c r="H72" s="3697"/>
      <c r="I72" s="3697"/>
      <c r="J72" s="2843"/>
      <c r="K72" s="3699"/>
      <c r="L72" s="3701"/>
      <c r="M72" s="3689"/>
      <c r="N72" s="2936"/>
      <c r="O72" s="3707"/>
      <c r="P72" s="3709"/>
      <c r="Q72" s="2674"/>
      <c r="R72" s="1015" t="s">
        <v>1400</v>
      </c>
      <c r="S72" s="1819">
        <v>5280000</v>
      </c>
      <c r="T72" s="1630">
        <v>20</v>
      </c>
      <c r="U72" s="1374" t="s">
        <v>275</v>
      </c>
      <c r="V72" s="3693"/>
      <c r="W72" s="3693"/>
      <c r="X72" s="3693"/>
      <c r="Y72" s="3693"/>
      <c r="Z72" s="3693"/>
      <c r="AA72" s="3693"/>
      <c r="AB72" s="3693"/>
      <c r="AC72" s="3693"/>
      <c r="AD72" s="3693"/>
      <c r="AE72" s="3693"/>
      <c r="AF72" s="3693"/>
      <c r="AG72" s="3693"/>
      <c r="AH72" s="3693"/>
      <c r="AI72" s="3393"/>
      <c r="AJ72" s="3393"/>
      <c r="AK72" s="3393"/>
      <c r="AL72" s="3688"/>
      <c r="AM72" s="3785"/>
      <c r="AN72" s="2674"/>
    </row>
    <row r="73" spans="1:256" ht="57" x14ac:dyDescent="0.2">
      <c r="A73" s="984"/>
      <c r="B73" s="985"/>
      <c r="C73" s="424"/>
      <c r="D73" s="425"/>
      <c r="E73" s="424"/>
      <c r="F73" s="425"/>
      <c r="G73" s="2528"/>
      <c r="H73" s="3697"/>
      <c r="I73" s="3697"/>
      <c r="J73" s="2843"/>
      <c r="K73" s="3699"/>
      <c r="L73" s="3701"/>
      <c r="M73" s="3689"/>
      <c r="N73" s="2936"/>
      <c r="O73" s="3707"/>
      <c r="P73" s="3709"/>
      <c r="Q73" s="2674"/>
      <c r="R73" s="1015" t="s">
        <v>1401</v>
      </c>
      <c r="S73" s="1820">
        <v>35000000</v>
      </c>
      <c r="T73" s="1630">
        <v>20</v>
      </c>
      <c r="U73" s="1374" t="s">
        <v>275</v>
      </c>
      <c r="V73" s="3693"/>
      <c r="W73" s="3693"/>
      <c r="X73" s="3693"/>
      <c r="Y73" s="3693"/>
      <c r="Z73" s="3693"/>
      <c r="AA73" s="3693"/>
      <c r="AB73" s="3693"/>
      <c r="AC73" s="3693"/>
      <c r="AD73" s="3693"/>
      <c r="AE73" s="3693"/>
      <c r="AF73" s="3693"/>
      <c r="AG73" s="3693"/>
      <c r="AH73" s="3693"/>
      <c r="AI73" s="3393"/>
      <c r="AJ73" s="3393"/>
      <c r="AK73" s="3393"/>
      <c r="AL73" s="3688"/>
      <c r="AM73" s="3785"/>
      <c r="AN73" s="2674"/>
    </row>
    <row r="74" spans="1:256" ht="57" x14ac:dyDescent="0.2">
      <c r="A74" s="984"/>
      <c r="B74" s="985"/>
      <c r="C74" s="424"/>
      <c r="D74" s="425"/>
      <c r="E74" s="424"/>
      <c r="F74" s="425"/>
      <c r="G74" s="2528"/>
      <c r="H74" s="3697"/>
      <c r="I74" s="3697"/>
      <c r="J74" s="2843"/>
      <c r="K74" s="3699"/>
      <c r="L74" s="3701"/>
      <c r="M74" s="3689"/>
      <c r="N74" s="2936"/>
      <c r="O74" s="3707"/>
      <c r="P74" s="3709"/>
      <c r="Q74" s="3203"/>
      <c r="R74" s="1015" t="s">
        <v>1402</v>
      </c>
      <c r="S74" s="1823">
        <f>20000000-3000000</f>
        <v>17000000</v>
      </c>
      <c r="T74" s="1630">
        <v>20</v>
      </c>
      <c r="U74" s="1374" t="s">
        <v>275</v>
      </c>
      <c r="V74" s="3694"/>
      <c r="W74" s="3694"/>
      <c r="X74" s="3694"/>
      <c r="Y74" s="3694"/>
      <c r="Z74" s="3694"/>
      <c r="AA74" s="3694"/>
      <c r="AB74" s="3694"/>
      <c r="AC74" s="3694"/>
      <c r="AD74" s="3694"/>
      <c r="AE74" s="3694"/>
      <c r="AF74" s="3694"/>
      <c r="AG74" s="3694"/>
      <c r="AH74" s="3694"/>
      <c r="AI74" s="3354"/>
      <c r="AJ74" s="3354"/>
      <c r="AK74" s="3354"/>
      <c r="AL74" s="3096"/>
      <c r="AM74" s="3785"/>
      <c r="AN74" s="3203"/>
    </row>
    <row r="75" spans="1:256" ht="15" x14ac:dyDescent="0.25">
      <c r="A75" s="984"/>
      <c r="B75" s="985"/>
      <c r="C75" s="986">
        <v>18</v>
      </c>
      <c r="D75" s="987" t="s">
        <v>1403</v>
      </c>
      <c r="E75" s="1011"/>
      <c r="F75" s="1011"/>
      <c r="G75" s="1011"/>
      <c r="H75" s="1215"/>
      <c r="I75" s="1215"/>
      <c r="J75" s="1011"/>
      <c r="K75" s="1011"/>
      <c r="L75" s="1011"/>
      <c r="M75" s="1002"/>
      <c r="N75" s="1011"/>
      <c r="O75" s="1011"/>
      <c r="P75" s="1215"/>
      <c r="Q75" s="1215"/>
      <c r="R75" s="1215"/>
      <c r="S75" s="1824"/>
      <c r="T75" s="1003"/>
      <c r="U75" s="1002"/>
      <c r="V75" s="1011"/>
      <c r="W75" s="1011"/>
      <c r="X75" s="1011"/>
      <c r="Y75" s="1011"/>
      <c r="Z75" s="1011"/>
      <c r="AA75" s="1011"/>
      <c r="AB75" s="1011"/>
      <c r="AC75" s="1011"/>
      <c r="AD75" s="1011"/>
      <c r="AE75" s="1011"/>
      <c r="AF75" s="1011"/>
      <c r="AG75" s="1011"/>
      <c r="AH75" s="1011"/>
      <c r="AI75" s="1011"/>
      <c r="AJ75" s="1011"/>
      <c r="AK75" s="1011"/>
      <c r="AL75" s="1011"/>
      <c r="AM75" s="1011"/>
      <c r="AN75" s="920"/>
      <c r="AO75" s="2430"/>
      <c r="AP75" s="1012"/>
      <c r="AQ75" s="1012"/>
      <c r="AR75" s="1012"/>
      <c r="AS75" s="1012"/>
      <c r="AT75" s="836"/>
      <c r="AU75" s="836"/>
      <c r="AV75" s="836"/>
      <c r="AW75" s="836"/>
      <c r="AX75" s="836"/>
      <c r="AY75" s="836"/>
      <c r="AZ75" s="836"/>
      <c r="BA75" s="836"/>
      <c r="BB75" s="836"/>
      <c r="BC75" s="836"/>
      <c r="BD75" s="836"/>
      <c r="BE75" s="836"/>
      <c r="BF75" s="836"/>
      <c r="BG75" s="836"/>
      <c r="BH75" s="836"/>
      <c r="BI75" s="836"/>
      <c r="BJ75" s="836"/>
      <c r="BK75" s="836"/>
      <c r="BL75" s="836"/>
      <c r="BM75" s="836"/>
      <c r="BN75" s="836"/>
      <c r="BO75" s="836"/>
      <c r="BP75" s="836"/>
      <c r="BQ75" s="836"/>
      <c r="BR75" s="836"/>
      <c r="BS75" s="836"/>
      <c r="BT75" s="836"/>
      <c r="BU75" s="836"/>
      <c r="BV75" s="836"/>
      <c r="BW75" s="836"/>
      <c r="BX75" s="836"/>
      <c r="BY75" s="836"/>
      <c r="BZ75" s="836"/>
      <c r="CA75" s="836"/>
      <c r="CB75" s="836"/>
      <c r="CC75" s="836"/>
      <c r="CD75" s="836"/>
      <c r="CE75" s="836"/>
      <c r="CF75" s="836"/>
      <c r="CG75" s="836"/>
      <c r="CH75" s="836"/>
      <c r="CI75" s="836"/>
      <c r="CJ75" s="836"/>
      <c r="CK75" s="836"/>
      <c r="CL75" s="836"/>
      <c r="CM75" s="836"/>
      <c r="CN75" s="836"/>
      <c r="CO75" s="836"/>
      <c r="CP75" s="836"/>
      <c r="CQ75" s="836"/>
      <c r="CR75" s="836"/>
      <c r="CS75" s="836"/>
      <c r="CT75" s="836"/>
      <c r="CU75" s="836"/>
      <c r="CV75" s="836"/>
      <c r="CW75" s="836"/>
      <c r="CX75" s="836"/>
      <c r="CY75" s="836"/>
      <c r="CZ75" s="836"/>
      <c r="DA75" s="836"/>
      <c r="DB75" s="836"/>
      <c r="DC75" s="836"/>
      <c r="DD75" s="836"/>
      <c r="DE75" s="836"/>
      <c r="DF75" s="836"/>
      <c r="DG75" s="836"/>
      <c r="DH75" s="836"/>
      <c r="DI75" s="836"/>
      <c r="DJ75" s="836"/>
      <c r="DK75" s="836"/>
      <c r="DL75" s="836"/>
      <c r="DM75" s="836"/>
      <c r="DN75" s="836"/>
      <c r="DO75" s="836"/>
      <c r="DP75" s="836"/>
      <c r="DQ75" s="836"/>
      <c r="DR75" s="836"/>
      <c r="DS75" s="836"/>
      <c r="DT75" s="836"/>
      <c r="DU75" s="836"/>
      <c r="DV75" s="836"/>
      <c r="DW75" s="836"/>
      <c r="DX75" s="836"/>
      <c r="DY75" s="836"/>
      <c r="DZ75" s="836"/>
      <c r="EA75" s="836"/>
      <c r="EB75" s="836"/>
      <c r="EC75" s="836"/>
      <c r="ED75" s="836"/>
      <c r="EE75" s="836"/>
      <c r="EF75" s="836"/>
      <c r="EG75" s="836"/>
      <c r="EH75" s="836"/>
      <c r="EI75" s="836"/>
      <c r="EJ75" s="836"/>
      <c r="EK75" s="836"/>
      <c r="EL75" s="836"/>
      <c r="EM75" s="836"/>
      <c r="EN75" s="836"/>
      <c r="EO75" s="836"/>
      <c r="EP75" s="836"/>
      <c r="EQ75" s="836"/>
      <c r="ER75" s="836"/>
      <c r="ES75" s="836"/>
      <c r="ET75" s="836"/>
      <c r="EU75" s="836"/>
      <c r="EV75" s="836"/>
      <c r="EW75" s="836"/>
      <c r="EX75" s="836"/>
      <c r="EY75" s="836"/>
      <c r="EZ75" s="836"/>
      <c r="FA75" s="836"/>
      <c r="FB75" s="836"/>
      <c r="FC75" s="836"/>
      <c r="FD75" s="836"/>
      <c r="FE75" s="836"/>
      <c r="FF75" s="836"/>
      <c r="FG75" s="836"/>
      <c r="FH75" s="836"/>
      <c r="FI75" s="836"/>
      <c r="FJ75" s="836"/>
      <c r="FK75" s="836"/>
      <c r="FL75" s="836"/>
      <c r="FM75" s="836"/>
      <c r="FN75" s="836"/>
      <c r="FO75" s="836"/>
      <c r="FP75" s="836"/>
      <c r="FQ75" s="836"/>
      <c r="FR75" s="836"/>
      <c r="FS75" s="836"/>
      <c r="FT75" s="836"/>
      <c r="FU75" s="836"/>
      <c r="FV75" s="836"/>
      <c r="FW75" s="836"/>
      <c r="FX75" s="836"/>
      <c r="FY75" s="836"/>
      <c r="FZ75" s="836"/>
      <c r="GA75" s="836"/>
      <c r="GB75" s="836"/>
      <c r="GC75" s="836"/>
      <c r="GD75" s="836"/>
      <c r="GE75" s="836"/>
      <c r="GF75" s="836"/>
      <c r="GG75" s="836"/>
      <c r="GH75" s="836"/>
      <c r="GI75" s="836"/>
      <c r="GJ75" s="836"/>
      <c r="GK75" s="836"/>
      <c r="GL75" s="836"/>
      <c r="GM75" s="836"/>
      <c r="GN75" s="836"/>
      <c r="GO75" s="836"/>
      <c r="GP75" s="836"/>
      <c r="GQ75" s="836"/>
      <c r="GR75" s="836"/>
      <c r="GS75" s="836"/>
      <c r="GT75" s="836"/>
      <c r="GU75" s="836"/>
      <c r="GV75" s="836"/>
      <c r="GW75" s="836"/>
      <c r="GX75" s="836"/>
      <c r="GY75" s="836"/>
      <c r="GZ75" s="836"/>
      <c r="HA75" s="836"/>
      <c r="HB75" s="836"/>
      <c r="HC75" s="836"/>
      <c r="HD75" s="836"/>
      <c r="HE75" s="836"/>
      <c r="HF75" s="836"/>
      <c r="HG75" s="836"/>
      <c r="HH75" s="836"/>
      <c r="HI75" s="836"/>
      <c r="HJ75" s="836"/>
      <c r="HK75" s="836"/>
      <c r="HL75" s="836"/>
      <c r="HM75" s="836"/>
      <c r="HN75" s="836"/>
      <c r="HO75" s="836"/>
      <c r="HP75" s="836"/>
      <c r="HQ75" s="836"/>
      <c r="HR75" s="836"/>
      <c r="HS75" s="836"/>
      <c r="HT75" s="836"/>
      <c r="HU75" s="836"/>
      <c r="HV75" s="836"/>
      <c r="HW75" s="836"/>
      <c r="HX75" s="836"/>
      <c r="HY75" s="836"/>
      <c r="HZ75" s="836"/>
      <c r="IA75" s="836"/>
      <c r="IB75" s="836"/>
      <c r="IC75" s="836"/>
      <c r="ID75" s="836"/>
      <c r="IE75" s="836"/>
      <c r="IF75" s="836"/>
      <c r="IG75" s="836"/>
      <c r="IH75" s="836"/>
      <c r="II75" s="836"/>
      <c r="IJ75" s="836"/>
      <c r="IK75" s="836"/>
      <c r="IL75" s="836"/>
      <c r="IM75" s="836"/>
      <c r="IN75" s="836"/>
      <c r="IO75" s="836"/>
      <c r="IP75" s="836"/>
      <c r="IQ75" s="836"/>
      <c r="IR75" s="836"/>
      <c r="IS75" s="836"/>
      <c r="IT75" s="836"/>
      <c r="IU75" s="836"/>
      <c r="IV75" s="836"/>
    </row>
    <row r="76" spans="1:256" ht="15" x14ac:dyDescent="0.2">
      <c r="A76" s="984"/>
      <c r="B76" s="985"/>
      <c r="C76" s="424"/>
      <c r="D76" s="425"/>
      <c r="E76" s="876">
        <v>62</v>
      </c>
      <c r="F76" s="993" t="s">
        <v>1404</v>
      </c>
      <c r="G76" s="994"/>
      <c r="H76" s="1216"/>
      <c r="I76" s="1216"/>
      <c r="J76" s="994"/>
      <c r="K76" s="994"/>
      <c r="L76" s="994"/>
      <c r="M76" s="995"/>
      <c r="N76" s="994"/>
      <c r="O76" s="994"/>
      <c r="P76" s="1216"/>
      <c r="Q76" s="1216"/>
      <c r="R76" s="1216"/>
      <c r="S76" s="1813"/>
      <c r="T76" s="1013"/>
      <c r="U76" s="1004"/>
      <c r="V76" s="1005"/>
      <c r="W76" s="1005"/>
      <c r="X76" s="994"/>
      <c r="Y76" s="994"/>
      <c r="Z76" s="994"/>
      <c r="AA76" s="994"/>
      <c r="AB76" s="994"/>
      <c r="AC76" s="994"/>
      <c r="AD76" s="994"/>
      <c r="AE76" s="994"/>
      <c r="AF76" s="994"/>
      <c r="AG76" s="994"/>
      <c r="AH76" s="994"/>
      <c r="AI76" s="994"/>
      <c r="AJ76" s="994"/>
      <c r="AK76" s="994"/>
      <c r="AL76" s="994"/>
      <c r="AM76" s="994"/>
      <c r="AN76" s="997"/>
    </row>
    <row r="77" spans="1:256" ht="42" customHeight="1" x14ac:dyDescent="0.2">
      <c r="A77" s="984"/>
      <c r="B77" s="985"/>
      <c r="C77" s="424"/>
      <c r="D77" s="425"/>
      <c r="E77" s="413"/>
      <c r="F77" s="415"/>
      <c r="G77" s="3728">
        <v>191</v>
      </c>
      <c r="H77" s="3769" t="s">
        <v>1405</v>
      </c>
      <c r="I77" s="3212" t="s">
        <v>1406</v>
      </c>
      <c r="J77" s="3788">
        <v>1</v>
      </c>
      <c r="K77" s="3698" t="s">
        <v>1407</v>
      </c>
      <c r="L77" s="3701" t="s">
        <v>1408</v>
      </c>
      <c r="M77" s="3729" t="s">
        <v>1409</v>
      </c>
      <c r="N77" s="3705">
        <v>1</v>
      </c>
      <c r="O77" s="3789">
        <f>SUM(S77:S93)</f>
        <v>1008600000</v>
      </c>
      <c r="P77" s="3689" t="s">
        <v>1410</v>
      </c>
      <c r="Q77" s="3203" t="s">
        <v>1411</v>
      </c>
      <c r="R77" s="1014" t="s">
        <v>1412</v>
      </c>
      <c r="S77" s="1825">
        <v>50000000</v>
      </c>
      <c r="T77" s="1630">
        <v>20</v>
      </c>
      <c r="U77" s="1374" t="s">
        <v>275</v>
      </c>
      <c r="V77" s="3450">
        <v>5000</v>
      </c>
      <c r="W77" s="3451"/>
      <c r="X77" s="3786"/>
      <c r="Y77" s="3702"/>
      <c r="Z77" s="3702"/>
      <c r="AA77" s="3702"/>
      <c r="AB77" s="3702"/>
      <c r="AC77" s="3702"/>
      <c r="AD77" s="3702"/>
      <c r="AE77" s="3702"/>
      <c r="AF77" s="3702"/>
      <c r="AG77" s="3702"/>
      <c r="AH77" s="3702"/>
      <c r="AI77" s="3702"/>
      <c r="AJ77" s="3702"/>
      <c r="AK77" s="3354">
        <f>SUM(V77:AJ93)</f>
        <v>5000</v>
      </c>
      <c r="AL77" s="3098">
        <v>43467</v>
      </c>
      <c r="AM77" s="3098">
        <v>43830</v>
      </c>
      <c r="AN77" s="3205" t="s">
        <v>1413</v>
      </c>
    </row>
    <row r="78" spans="1:256" ht="60" customHeight="1" x14ac:dyDescent="0.2">
      <c r="A78" s="984"/>
      <c r="B78" s="985"/>
      <c r="C78" s="424"/>
      <c r="D78" s="425"/>
      <c r="E78" s="424"/>
      <c r="F78" s="425"/>
      <c r="G78" s="3728"/>
      <c r="H78" s="3769"/>
      <c r="I78" s="3212"/>
      <c r="J78" s="3788"/>
      <c r="K78" s="3699"/>
      <c r="L78" s="3701"/>
      <c r="M78" s="3729"/>
      <c r="N78" s="2936"/>
      <c r="O78" s="3789"/>
      <c r="P78" s="3689"/>
      <c r="Q78" s="3204"/>
      <c r="R78" s="1014" t="s">
        <v>1414</v>
      </c>
      <c r="S78" s="1825">
        <v>20000000</v>
      </c>
      <c r="T78" s="1630">
        <v>20</v>
      </c>
      <c r="U78" s="1374" t="s">
        <v>275</v>
      </c>
      <c r="V78" s="3796"/>
      <c r="W78" s="3797"/>
      <c r="X78" s="3787"/>
      <c r="Y78" s="3703"/>
      <c r="Z78" s="3703"/>
      <c r="AA78" s="3703"/>
      <c r="AB78" s="3703"/>
      <c r="AC78" s="3703"/>
      <c r="AD78" s="3703"/>
      <c r="AE78" s="3703"/>
      <c r="AF78" s="3703"/>
      <c r="AG78" s="3703"/>
      <c r="AH78" s="3703"/>
      <c r="AI78" s="3703"/>
      <c r="AJ78" s="3703"/>
      <c r="AK78" s="3355"/>
      <c r="AL78" s="3098"/>
      <c r="AM78" s="3098"/>
      <c r="AN78" s="3205"/>
    </row>
    <row r="79" spans="1:256" ht="56.25" customHeight="1" x14ac:dyDescent="0.2">
      <c r="A79" s="984"/>
      <c r="B79" s="985"/>
      <c r="C79" s="424"/>
      <c r="D79" s="425"/>
      <c r="E79" s="424"/>
      <c r="F79" s="425"/>
      <c r="G79" s="3728"/>
      <c r="H79" s="3769"/>
      <c r="I79" s="3212"/>
      <c r="J79" s="3788"/>
      <c r="K79" s="3699"/>
      <c r="L79" s="3701"/>
      <c r="M79" s="3729"/>
      <c r="N79" s="2936"/>
      <c r="O79" s="3789"/>
      <c r="P79" s="3689"/>
      <c r="Q79" s="3204"/>
      <c r="R79" s="1014" t="s">
        <v>1415</v>
      </c>
      <c r="S79" s="1825">
        <f>50000000-50000000</f>
        <v>0</v>
      </c>
      <c r="T79" s="1630">
        <v>20</v>
      </c>
      <c r="U79" s="1374" t="s">
        <v>275</v>
      </c>
      <c r="V79" s="3796"/>
      <c r="W79" s="3797"/>
      <c r="X79" s="3787"/>
      <c r="Y79" s="3703"/>
      <c r="Z79" s="3703"/>
      <c r="AA79" s="3703"/>
      <c r="AB79" s="3703"/>
      <c r="AC79" s="3703"/>
      <c r="AD79" s="3703"/>
      <c r="AE79" s="3703"/>
      <c r="AF79" s="3703"/>
      <c r="AG79" s="3703"/>
      <c r="AH79" s="3703"/>
      <c r="AI79" s="3703"/>
      <c r="AJ79" s="3703"/>
      <c r="AK79" s="3355"/>
      <c r="AL79" s="3098"/>
      <c r="AM79" s="3098"/>
      <c r="AN79" s="3205"/>
    </row>
    <row r="80" spans="1:256" ht="46.5" customHeight="1" x14ac:dyDescent="0.2">
      <c r="A80" s="984"/>
      <c r="B80" s="985"/>
      <c r="C80" s="424"/>
      <c r="D80" s="425"/>
      <c r="E80" s="424"/>
      <c r="F80" s="425"/>
      <c r="G80" s="3728"/>
      <c r="H80" s="3769"/>
      <c r="I80" s="3212"/>
      <c r="J80" s="3788"/>
      <c r="K80" s="3699"/>
      <c r="L80" s="3701"/>
      <c r="M80" s="3729"/>
      <c r="N80" s="2936"/>
      <c r="O80" s="3789"/>
      <c r="P80" s="3689"/>
      <c r="Q80" s="3204"/>
      <c r="R80" s="1014" t="s">
        <v>1416</v>
      </c>
      <c r="S80" s="1825">
        <f>50000000-39175600</f>
        <v>10824400</v>
      </c>
      <c r="T80" s="1630">
        <v>20</v>
      </c>
      <c r="U80" s="1374" t="s">
        <v>275</v>
      </c>
      <c r="V80" s="3796"/>
      <c r="W80" s="3797"/>
      <c r="X80" s="3787"/>
      <c r="Y80" s="3703"/>
      <c r="Z80" s="3703"/>
      <c r="AA80" s="3703"/>
      <c r="AB80" s="3703"/>
      <c r="AC80" s="3703"/>
      <c r="AD80" s="3703"/>
      <c r="AE80" s="3703"/>
      <c r="AF80" s="3703"/>
      <c r="AG80" s="3703"/>
      <c r="AH80" s="3703"/>
      <c r="AI80" s="3703"/>
      <c r="AJ80" s="3703"/>
      <c r="AK80" s="3355"/>
      <c r="AL80" s="3098"/>
      <c r="AM80" s="3098"/>
      <c r="AN80" s="3205"/>
    </row>
    <row r="81" spans="1:40" ht="82.5" customHeight="1" x14ac:dyDescent="0.2">
      <c r="A81" s="984"/>
      <c r="B81" s="985"/>
      <c r="C81" s="424"/>
      <c r="D81" s="425"/>
      <c r="E81" s="424"/>
      <c r="F81" s="425"/>
      <c r="G81" s="3728"/>
      <c r="H81" s="3769"/>
      <c r="I81" s="3212"/>
      <c r="J81" s="3788"/>
      <c r="K81" s="3699"/>
      <c r="L81" s="3701"/>
      <c r="M81" s="3729"/>
      <c r="N81" s="2936"/>
      <c r="O81" s="3789"/>
      <c r="P81" s="3689"/>
      <c r="Q81" s="3204"/>
      <c r="R81" s="1014" t="s">
        <v>1417</v>
      </c>
      <c r="S81" s="1826">
        <f>200000000+100000000-30000000</f>
        <v>270000000</v>
      </c>
      <c r="T81" s="1630">
        <v>20</v>
      </c>
      <c r="U81" s="1374" t="s">
        <v>275</v>
      </c>
      <c r="V81" s="3796"/>
      <c r="W81" s="3797"/>
      <c r="X81" s="3787"/>
      <c r="Y81" s="3703"/>
      <c r="Z81" s="3703"/>
      <c r="AA81" s="3703"/>
      <c r="AB81" s="3703"/>
      <c r="AC81" s="3703"/>
      <c r="AD81" s="3703"/>
      <c r="AE81" s="3703"/>
      <c r="AF81" s="3703"/>
      <c r="AG81" s="3703"/>
      <c r="AH81" s="3703"/>
      <c r="AI81" s="3703"/>
      <c r="AJ81" s="3703"/>
      <c r="AK81" s="3355"/>
      <c r="AL81" s="3098"/>
      <c r="AM81" s="3098"/>
      <c r="AN81" s="3205"/>
    </row>
    <row r="82" spans="1:40" ht="84.75" customHeight="1" x14ac:dyDescent="0.2">
      <c r="A82" s="984"/>
      <c r="B82" s="985"/>
      <c r="C82" s="424"/>
      <c r="D82" s="425"/>
      <c r="E82" s="424"/>
      <c r="F82" s="425"/>
      <c r="G82" s="3728"/>
      <c r="H82" s="3769"/>
      <c r="I82" s="3212"/>
      <c r="J82" s="3788"/>
      <c r="K82" s="3699"/>
      <c r="L82" s="3701"/>
      <c r="M82" s="3729"/>
      <c r="N82" s="2936"/>
      <c r="O82" s="3789"/>
      <c r="P82" s="3689"/>
      <c r="Q82" s="3204"/>
      <c r="R82" s="1014" t="s">
        <v>1418</v>
      </c>
      <c r="S82" s="1825">
        <v>29040000</v>
      </c>
      <c r="T82" s="1630">
        <v>20</v>
      </c>
      <c r="U82" s="1374" t="s">
        <v>275</v>
      </c>
      <c r="V82" s="3796"/>
      <c r="W82" s="3797"/>
      <c r="X82" s="3787"/>
      <c r="Y82" s="3703"/>
      <c r="Z82" s="3703"/>
      <c r="AA82" s="3703"/>
      <c r="AB82" s="3703"/>
      <c r="AC82" s="3703"/>
      <c r="AD82" s="3703"/>
      <c r="AE82" s="3703"/>
      <c r="AF82" s="3703"/>
      <c r="AG82" s="3703"/>
      <c r="AH82" s="3703"/>
      <c r="AI82" s="3703"/>
      <c r="AJ82" s="3703"/>
      <c r="AK82" s="3355"/>
      <c r="AL82" s="3098"/>
      <c r="AM82" s="3098"/>
      <c r="AN82" s="3205"/>
    </row>
    <row r="83" spans="1:40" ht="66" customHeight="1" x14ac:dyDescent="0.2">
      <c r="A83" s="984"/>
      <c r="B83" s="985"/>
      <c r="C83" s="424"/>
      <c r="D83" s="425"/>
      <c r="E83" s="424"/>
      <c r="F83" s="425"/>
      <c r="G83" s="3728"/>
      <c r="H83" s="3769"/>
      <c r="I83" s="3212"/>
      <c r="J83" s="3788"/>
      <c r="K83" s="3699"/>
      <c r="L83" s="3701"/>
      <c r="M83" s="3729"/>
      <c r="N83" s="2936"/>
      <c r="O83" s="3789"/>
      <c r="P83" s="3689"/>
      <c r="Q83" s="3204"/>
      <c r="R83" s="1014" t="s">
        <v>1419</v>
      </c>
      <c r="S83" s="1825">
        <v>24360000</v>
      </c>
      <c r="T83" s="1630">
        <v>20</v>
      </c>
      <c r="U83" s="1374" t="s">
        <v>275</v>
      </c>
      <c r="V83" s="3796"/>
      <c r="W83" s="3797"/>
      <c r="X83" s="3787"/>
      <c r="Y83" s="3703"/>
      <c r="Z83" s="3703"/>
      <c r="AA83" s="3703"/>
      <c r="AB83" s="3703"/>
      <c r="AC83" s="3703"/>
      <c r="AD83" s="3703"/>
      <c r="AE83" s="3703"/>
      <c r="AF83" s="3703"/>
      <c r="AG83" s="3703"/>
      <c r="AH83" s="3703"/>
      <c r="AI83" s="3703"/>
      <c r="AJ83" s="3703"/>
      <c r="AK83" s="3355"/>
      <c r="AL83" s="3098"/>
      <c r="AM83" s="3098"/>
      <c r="AN83" s="3205"/>
    </row>
    <row r="84" spans="1:40" ht="49.5" customHeight="1" x14ac:dyDescent="0.2">
      <c r="A84" s="984"/>
      <c r="B84" s="985"/>
      <c r="C84" s="424"/>
      <c r="D84" s="425"/>
      <c r="E84" s="424"/>
      <c r="F84" s="425"/>
      <c r="G84" s="3728"/>
      <c r="H84" s="3769"/>
      <c r="I84" s="3212"/>
      <c r="J84" s="3788"/>
      <c r="K84" s="3699"/>
      <c r="L84" s="3701"/>
      <c r="M84" s="3729"/>
      <c r="N84" s="2936"/>
      <c r="O84" s="3789"/>
      <c r="P84" s="3689"/>
      <c r="Q84" s="3204"/>
      <c r="R84" s="1014" t="s">
        <v>1420</v>
      </c>
      <c r="S84" s="1825">
        <v>21610000</v>
      </c>
      <c r="T84" s="1630">
        <v>20</v>
      </c>
      <c r="U84" s="1374" t="s">
        <v>275</v>
      </c>
      <c r="V84" s="3796"/>
      <c r="W84" s="3797"/>
      <c r="X84" s="3787"/>
      <c r="Y84" s="3703"/>
      <c r="Z84" s="3703"/>
      <c r="AA84" s="3703"/>
      <c r="AB84" s="3703"/>
      <c r="AC84" s="3703"/>
      <c r="AD84" s="3703"/>
      <c r="AE84" s="3703"/>
      <c r="AF84" s="3703"/>
      <c r="AG84" s="3703"/>
      <c r="AH84" s="3703"/>
      <c r="AI84" s="3703"/>
      <c r="AJ84" s="3703"/>
      <c r="AK84" s="3355"/>
      <c r="AL84" s="3098"/>
      <c r="AM84" s="3098"/>
      <c r="AN84" s="3205"/>
    </row>
    <row r="85" spans="1:40" ht="55.5" customHeight="1" x14ac:dyDescent="0.2">
      <c r="A85" s="984"/>
      <c r="B85" s="985"/>
      <c r="C85" s="424"/>
      <c r="D85" s="425"/>
      <c r="E85" s="424"/>
      <c r="F85" s="425"/>
      <c r="G85" s="3728"/>
      <c r="H85" s="3769"/>
      <c r="I85" s="3212"/>
      <c r="J85" s="3788"/>
      <c r="K85" s="3699"/>
      <c r="L85" s="3701"/>
      <c r="M85" s="3729"/>
      <c r="N85" s="2936"/>
      <c r="O85" s="3789"/>
      <c r="P85" s="3689"/>
      <c r="Q85" s="3204"/>
      <c r="R85" s="1014" t="s">
        <v>1421</v>
      </c>
      <c r="S85" s="1825">
        <v>18590000</v>
      </c>
      <c r="T85" s="1630">
        <v>20</v>
      </c>
      <c r="U85" s="1374" t="s">
        <v>275</v>
      </c>
      <c r="V85" s="3796"/>
      <c r="W85" s="3797"/>
      <c r="X85" s="3787"/>
      <c r="Y85" s="3703"/>
      <c r="Z85" s="3703"/>
      <c r="AA85" s="3703"/>
      <c r="AB85" s="3703"/>
      <c r="AC85" s="3703"/>
      <c r="AD85" s="3703"/>
      <c r="AE85" s="3703"/>
      <c r="AF85" s="3703"/>
      <c r="AG85" s="3703"/>
      <c r="AH85" s="3703"/>
      <c r="AI85" s="3703"/>
      <c r="AJ85" s="3703"/>
      <c r="AK85" s="3355"/>
      <c r="AL85" s="3098"/>
      <c r="AM85" s="3098"/>
      <c r="AN85" s="3205"/>
    </row>
    <row r="86" spans="1:40" ht="108" customHeight="1" x14ac:dyDescent="0.2">
      <c r="A86" s="984"/>
      <c r="B86" s="985"/>
      <c r="C86" s="424"/>
      <c r="D86" s="425"/>
      <c r="E86" s="424"/>
      <c r="F86" s="425"/>
      <c r="G86" s="3728"/>
      <c r="H86" s="3769"/>
      <c r="I86" s="3212"/>
      <c r="J86" s="3788"/>
      <c r="K86" s="3699"/>
      <c r="L86" s="3701"/>
      <c r="M86" s="3729"/>
      <c r="N86" s="2936"/>
      <c r="O86" s="3789"/>
      <c r="P86" s="3689"/>
      <c r="Q86" s="3204"/>
      <c r="R86" s="1014" t="s">
        <v>1422</v>
      </c>
      <c r="S86" s="1825">
        <v>30000000</v>
      </c>
      <c r="T86" s="1630">
        <v>20</v>
      </c>
      <c r="U86" s="1374" t="s">
        <v>275</v>
      </c>
      <c r="V86" s="3796"/>
      <c r="W86" s="3797"/>
      <c r="X86" s="3787"/>
      <c r="Y86" s="3703"/>
      <c r="Z86" s="3703"/>
      <c r="AA86" s="3703"/>
      <c r="AB86" s="3703"/>
      <c r="AC86" s="3703"/>
      <c r="AD86" s="3703"/>
      <c r="AE86" s="3703"/>
      <c r="AF86" s="3703"/>
      <c r="AG86" s="3703"/>
      <c r="AH86" s="3703"/>
      <c r="AI86" s="3703"/>
      <c r="AJ86" s="3703"/>
      <c r="AK86" s="3355"/>
      <c r="AL86" s="3098"/>
      <c r="AM86" s="3098"/>
      <c r="AN86" s="3205"/>
    </row>
    <row r="87" spans="1:40" ht="54" customHeight="1" x14ac:dyDescent="0.2">
      <c r="A87" s="984"/>
      <c r="B87" s="985"/>
      <c r="C87" s="424"/>
      <c r="D87" s="425"/>
      <c r="E87" s="424"/>
      <c r="F87" s="425"/>
      <c r="G87" s="3728"/>
      <c r="H87" s="3769"/>
      <c r="I87" s="3212"/>
      <c r="J87" s="3788"/>
      <c r="K87" s="3699"/>
      <c r="L87" s="3701"/>
      <c r="M87" s="3729"/>
      <c r="N87" s="2936"/>
      <c r="O87" s="3789"/>
      <c r="P87" s="3689"/>
      <c r="Q87" s="3205"/>
      <c r="R87" s="1014" t="s">
        <v>1423</v>
      </c>
      <c r="S87" s="1825">
        <v>15000000</v>
      </c>
      <c r="T87" s="1630">
        <v>20</v>
      </c>
      <c r="U87" s="1374" t="s">
        <v>275</v>
      </c>
      <c r="V87" s="3796"/>
      <c r="W87" s="3797"/>
      <c r="X87" s="3787"/>
      <c r="Y87" s="3703"/>
      <c r="Z87" s="3703"/>
      <c r="AA87" s="3703"/>
      <c r="AB87" s="3703"/>
      <c r="AC87" s="3703"/>
      <c r="AD87" s="3703"/>
      <c r="AE87" s="3703"/>
      <c r="AF87" s="3703"/>
      <c r="AG87" s="3703"/>
      <c r="AH87" s="3703"/>
      <c r="AI87" s="3703"/>
      <c r="AJ87" s="3703"/>
      <c r="AK87" s="3355"/>
      <c r="AL87" s="3098"/>
      <c r="AM87" s="3098"/>
      <c r="AN87" s="3205"/>
    </row>
    <row r="88" spans="1:40" ht="57" x14ac:dyDescent="0.2">
      <c r="A88" s="984"/>
      <c r="B88" s="985"/>
      <c r="C88" s="424"/>
      <c r="D88" s="425"/>
      <c r="E88" s="424"/>
      <c r="F88" s="425"/>
      <c r="G88" s="3728"/>
      <c r="H88" s="3769"/>
      <c r="I88" s="3212"/>
      <c r="J88" s="3788"/>
      <c r="K88" s="3699"/>
      <c r="L88" s="3701"/>
      <c r="M88" s="3729"/>
      <c r="N88" s="2936"/>
      <c r="O88" s="3789"/>
      <c r="P88" s="3689"/>
      <c r="Q88" s="2674" t="s">
        <v>1424</v>
      </c>
      <c r="R88" s="1409" t="s">
        <v>1425</v>
      </c>
      <c r="S88" s="1826">
        <f>200000000-100000000+25000000</f>
        <v>125000000</v>
      </c>
      <c r="T88" s="1630">
        <v>20</v>
      </c>
      <c r="U88" s="1374" t="s">
        <v>275</v>
      </c>
      <c r="V88" s="3796"/>
      <c r="W88" s="3797"/>
      <c r="X88" s="3787"/>
      <c r="Y88" s="3703"/>
      <c r="Z88" s="3703"/>
      <c r="AA88" s="3703"/>
      <c r="AB88" s="3703"/>
      <c r="AC88" s="3703"/>
      <c r="AD88" s="3703"/>
      <c r="AE88" s="3703"/>
      <c r="AF88" s="3703"/>
      <c r="AG88" s="3703"/>
      <c r="AH88" s="3703"/>
      <c r="AI88" s="3703"/>
      <c r="AJ88" s="3703"/>
      <c r="AK88" s="3355"/>
      <c r="AL88" s="3098"/>
      <c r="AM88" s="3098"/>
      <c r="AN88" s="3205"/>
    </row>
    <row r="89" spans="1:40" ht="85.5" x14ac:dyDescent="0.2">
      <c r="A89" s="984"/>
      <c r="B89" s="985"/>
      <c r="C89" s="424"/>
      <c r="D89" s="425"/>
      <c r="E89" s="424"/>
      <c r="F89" s="425"/>
      <c r="G89" s="3728"/>
      <c r="H89" s="3769"/>
      <c r="I89" s="3212"/>
      <c r="J89" s="3788"/>
      <c r="K89" s="3699"/>
      <c r="L89" s="3701"/>
      <c r="M89" s="3729"/>
      <c r="N89" s="2936"/>
      <c r="O89" s="3789"/>
      <c r="P89" s="3689"/>
      <c r="Q89" s="2674"/>
      <c r="R89" s="1409" t="s">
        <v>1426</v>
      </c>
      <c r="S89" s="1826">
        <v>50000000</v>
      </c>
      <c r="T89" s="1630">
        <v>20</v>
      </c>
      <c r="U89" s="1374" t="s">
        <v>275</v>
      </c>
      <c r="V89" s="3796"/>
      <c r="W89" s="3797"/>
      <c r="X89" s="3787"/>
      <c r="Y89" s="3703"/>
      <c r="Z89" s="3703"/>
      <c r="AA89" s="3703"/>
      <c r="AB89" s="3703"/>
      <c r="AC89" s="3703"/>
      <c r="AD89" s="3703"/>
      <c r="AE89" s="3703"/>
      <c r="AF89" s="3703"/>
      <c r="AG89" s="3703"/>
      <c r="AH89" s="3703"/>
      <c r="AI89" s="3703"/>
      <c r="AJ89" s="3703"/>
      <c r="AK89" s="3355"/>
      <c r="AL89" s="3098"/>
      <c r="AM89" s="3098"/>
      <c r="AN89" s="3205"/>
    </row>
    <row r="90" spans="1:40" ht="78.75" customHeight="1" x14ac:dyDescent="0.2">
      <c r="A90" s="984"/>
      <c r="B90" s="985"/>
      <c r="C90" s="424"/>
      <c r="D90" s="425"/>
      <c r="E90" s="424"/>
      <c r="F90" s="425"/>
      <c r="G90" s="3728"/>
      <c r="H90" s="3769"/>
      <c r="I90" s="3212"/>
      <c r="J90" s="3788"/>
      <c r="K90" s="3699"/>
      <c r="L90" s="3701"/>
      <c r="M90" s="3769"/>
      <c r="N90" s="2936"/>
      <c r="O90" s="3790"/>
      <c r="P90" s="3689"/>
      <c r="Q90" s="2674"/>
      <c r="R90" s="1409" t="s">
        <v>1427</v>
      </c>
      <c r="S90" s="1826">
        <f>150000000-25000000+89175600</f>
        <v>214175600</v>
      </c>
      <c r="T90" s="1630">
        <v>20</v>
      </c>
      <c r="U90" s="1374" t="s">
        <v>275</v>
      </c>
      <c r="V90" s="3796"/>
      <c r="W90" s="3797"/>
      <c r="X90" s="3787"/>
      <c r="Y90" s="3703"/>
      <c r="Z90" s="3703"/>
      <c r="AA90" s="3703"/>
      <c r="AB90" s="3703"/>
      <c r="AC90" s="3703"/>
      <c r="AD90" s="3703"/>
      <c r="AE90" s="3703"/>
      <c r="AF90" s="3703"/>
      <c r="AG90" s="3703"/>
      <c r="AH90" s="3703"/>
      <c r="AI90" s="3703"/>
      <c r="AJ90" s="3703"/>
      <c r="AK90" s="3355"/>
      <c r="AL90" s="3393"/>
      <c r="AM90" s="3393"/>
      <c r="AN90" s="2674"/>
    </row>
    <row r="91" spans="1:40" ht="48.75" customHeight="1" x14ac:dyDescent="0.2">
      <c r="A91" s="984"/>
      <c r="B91" s="985"/>
      <c r="C91" s="424"/>
      <c r="D91" s="425"/>
      <c r="E91" s="424"/>
      <c r="F91" s="425"/>
      <c r="G91" s="3728"/>
      <c r="H91" s="3769"/>
      <c r="I91" s="3212"/>
      <c r="J91" s="3788"/>
      <c r="K91" s="3699"/>
      <c r="L91" s="3701"/>
      <c r="M91" s="3769"/>
      <c r="N91" s="2936"/>
      <c r="O91" s="3790"/>
      <c r="P91" s="3689"/>
      <c r="Q91" s="2674"/>
      <c r="R91" s="1014" t="s">
        <v>1428</v>
      </c>
      <c r="S91" s="1826">
        <v>50000000</v>
      </c>
      <c r="T91" s="1630">
        <v>20</v>
      </c>
      <c r="U91" s="1374" t="s">
        <v>275</v>
      </c>
      <c r="V91" s="3796"/>
      <c r="W91" s="3797"/>
      <c r="X91" s="3787"/>
      <c r="Y91" s="3703"/>
      <c r="Z91" s="3703"/>
      <c r="AA91" s="3703"/>
      <c r="AB91" s="3703"/>
      <c r="AC91" s="3703"/>
      <c r="AD91" s="3703"/>
      <c r="AE91" s="3703"/>
      <c r="AF91" s="3703"/>
      <c r="AG91" s="3703"/>
      <c r="AH91" s="3703"/>
      <c r="AI91" s="3703"/>
      <c r="AJ91" s="3703"/>
      <c r="AK91" s="3355"/>
      <c r="AL91" s="3393"/>
      <c r="AM91" s="3393"/>
      <c r="AN91" s="2674"/>
    </row>
    <row r="92" spans="1:40" ht="28.5" customHeight="1" x14ac:dyDescent="0.2">
      <c r="A92" s="984"/>
      <c r="B92" s="985"/>
      <c r="C92" s="424"/>
      <c r="D92" s="425"/>
      <c r="E92" s="424"/>
      <c r="F92" s="425"/>
      <c r="G92" s="3728"/>
      <c r="H92" s="3769"/>
      <c r="I92" s="3212"/>
      <c r="J92" s="3788"/>
      <c r="K92" s="3699"/>
      <c r="L92" s="3701"/>
      <c r="M92" s="3769"/>
      <c r="N92" s="2936"/>
      <c r="O92" s="3790"/>
      <c r="P92" s="3689"/>
      <c r="Q92" s="2674"/>
      <c r="R92" s="1014" t="s">
        <v>1429</v>
      </c>
      <c r="S92" s="1826">
        <f>30000000+30000000</f>
        <v>60000000</v>
      </c>
      <c r="T92" s="1630">
        <v>20</v>
      </c>
      <c r="U92" s="1374" t="s">
        <v>275</v>
      </c>
      <c r="V92" s="3796"/>
      <c r="W92" s="3797"/>
      <c r="X92" s="3787"/>
      <c r="Y92" s="3703"/>
      <c r="Z92" s="3703"/>
      <c r="AA92" s="3703"/>
      <c r="AB92" s="3703"/>
      <c r="AC92" s="3703"/>
      <c r="AD92" s="3703"/>
      <c r="AE92" s="3703"/>
      <c r="AF92" s="3703"/>
      <c r="AG92" s="3703"/>
      <c r="AH92" s="3703"/>
      <c r="AI92" s="3703"/>
      <c r="AJ92" s="3703"/>
      <c r="AK92" s="3355"/>
      <c r="AL92" s="3393"/>
      <c r="AM92" s="3393"/>
      <c r="AN92" s="2674"/>
    </row>
    <row r="93" spans="1:40" ht="51" customHeight="1" x14ac:dyDescent="0.2">
      <c r="A93" s="984"/>
      <c r="B93" s="985"/>
      <c r="C93" s="424"/>
      <c r="D93" s="425"/>
      <c r="E93" s="424"/>
      <c r="F93" s="425"/>
      <c r="G93" s="3728"/>
      <c r="H93" s="3769"/>
      <c r="I93" s="3212"/>
      <c r="J93" s="3788"/>
      <c r="K93" s="3699"/>
      <c r="L93" s="3701"/>
      <c r="M93" s="3769"/>
      <c r="N93" s="2936"/>
      <c r="O93" s="3790"/>
      <c r="P93" s="3689"/>
      <c r="Q93" s="2674"/>
      <c r="R93" s="1014" t="s">
        <v>1430</v>
      </c>
      <c r="S93" s="1826">
        <v>20000000</v>
      </c>
      <c r="T93" s="1630">
        <v>20</v>
      </c>
      <c r="U93" s="1374" t="s">
        <v>275</v>
      </c>
      <c r="V93" s="3452"/>
      <c r="W93" s="3453"/>
      <c r="X93" s="3787"/>
      <c r="Y93" s="3703"/>
      <c r="Z93" s="3703"/>
      <c r="AA93" s="3703"/>
      <c r="AB93" s="3703"/>
      <c r="AC93" s="3703"/>
      <c r="AD93" s="3703"/>
      <c r="AE93" s="3703"/>
      <c r="AF93" s="3703"/>
      <c r="AG93" s="3703"/>
      <c r="AH93" s="3703"/>
      <c r="AI93" s="3703"/>
      <c r="AJ93" s="3703"/>
      <c r="AK93" s="3355"/>
      <c r="AL93" s="3393"/>
      <c r="AM93" s="3393"/>
      <c r="AN93" s="2674"/>
    </row>
    <row r="94" spans="1:40" ht="66" customHeight="1" x14ac:dyDescent="0.2">
      <c r="A94" s="984"/>
      <c r="B94" s="985"/>
      <c r="C94" s="424"/>
      <c r="D94" s="425"/>
      <c r="E94" s="424"/>
      <c r="F94" s="425"/>
      <c r="G94" s="3728">
        <v>192</v>
      </c>
      <c r="H94" s="3704" t="s">
        <v>1431</v>
      </c>
      <c r="I94" s="3696" t="s">
        <v>1432</v>
      </c>
      <c r="J94" s="3731">
        <v>1</v>
      </c>
      <c r="K94" s="3698" t="s">
        <v>1433</v>
      </c>
      <c r="L94" s="3700" t="s">
        <v>1434</v>
      </c>
      <c r="M94" s="3704" t="s">
        <v>1435</v>
      </c>
      <c r="N94" s="2943">
        <f>SUM(S94:S97)/O94</f>
        <v>1</v>
      </c>
      <c r="O94" s="3757">
        <f>SUM(S94:S97)</f>
        <v>79500000</v>
      </c>
      <c r="P94" s="3769" t="s">
        <v>1436</v>
      </c>
      <c r="Q94" s="3203" t="s">
        <v>1437</v>
      </c>
      <c r="R94" s="1014" t="s">
        <v>1438</v>
      </c>
      <c r="S94" s="1811">
        <v>44500000</v>
      </c>
      <c r="T94" s="1630">
        <v>20</v>
      </c>
      <c r="U94" s="1374" t="s">
        <v>275</v>
      </c>
      <c r="V94" s="3791">
        <v>701</v>
      </c>
      <c r="W94" s="3793">
        <v>877</v>
      </c>
      <c r="X94" s="3702"/>
      <c r="Y94" s="3702"/>
      <c r="Z94" s="3702"/>
      <c r="AA94" s="3702"/>
      <c r="AB94" s="3702"/>
      <c r="AC94" s="3702"/>
      <c r="AD94" s="3702"/>
      <c r="AE94" s="3702"/>
      <c r="AF94" s="3702"/>
      <c r="AG94" s="3702"/>
      <c r="AH94" s="3702"/>
      <c r="AI94" s="3702"/>
      <c r="AJ94" s="3702"/>
      <c r="AK94" s="3710">
        <f>SUM(V94:AJ97)</f>
        <v>1578</v>
      </c>
      <c r="AL94" s="3688">
        <v>43467</v>
      </c>
      <c r="AM94" s="3688">
        <v>43830</v>
      </c>
      <c r="AN94" s="3204" t="s">
        <v>1296</v>
      </c>
    </row>
    <row r="95" spans="1:40" ht="52.5" customHeight="1" x14ac:dyDescent="0.2">
      <c r="A95" s="984"/>
      <c r="B95" s="985"/>
      <c r="C95" s="424"/>
      <c r="D95" s="425"/>
      <c r="E95" s="424"/>
      <c r="F95" s="425"/>
      <c r="G95" s="3728"/>
      <c r="H95" s="3689"/>
      <c r="I95" s="3697"/>
      <c r="J95" s="3731"/>
      <c r="K95" s="3699"/>
      <c r="L95" s="3701"/>
      <c r="M95" s="3689"/>
      <c r="N95" s="2943"/>
      <c r="O95" s="3757"/>
      <c r="P95" s="3769"/>
      <c r="Q95" s="3204"/>
      <c r="R95" s="1014" t="s">
        <v>1439</v>
      </c>
      <c r="S95" s="1811">
        <v>0</v>
      </c>
      <c r="T95" s="1630">
        <v>20</v>
      </c>
      <c r="U95" s="1374" t="s">
        <v>275</v>
      </c>
      <c r="V95" s="3791"/>
      <c r="W95" s="3794"/>
      <c r="X95" s="3703"/>
      <c r="Y95" s="3703"/>
      <c r="Z95" s="3703"/>
      <c r="AA95" s="3703"/>
      <c r="AB95" s="3703"/>
      <c r="AC95" s="3703"/>
      <c r="AD95" s="3703"/>
      <c r="AE95" s="3703"/>
      <c r="AF95" s="3703"/>
      <c r="AG95" s="3703"/>
      <c r="AH95" s="3703"/>
      <c r="AI95" s="3703"/>
      <c r="AJ95" s="3703"/>
      <c r="AK95" s="3711"/>
      <c r="AL95" s="3688"/>
      <c r="AM95" s="3688"/>
      <c r="AN95" s="3204"/>
    </row>
    <row r="96" spans="1:40" ht="43.5" customHeight="1" x14ac:dyDescent="0.2">
      <c r="A96" s="984"/>
      <c r="B96" s="985"/>
      <c r="C96" s="424"/>
      <c r="D96" s="425"/>
      <c r="E96" s="424"/>
      <c r="F96" s="425"/>
      <c r="G96" s="3728"/>
      <c r="H96" s="3689"/>
      <c r="I96" s="3697"/>
      <c r="J96" s="3731"/>
      <c r="K96" s="3699"/>
      <c r="L96" s="3701"/>
      <c r="M96" s="3689"/>
      <c r="N96" s="2943"/>
      <c r="O96" s="3757"/>
      <c r="P96" s="3769"/>
      <c r="Q96" s="3204"/>
      <c r="R96" s="1015" t="s">
        <v>1440</v>
      </c>
      <c r="S96" s="1811">
        <v>0</v>
      </c>
      <c r="T96" s="1630">
        <v>20</v>
      </c>
      <c r="U96" s="1374" t="s">
        <v>275</v>
      </c>
      <c r="V96" s="3791"/>
      <c r="W96" s="3794"/>
      <c r="X96" s="3703"/>
      <c r="Y96" s="3703"/>
      <c r="Z96" s="3703"/>
      <c r="AA96" s="3703"/>
      <c r="AB96" s="3703"/>
      <c r="AC96" s="3703"/>
      <c r="AD96" s="3703"/>
      <c r="AE96" s="3703"/>
      <c r="AF96" s="3703"/>
      <c r="AG96" s="3703"/>
      <c r="AH96" s="3703"/>
      <c r="AI96" s="3703"/>
      <c r="AJ96" s="3703"/>
      <c r="AK96" s="3711"/>
      <c r="AL96" s="3688"/>
      <c r="AM96" s="3688"/>
      <c r="AN96" s="3204"/>
    </row>
    <row r="97" spans="1:40" ht="49.5" customHeight="1" x14ac:dyDescent="0.2">
      <c r="A97" s="984"/>
      <c r="B97" s="985"/>
      <c r="C97" s="424"/>
      <c r="D97" s="425"/>
      <c r="E97" s="435"/>
      <c r="F97" s="425"/>
      <c r="G97" s="3728"/>
      <c r="H97" s="3729"/>
      <c r="I97" s="3730"/>
      <c r="J97" s="3731"/>
      <c r="K97" s="3732"/>
      <c r="L97" s="3733"/>
      <c r="M97" s="3729"/>
      <c r="N97" s="2943"/>
      <c r="O97" s="3757"/>
      <c r="P97" s="3769"/>
      <c r="Q97" s="3205"/>
      <c r="R97" s="1527" t="s">
        <v>1441</v>
      </c>
      <c r="S97" s="1811">
        <v>35000000</v>
      </c>
      <c r="T97" s="1630">
        <v>20</v>
      </c>
      <c r="U97" s="1374" t="s">
        <v>275</v>
      </c>
      <c r="V97" s="3792"/>
      <c r="W97" s="3795"/>
      <c r="X97" s="3703"/>
      <c r="Y97" s="3703"/>
      <c r="Z97" s="3703"/>
      <c r="AA97" s="3703"/>
      <c r="AB97" s="3703"/>
      <c r="AC97" s="3703"/>
      <c r="AD97" s="3703"/>
      <c r="AE97" s="3703"/>
      <c r="AF97" s="3703"/>
      <c r="AG97" s="3703"/>
      <c r="AH97" s="3703"/>
      <c r="AI97" s="3703"/>
      <c r="AJ97" s="3703"/>
      <c r="AK97" s="3355"/>
      <c r="AL97" s="3393"/>
      <c r="AM97" s="3393"/>
      <c r="AN97" s="3204"/>
    </row>
    <row r="98" spans="1:40" ht="15" x14ac:dyDescent="0.2">
      <c r="A98" s="984"/>
      <c r="B98" s="985"/>
      <c r="C98" s="424"/>
      <c r="D98" s="425"/>
      <c r="E98" s="1016">
        <v>63</v>
      </c>
      <c r="F98" s="1017" t="s">
        <v>1442</v>
      </c>
      <c r="G98" s="1018"/>
      <c r="H98" s="1217"/>
      <c r="I98" s="1217"/>
      <c r="J98" s="1018"/>
      <c r="K98" s="1018"/>
      <c r="L98" s="1018"/>
      <c r="M98" s="1019"/>
      <c r="N98" s="1018"/>
      <c r="O98" s="1018"/>
      <c r="P98" s="1217"/>
      <c r="Q98" s="1217"/>
      <c r="R98" s="1217"/>
      <c r="S98" s="1827"/>
      <c r="T98" s="1020"/>
      <c r="U98" s="1019"/>
      <c r="V98" s="1018"/>
      <c r="W98" s="1018"/>
      <c r="X98" s="1018"/>
      <c r="Y98" s="1018"/>
      <c r="Z98" s="1018"/>
      <c r="AA98" s="1018"/>
      <c r="AB98" s="1018"/>
      <c r="AC98" s="1018"/>
      <c r="AD98" s="1018"/>
      <c r="AE98" s="1018"/>
      <c r="AF98" s="1018"/>
      <c r="AG98" s="1018"/>
      <c r="AH98" s="1018"/>
      <c r="AI98" s="1018"/>
      <c r="AJ98" s="1018"/>
      <c r="AK98" s="1018"/>
      <c r="AL98" s="1018"/>
      <c r="AM98" s="1018"/>
      <c r="AN98" s="1021"/>
    </row>
    <row r="99" spans="1:40" ht="72" customHeight="1" x14ac:dyDescent="0.2">
      <c r="A99" s="984"/>
      <c r="B99" s="985"/>
      <c r="C99" s="424"/>
      <c r="D99" s="425"/>
      <c r="E99" s="413"/>
      <c r="F99" s="425"/>
      <c r="G99" s="3798">
        <v>193</v>
      </c>
      <c r="H99" s="3697" t="s">
        <v>1443</v>
      </c>
      <c r="I99" s="3697" t="s">
        <v>1444</v>
      </c>
      <c r="J99" s="3800">
        <v>1</v>
      </c>
      <c r="K99" s="3698" t="s">
        <v>1445</v>
      </c>
      <c r="L99" s="3701" t="s">
        <v>1446</v>
      </c>
      <c r="M99" s="3370" t="s">
        <v>1447</v>
      </c>
      <c r="N99" s="2943">
        <f>SUM(S99:S101)/O99</f>
        <v>1</v>
      </c>
      <c r="O99" s="3742">
        <f>SUM(S99:S101)</f>
        <v>29800000</v>
      </c>
      <c r="P99" s="3769" t="s">
        <v>1448</v>
      </c>
      <c r="Q99" s="3203" t="s">
        <v>1449</v>
      </c>
      <c r="R99" s="1015" t="s">
        <v>1450</v>
      </c>
      <c r="S99" s="1816">
        <v>7450000</v>
      </c>
      <c r="T99" s="1630">
        <v>20</v>
      </c>
      <c r="U99" s="1374" t="s">
        <v>275</v>
      </c>
      <c r="V99" s="3450">
        <v>32</v>
      </c>
      <c r="W99" s="3451"/>
      <c r="X99" s="3801"/>
      <c r="Y99" s="3801"/>
      <c r="Z99" s="3801"/>
      <c r="AA99" s="3801"/>
      <c r="AB99" s="3793">
        <v>32</v>
      </c>
      <c r="AC99" s="3801"/>
      <c r="AD99" s="3719"/>
      <c r="AE99" s="3719"/>
      <c r="AF99" s="3719"/>
      <c r="AG99" s="3719"/>
      <c r="AH99" s="3702"/>
      <c r="AI99" s="3702"/>
      <c r="AJ99" s="3702"/>
      <c r="AK99" s="3710">
        <f>SUM(X99:AH101)</f>
        <v>32</v>
      </c>
      <c r="AL99" s="3096">
        <v>43467</v>
      </c>
      <c r="AM99" s="3096" t="s">
        <v>1451</v>
      </c>
      <c r="AN99" s="3204" t="s">
        <v>1296</v>
      </c>
    </row>
    <row r="100" spans="1:40" ht="72" customHeight="1" x14ac:dyDescent="0.2">
      <c r="A100" s="984"/>
      <c r="B100" s="985"/>
      <c r="C100" s="424"/>
      <c r="D100" s="425"/>
      <c r="E100" s="424"/>
      <c r="F100" s="425"/>
      <c r="G100" s="3798"/>
      <c r="H100" s="3697"/>
      <c r="I100" s="3697"/>
      <c r="J100" s="3800"/>
      <c r="K100" s="3699"/>
      <c r="L100" s="3701"/>
      <c r="M100" s="3370"/>
      <c r="N100" s="2943"/>
      <c r="O100" s="3742"/>
      <c r="P100" s="3769"/>
      <c r="Q100" s="3205"/>
      <c r="R100" s="1015" t="s">
        <v>1452</v>
      </c>
      <c r="S100" s="1816">
        <v>7450000</v>
      </c>
      <c r="T100" s="1630">
        <v>20</v>
      </c>
      <c r="U100" s="1374" t="s">
        <v>275</v>
      </c>
      <c r="V100" s="3796"/>
      <c r="W100" s="3797"/>
      <c r="X100" s="3802"/>
      <c r="Y100" s="3802"/>
      <c r="Z100" s="3802"/>
      <c r="AA100" s="3802"/>
      <c r="AB100" s="3794"/>
      <c r="AC100" s="3802"/>
      <c r="AD100" s="3720"/>
      <c r="AE100" s="3720"/>
      <c r="AF100" s="3720"/>
      <c r="AG100" s="3720"/>
      <c r="AH100" s="3703"/>
      <c r="AI100" s="3703"/>
      <c r="AJ100" s="3703"/>
      <c r="AK100" s="3711"/>
      <c r="AL100" s="3097"/>
      <c r="AM100" s="3097"/>
      <c r="AN100" s="3204"/>
    </row>
    <row r="101" spans="1:40" ht="63.75" customHeight="1" x14ac:dyDescent="0.2">
      <c r="A101" s="984"/>
      <c r="B101" s="985"/>
      <c r="C101" s="424"/>
      <c r="D101" s="425"/>
      <c r="E101" s="424"/>
      <c r="F101" s="425"/>
      <c r="G101" s="3799"/>
      <c r="H101" s="3730"/>
      <c r="I101" s="3730"/>
      <c r="J101" s="3788"/>
      <c r="K101" s="3732"/>
      <c r="L101" s="3733"/>
      <c r="M101" s="3371"/>
      <c r="N101" s="2943"/>
      <c r="O101" s="3757"/>
      <c r="P101" s="3769"/>
      <c r="Q101" s="1443" t="s">
        <v>1453</v>
      </c>
      <c r="R101" s="1015" t="s">
        <v>1454</v>
      </c>
      <c r="S101" s="1818">
        <v>14900000</v>
      </c>
      <c r="T101" s="1630">
        <v>20</v>
      </c>
      <c r="U101" s="1374" t="s">
        <v>275</v>
      </c>
      <c r="V101" s="3452"/>
      <c r="W101" s="3453"/>
      <c r="X101" s="3803"/>
      <c r="Y101" s="3803"/>
      <c r="Z101" s="3803"/>
      <c r="AA101" s="3803"/>
      <c r="AB101" s="3795"/>
      <c r="AC101" s="3803"/>
      <c r="AD101" s="3721"/>
      <c r="AE101" s="3721"/>
      <c r="AF101" s="3721"/>
      <c r="AG101" s="3721"/>
      <c r="AH101" s="3703"/>
      <c r="AI101" s="3703"/>
      <c r="AJ101" s="3703"/>
      <c r="AK101" s="3355"/>
      <c r="AL101" s="3098"/>
      <c r="AM101" s="3098"/>
      <c r="AN101" s="3204"/>
    </row>
    <row r="102" spans="1:40" ht="60" customHeight="1" x14ac:dyDescent="0.2">
      <c r="A102" s="984"/>
      <c r="B102" s="985"/>
      <c r="C102" s="424"/>
      <c r="D102" s="425"/>
      <c r="E102" s="424"/>
      <c r="F102" s="425"/>
      <c r="G102" s="3804">
        <v>194</v>
      </c>
      <c r="H102" s="3696" t="s">
        <v>1455</v>
      </c>
      <c r="I102" s="3805" t="s">
        <v>1456</v>
      </c>
      <c r="J102" s="3788">
        <v>1</v>
      </c>
      <c r="K102" s="3698" t="s">
        <v>1457</v>
      </c>
      <c r="L102" s="3700" t="s">
        <v>1458</v>
      </c>
      <c r="M102" s="3704" t="s">
        <v>1459</v>
      </c>
      <c r="N102" s="2943">
        <f>SUM(S102:S103)/O102</f>
        <v>1</v>
      </c>
      <c r="O102" s="3757">
        <f>SUM(S102:S103)</f>
        <v>69560000</v>
      </c>
      <c r="P102" s="3704" t="s">
        <v>1460</v>
      </c>
      <c r="Q102" s="1443" t="s">
        <v>1461</v>
      </c>
      <c r="R102" s="1015" t="s">
        <v>1462</v>
      </c>
      <c r="S102" s="1828">
        <v>64560000</v>
      </c>
      <c r="T102" s="1630">
        <v>20</v>
      </c>
      <c r="U102" s="1374" t="s">
        <v>275</v>
      </c>
      <c r="V102" s="3450">
        <v>909</v>
      </c>
      <c r="W102" s="3451"/>
      <c r="X102" s="3702"/>
      <c r="Y102" s="3702"/>
      <c r="Z102" s="3702"/>
      <c r="AA102" s="3702"/>
      <c r="AB102" s="3354">
        <v>909</v>
      </c>
      <c r="AC102" s="3702"/>
      <c r="AD102" s="3702"/>
      <c r="AE102" s="3702"/>
      <c r="AF102" s="3702"/>
      <c r="AG102" s="3702"/>
      <c r="AH102" s="3702"/>
      <c r="AI102" s="3702"/>
      <c r="AJ102" s="3702"/>
      <c r="AK102" s="3354">
        <f>SUM(AB102:AJ103)</f>
        <v>909</v>
      </c>
      <c r="AL102" s="3096">
        <v>43467</v>
      </c>
      <c r="AM102" s="3096">
        <v>43830</v>
      </c>
      <c r="AN102" s="2674" t="s">
        <v>1296</v>
      </c>
    </row>
    <row r="103" spans="1:40" ht="52.5" customHeight="1" x14ac:dyDescent="0.2">
      <c r="A103" s="984"/>
      <c r="B103" s="985"/>
      <c r="C103" s="424"/>
      <c r="D103" s="425"/>
      <c r="E103" s="424"/>
      <c r="F103" s="425"/>
      <c r="G103" s="3798"/>
      <c r="H103" s="3697"/>
      <c r="I103" s="3805"/>
      <c r="J103" s="3788"/>
      <c r="K103" s="3732"/>
      <c r="L103" s="3701"/>
      <c r="M103" s="3689"/>
      <c r="N103" s="2943"/>
      <c r="O103" s="3757"/>
      <c r="P103" s="3729"/>
      <c r="Q103" s="1525" t="s">
        <v>1463</v>
      </c>
      <c r="R103" s="1015" t="s">
        <v>1464</v>
      </c>
      <c r="S103" s="1811">
        <v>5000000</v>
      </c>
      <c r="T103" s="1630">
        <v>20</v>
      </c>
      <c r="U103" s="1374" t="s">
        <v>275</v>
      </c>
      <c r="V103" s="3452"/>
      <c r="W103" s="3453"/>
      <c r="X103" s="3703"/>
      <c r="Y103" s="3703"/>
      <c r="Z103" s="3703"/>
      <c r="AA103" s="3703"/>
      <c r="AB103" s="3355"/>
      <c r="AC103" s="3703"/>
      <c r="AD103" s="3703"/>
      <c r="AE103" s="3703"/>
      <c r="AF103" s="3703"/>
      <c r="AG103" s="3703"/>
      <c r="AH103" s="3703"/>
      <c r="AI103" s="3703"/>
      <c r="AJ103" s="3703"/>
      <c r="AK103" s="3355"/>
      <c r="AL103" s="3097"/>
      <c r="AM103" s="3097"/>
      <c r="AN103" s="2674"/>
    </row>
    <row r="104" spans="1:40" ht="15" x14ac:dyDescent="0.2">
      <c r="A104" s="984"/>
      <c r="B104" s="985"/>
      <c r="C104" s="424"/>
      <c r="D104" s="425"/>
      <c r="E104" s="876">
        <v>64</v>
      </c>
      <c r="F104" s="1022" t="s">
        <v>1465</v>
      </c>
      <c r="G104" s="1023"/>
      <c r="H104" s="1217"/>
      <c r="I104" s="1217"/>
      <c r="J104" s="1023"/>
      <c r="K104" s="1023"/>
      <c r="L104" s="1023"/>
      <c r="M104" s="1019"/>
      <c r="N104" s="1023"/>
      <c r="O104" s="1023"/>
      <c r="P104" s="1217"/>
      <c r="Q104" s="1217"/>
      <c r="R104" s="1217"/>
      <c r="S104" s="1829"/>
      <c r="T104" s="1020"/>
      <c r="U104" s="1019"/>
      <c r="V104" s="1023"/>
      <c r="W104" s="1023"/>
      <c r="X104" s="1023"/>
      <c r="Y104" s="1023"/>
      <c r="Z104" s="1023"/>
      <c r="AA104" s="1023"/>
      <c r="AB104" s="1023"/>
      <c r="AC104" s="1023"/>
      <c r="AD104" s="1023"/>
      <c r="AE104" s="1023"/>
      <c r="AF104" s="1023"/>
      <c r="AG104" s="1023"/>
      <c r="AH104" s="1023"/>
      <c r="AI104" s="1023"/>
      <c r="AJ104" s="1023"/>
      <c r="AK104" s="1023"/>
      <c r="AL104" s="1023"/>
      <c r="AM104" s="1023"/>
      <c r="AN104" s="1021"/>
    </row>
    <row r="105" spans="1:40" ht="39" customHeight="1" x14ac:dyDescent="0.2">
      <c r="A105" s="984"/>
      <c r="B105" s="985"/>
      <c r="C105" s="424"/>
      <c r="D105" s="425"/>
      <c r="E105" s="992"/>
      <c r="F105" s="985"/>
      <c r="G105" s="3804">
        <v>195</v>
      </c>
      <c r="H105" s="3696" t="s">
        <v>1466</v>
      </c>
      <c r="I105" s="3806" t="s">
        <v>1467</v>
      </c>
      <c r="J105" s="3213">
        <v>1</v>
      </c>
      <c r="K105" s="3698" t="s">
        <v>1468</v>
      </c>
      <c r="L105" s="3700" t="s">
        <v>1469</v>
      </c>
      <c r="M105" s="3809" t="s">
        <v>1470</v>
      </c>
      <c r="N105" s="2943">
        <f>SUM(S105:S107)/O105</f>
        <v>1</v>
      </c>
      <c r="O105" s="3757">
        <f>SUM(S105:S107)</f>
        <v>100000000</v>
      </c>
      <c r="P105" s="3704" t="s">
        <v>1471</v>
      </c>
      <c r="Q105" s="2674" t="s">
        <v>1472</v>
      </c>
      <c r="R105" s="1527" t="s">
        <v>1473</v>
      </c>
      <c r="S105" s="1811">
        <v>40000000</v>
      </c>
      <c r="T105" s="1630">
        <v>20</v>
      </c>
      <c r="U105" s="1374" t="s">
        <v>275</v>
      </c>
      <c r="V105" s="3450">
        <v>7250</v>
      </c>
      <c r="W105" s="3451"/>
      <c r="X105" s="3702"/>
      <c r="Y105" s="3702"/>
      <c r="Z105" s="3702"/>
      <c r="AA105" s="3702"/>
      <c r="AB105" s="3702"/>
      <c r="AC105" s="3354">
        <v>7250</v>
      </c>
      <c r="AD105" s="3702"/>
      <c r="AE105" s="3702"/>
      <c r="AF105" s="3702"/>
      <c r="AG105" s="3702"/>
      <c r="AH105" s="3702"/>
      <c r="AI105" s="3702"/>
      <c r="AJ105" s="3702"/>
      <c r="AK105" s="3354">
        <f>SUM(AC105:AJ107)</f>
        <v>7250</v>
      </c>
      <c r="AL105" s="3712">
        <v>43467</v>
      </c>
      <c r="AM105" s="3096">
        <v>43830</v>
      </c>
      <c r="AN105" s="2674" t="s">
        <v>1296</v>
      </c>
    </row>
    <row r="106" spans="1:40" ht="63.75" customHeight="1" x14ac:dyDescent="0.2">
      <c r="A106" s="984"/>
      <c r="B106" s="985"/>
      <c r="C106" s="424"/>
      <c r="D106" s="425"/>
      <c r="E106" s="992"/>
      <c r="F106" s="985"/>
      <c r="G106" s="3798"/>
      <c r="H106" s="3697"/>
      <c r="I106" s="3807"/>
      <c r="J106" s="3213"/>
      <c r="K106" s="3699"/>
      <c r="L106" s="3701"/>
      <c r="M106" s="3370"/>
      <c r="N106" s="2943"/>
      <c r="O106" s="3757"/>
      <c r="P106" s="3689"/>
      <c r="Q106" s="2674"/>
      <c r="R106" s="1527" t="s">
        <v>1474</v>
      </c>
      <c r="S106" s="1811">
        <v>55000000</v>
      </c>
      <c r="T106" s="1630">
        <v>20</v>
      </c>
      <c r="U106" s="1374" t="s">
        <v>275</v>
      </c>
      <c r="V106" s="3796"/>
      <c r="W106" s="3797"/>
      <c r="X106" s="3703"/>
      <c r="Y106" s="3703"/>
      <c r="Z106" s="3703"/>
      <c r="AA106" s="3703"/>
      <c r="AB106" s="3703"/>
      <c r="AC106" s="3355"/>
      <c r="AD106" s="3703"/>
      <c r="AE106" s="3703"/>
      <c r="AF106" s="3703"/>
      <c r="AG106" s="3703"/>
      <c r="AH106" s="3703"/>
      <c r="AI106" s="3703"/>
      <c r="AJ106" s="3703"/>
      <c r="AK106" s="3355"/>
      <c r="AL106" s="3713"/>
      <c r="AM106" s="3097"/>
      <c r="AN106" s="2674"/>
    </row>
    <row r="107" spans="1:40" ht="74.25" customHeight="1" x14ac:dyDescent="0.2">
      <c r="A107" s="984"/>
      <c r="B107" s="985"/>
      <c r="C107" s="424"/>
      <c r="D107" s="425"/>
      <c r="E107" s="998"/>
      <c r="F107" s="999"/>
      <c r="G107" s="3799"/>
      <c r="H107" s="3730"/>
      <c r="I107" s="3808"/>
      <c r="J107" s="3213"/>
      <c r="K107" s="3732"/>
      <c r="L107" s="3733"/>
      <c r="M107" s="3371"/>
      <c r="N107" s="2943"/>
      <c r="O107" s="3757"/>
      <c r="P107" s="3729"/>
      <c r="Q107" s="1525" t="s">
        <v>1475</v>
      </c>
      <c r="R107" s="1527" t="s">
        <v>1476</v>
      </c>
      <c r="S107" s="1811">
        <v>5000000</v>
      </c>
      <c r="T107" s="1630">
        <v>20</v>
      </c>
      <c r="U107" s="1374" t="s">
        <v>275</v>
      </c>
      <c r="V107" s="3452"/>
      <c r="W107" s="3453"/>
      <c r="X107" s="3703"/>
      <c r="Y107" s="3703"/>
      <c r="Z107" s="3703"/>
      <c r="AA107" s="3703"/>
      <c r="AB107" s="3703"/>
      <c r="AC107" s="3355"/>
      <c r="AD107" s="3703"/>
      <c r="AE107" s="3703"/>
      <c r="AF107" s="3703"/>
      <c r="AG107" s="3703"/>
      <c r="AH107" s="3703"/>
      <c r="AI107" s="3703"/>
      <c r="AJ107" s="3703"/>
      <c r="AK107" s="3355"/>
      <c r="AL107" s="3714"/>
      <c r="AM107" s="3098"/>
      <c r="AN107" s="2674"/>
    </row>
    <row r="108" spans="1:40" ht="15" x14ac:dyDescent="0.2">
      <c r="A108" s="984"/>
      <c r="B108" s="985"/>
      <c r="C108" s="424"/>
      <c r="D108" s="425"/>
      <c r="E108" s="1010">
        <v>65</v>
      </c>
      <c r="F108" s="1017" t="s">
        <v>1477</v>
      </c>
      <c r="G108" s="1018"/>
      <c r="H108" s="1217"/>
      <c r="I108" s="1217"/>
      <c r="J108" s="1018"/>
      <c r="K108" s="1018"/>
      <c r="L108" s="1018"/>
      <c r="M108" s="1019"/>
      <c r="N108" s="1018"/>
      <c r="O108" s="1018"/>
      <c r="P108" s="1217"/>
      <c r="Q108" s="1217"/>
      <c r="R108" s="1217"/>
      <c r="S108" s="1827"/>
      <c r="T108" s="1020"/>
      <c r="U108" s="1019"/>
      <c r="V108" s="1018"/>
      <c r="W108" s="1018"/>
      <c r="X108" s="1018"/>
      <c r="Y108" s="1018"/>
      <c r="Z108" s="1018"/>
      <c r="AA108" s="1018"/>
      <c r="AB108" s="1018"/>
      <c r="AC108" s="1018"/>
      <c r="AD108" s="1018"/>
      <c r="AE108" s="1018"/>
      <c r="AF108" s="1018"/>
      <c r="AG108" s="1018"/>
      <c r="AH108" s="1018"/>
      <c r="AI108" s="1018"/>
      <c r="AJ108" s="1018"/>
      <c r="AK108" s="1018"/>
      <c r="AL108" s="1018"/>
      <c r="AM108" s="1018"/>
      <c r="AN108" s="1021"/>
    </row>
    <row r="109" spans="1:40" ht="43.5" customHeight="1" x14ac:dyDescent="0.2">
      <c r="A109" s="984"/>
      <c r="B109" s="985"/>
      <c r="C109" s="424"/>
      <c r="D109" s="425"/>
      <c r="E109" s="413"/>
      <c r="F109" s="415"/>
      <c r="G109" s="3804">
        <v>196</v>
      </c>
      <c r="H109" s="3696" t="s">
        <v>1478</v>
      </c>
      <c r="I109" s="3696" t="s">
        <v>1479</v>
      </c>
      <c r="J109" s="3810">
        <v>1</v>
      </c>
      <c r="K109" s="3698" t="s">
        <v>1480</v>
      </c>
      <c r="L109" s="3700" t="s">
        <v>1481</v>
      </c>
      <c r="M109" s="3704" t="s">
        <v>1482</v>
      </c>
      <c r="N109" s="2943">
        <f>SUM(S109:S112)/O109</f>
        <v>1</v>
      </c>
      <c r="O109" s="3757">
        <f>SUM(S109:S112)</f>
        <v>30000000</v>
      </c>
      <c r="P109" s="3704" t="s">
        <v>1483</v>
      </c>
      <c r="Q109" s="2674" t="s">
        <v>1484</v>
      </c>
      <c r="R109" s="1007" t="s">
        <v>1485</v>
      </c>
      <c r="S109" s="1830">
        <v>12000000</v>
      </c>
      <c r="T109" s="1630">
        <v>20</v>
      </c>
      <c r="U109" s="1374" t="s">
        <v>275</v>
      </c>
      <c r="V109" s="3811">
        <v>900</v>
      </c>
      <c r="W109" s="3811">
        <v>1480</v>
      </c>
      <c r="X109" s="3811">
        <v>0</v>
      </c>
      <c r="Y109" s="3811">
        <v>755</v>
      </c>
      <c r="Z109" s="3811">
        <v>1500</v>
      </c>
      <c r="AA109" s="3811">
        <v>95</v>
      </c>
      <c r="AB109" s="3814">
        <v>10</v>
      </c>
      <c r="AC109" s="3814">
        <v>20</v>
      </c>
      <c r="AD109" s="3715"/>
      <c r="AE109" s="3715"/>
      <c r="AF109" s="3715"/>
      <c r="AG109" s="3715"/>
      <c r="AH109" s="3086"/>
      <c r="AI109" s="3086"/>
      <c r="AJ109" s="3710"/>
      <c r="AK109" s="3710">
        <f>SUM(Y109:AH112)</f>
        <v>2380</v>
      </c>
      <c r="AL109" s="3096">
        <v>43467</v>
      </c>
      <c r="AM109" s="3096">
        <v>43830</v>
      </c>
      <c r="AN109" s="3204" t="s">
        <v>1296</v>
      </c>
    </row>
    <row r="110" spans="1:40" ht="43.5" customHeight="1" x14ac:dyDescent="0.2">
      <c r="A110" s="984"/>
      <c r="B110" s="985"/>
      <c r="C110" s="424"/>
      <c r="D110" s="425"/>
      <c r="E110" s="424"/>
      <c r="F110" s="425"/>
      <c r="G110" s="3798"/>
      <c r="H110" s="3697"/>
      <c r="I110" s="3697"/>
      <c r="J110" s="3810"/>
      <c r="K110" s="3699"/>
      <c r="L110" s="3701"/>
      <c r="M110" s="3689"/>
      <c r="N110" s="2943"/>
      <c r="O110" s="3757"/>
      <c r="P110" s="3689"/>
      <c r="Q110" s="2674"/>
      <c r="R110" s="1007" t="s">
        <v>1486</v>
      </c>
      <c r="S110" s="1830">
        <v>10000000</v>
      </c>
      <c r="T110" s="1630">
        <v>20</v>
      </c>
      <c r="U110" s="1374" t="s">
        <v>275</v>
      </c>
      <c r="V110" s="3812"/>
      <c r="W110" s="3812"/>
      <c r="X110" s="3812"/>
      <c r="Y110" s="3812"/>
      <c r="Z110" s="3812"/>
      <c r="AA110" s="3812"/>
      <c r="AB110" s="3815"/>
      <c r="AC110" s="3815"/>
      <c r="AD110" s="3716"/>
      <c r="AE110" s="3716"/>
      <c r="AF110" s="3716"/>
      <c r="AG110" s="3716"/>
      <c r="AH110" s="3087"/>
      <c r="AI110" s="3087"/>
      <c r="AJ110" s="3711"/>
      <c r="AK110" s="3711"/>
      <c r="AL110" s="3097"/>
      <c r="AM110" s="3097"/>
      <c r="AN110" s="3204"/>
    </row>
    <row r="111" spans="1:40" ht="36.75" customHeight="1" x14ac:dyDescent="0.2">
      <c r="A111" s="984"/>
      <c r="B111" s="985"/>
      <c r="C111" s="424"/>
      <c r="D111" s="425"/>
      <c r="E111" s="424"/>
      <c r="F111" s="425"/>
      <c r="G111" s="3798"/>
      <c r="H111" s="3697"/>
      <c r="I111" s="3697"/>
      <c r="J111" s="3810"/>
      <c r="K111" s="3699"/>
      <c r="L111" s="3701"/>
      <c r="M111" s="3689"/>
      <c r="N111" s="2943"/>
      <c r="O111" s="3757"/>
      <c r="P111" s="3689"/>
      <c r="Q111" s="3204" t="s">
        <v>1487</v>
      </c>
      <c r="R111" s="1007" t="s">
        <v>1488</v>
      </c>
      <c r="S111" s="1830">
        <v>3000000</v>
      </c>
      <c r="T111" s="1630">
        <v>20</v>
      </c>
      <c r="U111" s="1374" t="s">
        <v>275</v>
      </c>
      <c r="V111" s="3812"/>
      <c r="W111" s="3812"/>
      <c r="X111" s="3812"/>
      <c r="Y111" s="3812"/>
      <c r="Z111" s="3812"/>
      <c r="AA111" s="3812"/>
      <c r="AB111" s="3815"/>
      <c r="AC111" s="3815"/>
      <c r="AD111" s="3716"/>
      <c r="AE111" s="3716"/>
      <c r="AF111" s="3716"/>
      <c r="AG111" s="3716"/>
      <c r="AH111" s="3087"/>
      <c r="AI111" s="3087"/>
      <c r="AJ111" s="3711"/>
      <c r="AK111" s="3711"/>
      <c r="AL111" s="3097"/>
      <c r="AM111" s="3097"/>
      <c r="AN111" s="3204"/>
    </row>
    <row r="112" spans="1:40" ht="50.25" customHeight="1" x14ac:dyDescent="0.2">
      <c r="A112" s="984"/>
      <c r="B112" s="985"/>
      <c r="C112" s="424"/>
      <c r="D112" s="425"/>
      <c r="E112" s="424"/>
      <c r="F112" s="425"/>
      <c r="G112" s="3798"/>
      <c r="H112" s="3697"/>
      <c r="I112" s="3697"/>
      <c r="J112" s="3810"/>
      <c r="K112" s="3732"/>
      <c r="L112" s="3701"/>
      <c r="M112" s="3689"/>
      <c r="N112" s="2943"/>
      <c r="O112" s="3757"/>
      <c r="P112" s="3689"/>
      <c r="Q112" s="3205"/>
      <c r="R112" s="1007" t="s">
        <v>1489</v>
      </c>
      <c r="S112" s="1830">
        <v>5000000</v>
      </c>
      <c r="T112" s="1630">
        <v>20</v>
      </c>
      <c r="U112" s="1374" t="s">
        <v>275</v>
      </c>
      <c r="V112" s="3813"/>
      <c r="W112" s="3813"/>
      <c r="X112" s="3813"/>
      <c r="Y112" s="3813"/>
      <c r="Z112" s="3813"/>
      <c r="AA112" s="3813"/>
      <c r="AB112" s="3816"/>
      <c r="AC112" s="3816"/>
      <c r="AD112" s="3717"/>
      <c r="AE112" s="3717"/>
      <c r="AF112" s="3717"/>
      <c r="AG112" s="3717"/>
      <c r="AH112" s="3095"/>
      <c r="AI112" s="3095"/>
      <c r="AJ112" s="3718"/>
      <c r="AK112" s="3355"/>
      <c r="AL112" s="3098"/>
      <c r="AM112" s="3098"/>
      <c r="AN112" s="3204"/>
    </row>
    <row r="113" spans="1:40" ht="15" x14ac:dyDescent="0.2">
      <c r="A113" s="984"/>
      <c r="B113" s="985"/>
      <c r="C113" s="424"/>
      <c r="D113" s="425"/>
      <c r="E113" s="788">
        <v>66</v>
      </c>
      <c r="F113" s="1017" t="s">
        <v>1490</v>
      </c>
      <c r="G113" s="1018"/>
      <c r="H113" s="1217"/>
      <c r="I113" s="1217"/>
      <c r="J113" s="1018"/>
      <c r="K113" s="1018"/>
      <c r="L113" s="1018"/>
      <c r="M113" s="1019"/>
      <c r="N113" s="1018"/>
      <c r="O113" s="1018"/>
      <c r="P113" s="1217"/>
      <c r="Q113" s="1217"/>
      <c r="R113" s="1217"/>
      <c r="S113" s="1827"/>
      <c r="T113" s="1020"/>
      <c r="U113" s="1019"/>
      <c r="V113" s="1018"/>
      <c r="W113" s="1018"/>
      <c r="X113" s="1018"/>
      <c r="Y113" s="1018"/>
      <c r="Z113" s="1018"/>
      <c r="AA113" s="1018"/>
      <c r="AB113" s="1018"/>
      <c r="AC113" s="1018"/>
      <c r="AD113" s="1018"/>
      <c r="AE113" s="1018"/>
      <c r="AF113" s="1018"/>
      <c r="AG113" s="1018"/>
      <c r="AH113" s="1018"/>
      <c r="AI113" s="1018"/>
      <c r="AJ113" s="1018"/>
      <c r="AK113" s="1018"/>
      <c r="AL113" s="1018"/>
      <c r="AM113" s="1018"/>
      <c r="AN113" s="1021"/>
    </row>
    <row r="114" spans="1:40" ht="55.5" customHeight="1" x14ac:dyDescent="0.2">
      <c r="A114" s="984"/>
      <c r="B114" s="985"/>
      <c r="C114" s="424"/>
      <c r="D114" s="425"/>
      <c r="E114" s="424"/>
      <c r="F114" s="425"/>
      <c r="G114" s="3804">
        <v>197</v>
      </c>
      <c r="H114" s="2535" t="s">
        <v>1491</v>
      </c>
      <c r="I114" s="3696" t="s">
        <v>1492</v>
      </c>
      <c r="J114" s="3213">
        <v>1</v>
      </c>
      <c r="K114" s="1024"/>
      <c r="L114" s="3701" t="s">
        <v>1493</v>
      </c>
      <c r="M114" s="3704" t="s">
        <v>1494</v>
      </c>
      <c r="N114" s="3705">
        <f>SUM(S114:S120)/O114</f>
        <v>1</v>
      </c>
      <c r="O114" s="3757">
        <f>SUM(S114:S120)</f>
        <v>290000000</v>
      </c>
      <c r="P114" s="3704" t="s">
        <v>1495</v>
      </c>
      <c r="Q114" s="2674" t="s">
        <v>1496</v>
      </c>
      <c r="R114" s="1015" t="s">
        <v>1497</v>
      </c>
      <c r="S114" s="1822">
        <f>5000000-5000000</f>
        <v>0</v>
      </c>
      <c r="T114" s="1630">
        <v>20</v>
      </c>
      <c r="U114" s="1374" t="s">
        <v>275</v>
      </c>
      <c r="V114" s="3817">
        <v>10000</v>
      </c>
      <c r="W114" s="3086"/>
      <c r="X114" s="3086">
        <v>1375</v>
      </c>
      <c r="Y114" s="3086">
        <v>3900</v>
      </c>
      <c r="Z114" s="3086">
        <v>3200</v>
      </c>
      <c r="AA114" s="3086">
        <v>1220</v>
      </c>
      <c r="AB114" s="3354">
        <v>103</v>
      </c>
      <c r="AC114" s="3086">
        <v>202</v>
      </c>
      <c r="AD114" s="3086"/>
      <c r="AE114" s="3357"/>
      <c r="AF114" s="3086"/>
      <c r="AG114" s="3086"/>
      <c r="AH114" s="3086"/>
      <c r="AI114" s="3086"/>
      <c r="AJ114" s="3086"/>
      <c r="AK114" s="3086">
        <f>SUM(X114:AE120)</f>
        <v>10000</v>
      </c>
      <c r="AL114" s="3688">
        <v>43467</v>
      </c>
      <c r="AM114" s="3688">
        <v>43830</v>
      </c>
      <c r="AN114" s="2674" t="s">
        <v>1296</v>
      </c>
    </row>
    <row r="115" spans="1:40" ht="54" customHeight="1" x14ac:dyDescent="0.2">
      <c r="A115" s="984"/>
      <c r="B115" s="985"/>
      <c r="C115" s="424"/>
      <c r="D115" s="425"/>
      <c r="E115" s="424"/>
      <c r="F115" s="425"/>
      <c r="G115" s="3798"/>
      <c r="H115" s="2530"/>
      <c r="I115" s="3697"/>
      <c r="J115" s="3213"/>
      <c r="K115" s="1025"/>
      <c r="L115" s="3701"/>
      <c r="M115" s="3689"/>
      <c r="N115" s="2936"/>
      <c r="O115" s="3757"/>
      <c r="P115" s="3689"/>
      <c r="Q115" s="2674"/>
      <c r="R115" s="1015" t="s">
        <v>1498</v>
      </c>
      <c r="S115" s="1822">
        <f>5000000-5000000</f>
        <v>0</v>
      </c>
      <c r="T115" s="1630">
        <v>20</v>
      </c>
      <c r="U115" s="1374" t="s">
        <v>275</v>
      </c>
      <c r="V115" s="3818"/>
      <c r="W115" s="3087"/>
      <c r="X115" s="3087"/>
      <c r="Y115" s="3087"/>
      <c r="Z115" s="3087"/>
      <c r="AA115" s="3087"/>
      <c r="AB115" s="3355"/>
      <c r="AC115" s="3087"/>
      <c r="AD115" s="3087"/>
      <c r="AE115" s="3358"/>
      <c r="AF115" s="3087"/>
      <c r="AG115" s="3087"/>
      <c r="AH115" s="3087"/>
      <c r="AI115" s="3087"/>
      <c r="AJ115" s="3087"/>
      <c r="AK115" s="3087"/>
      <c r="AL115" s="3688"/>
      <c r="AM115" s="3688"/>
      <c r="AN115" s="2674"/>
    </row>
    <row r="116" spans="1:40" ht="52.5" customHeight="1" x14ac:dyDescent="0.2">
      <c r="A116" s="984"/>
      <c r="B116" s="985"/>
      <c r="C116" s="424"/>
      <c r="D116" s="425"/>
      <c r="E116" s="424"/>
      <c r="F116" s="425"/>
      <c r="G116" s="3798"/>
      <c r="H116" s="2530"/>
      <c r="I116" s="3697"/>
      <c r="J116" s="3213"/>
      <c r="K116" s="1025"/>
      <c r="L116" s="3701"/>
      <c r="M116" s="3689"/>
      <c r="N116" s="2936"/>
      <c r="O116" s="3757"/>
      <c r="P116" s="3689"/>
      <c r="Q116" s="2674"/>
      <c r="R116" s="1527" t="s">
        <v>1499</v>
      </c>
      <c r="S116" s="1822">
        <v>0</v>
      </c>
      <c r="T116" s="1630">
        <v>20</v>
      </c>
      <c r="U116" s="1374" t="s">
        <v>275</v>
      </c>
      <c r="V116" s="3818"/>
      <c r="W116" s="3087"/>
      <c r="X116" s="3087"/>
      <c r="Y116" s="3087"/>
      <c r="Z116" s="3087"/>
      <c r="AA116" s="3087"/>
      <c r="AB116" s="3355"/>
      <c r="AC116" s="3087"/>
      <c r="AD116" s="3087"/>
      <c r="AE116" s="3358"/>
      <c r="AF116" s="3087"/>
      <c r="AG116" s="3087"/>
      <c r="AH116" s="3087"/>
      <c r="AI116" s="3087"/>
      <c r="AJ116" s="3087"/>
      <c r="AK116" s="3087"/>
      <c r="AL116" s="3393"/>
      <c r="AM116" s="3393"/>
      <c r="AN116" s="2674"/>
    </row>
    <row r="117" spans="1:40" ht="60" customHeight="1" x14ac:dyDescent="0.2">
      <c r="A117" s="984"/>
      <c r="B117" s="985"/>
      <c r="C117" s="424"/>
      <c r="D117" s="425"/>
      <c r="E117" s="424"/>
      <c r="F117" s="425"/>
      <c r="G117" s="3798"/>
      <c r="H117" s="2530"/>
      <c r="I117" s="3697"/>
      <c r="J117" s="3213"/>
      <c r="K117" s="1025" t="s">
        <v>1500</v>
      </c>
      <c r="L117" s="3701"/>
      <c r="M117" s="3689"/>
      <c r="N117" s="2936"/>
      <c r="O117" s="3757"/>
      <c r="P117" s="3689"/>
      <c r="Q117" s="2674" t="s">
        <v>1501</v>
      </c>
      <c r="R117" s="1015" t="s">
        <v>1502</v>
      </c>
      <c r="S117" s="1822">
        <f>30000000+10000000+240000000</f>
        <v>280000000</v>
      </c>
      <c r="T117" s="1630">
        <v>20</v>
      </c>
      <c r="U117" s="1374" t="s">
        <v>275</v>
      </c>
      <c r="V117" s="3818"/>
      <c r="W117" s="3087"/>
      <c r="X117" s="3087"/>
      <c r="Y117" s="3087"/>
      <c r="Z117" s="3087"/>
      <c r="AA117" s="3087"/>
      <c r="AB117" s="3355"/>
      <c r="AC117" s="3087"/>
      <c r="AD117" s="3087"/>
      <c r="AE117" s="3358"/>
      <c r="AF117" s="3087"/>
      <c r="AG117" s="3087"/>
      <c r="AH117" s="3087"/>
      <c r="AI117" s="3087"/>
      <c r="AJ117" s="3087"/>
      <c r="AK117" s="3087"/>
      <c r="AL117" s="3393"/>
      <c r="AM117" s="3393"/>
      <c r="AN117" s="2674"/>
    </row>
    <row r="118" spans="1:40" ht="57" x14ac:dyDescent="0.2">
      <c r="A118" s="984"/>
      <c r="B118" s="985"/>
      <c r="C118" s="424"/>
      <c r="D118" s="425"/>
      <c r="E118" s="424"/>
      <c r="F118" s="425"/>
      <c r="G118" s="3798"/>
      <c r="H118" s="2530"/>
      <c r="I118" s="3697"/>
      <c r="J118" s="3213"/>
      <c r="K118" s="1025"/>
      <c r="L118" s="3701"/>
      <c r="M118" s="3689"/>
      <c r="N118" s="2936"/>
      <c r="O118" s="3757"/>
      <c r="P118" s="3689"/>
      <c r="Q118" s="2674"/>
      <c r="R118" s="1015" t="s">
        <v>1503</v>
      </c>
      <c r="S118" s="1822">
        <v>5000000</v>
      </c>
      <c r="T118" s="1630">
        <v>20</v>
      </c>
      <c r="U118" s="1374" t="s">
        <v>275</v>
      </c>
      <c r="V118" s="3818"/>
      <c r="W118" s="3087"/>
      <c r="X118" s="3087"/>
      <c r="Y118" s="3087"/>
      <c r="Z118" s="3087"/>
      <c r="AA118" s="3087"/>
      <c r="AB118" s="3355"/>
      <c r="AC118" s="3087"/>
      <c r="AD118" s="3087"/>
      <c r="AE118" s="3358"/>
      <c r="AF118" s="3087"/>
      <c r="AG118" s="3087"/>
      <c r="AH118" s="3087"/>
      <c r="AI118" s="3087"/>
      <c r="AJ118" s="3087"/>
      <c r="AK118" s="3087"/>
      <c r="AL118" s="3393"/>
      <c r="AM118" s="3393"/>
      <c r="AN118" s="2674"/>
    </row>
    <row r="119" spans="1:40" ht="33" customHeight="1" x14ac:dyDescent="0.2">
      <c r="A119" s="984"/>
      <c r="B119" s="985"/>
      <c r="C119" s="424"/>
      <c r="D119" s="425"/>
      <c r="E119" s="424"/>
      <c r="F119" s="425"/>
      <c r="G119" s="3798"/>
      <c r="H119" s="2530"/>
      <c r="I119" s="3697"/>
      <c r="J119" s="3213"/>
      <c r="K119" s="1025"/>
      <c r="L119" s="3701"/>
      <c r="M119" s="3689"/>
      <c r="N119" s="2936"/>
      <c r="O119" s="3757"/>
      <c r="P119" s="3689"/>
      <c r="Q119" s="2674"/>
      <c r="R119" s="1015" t="s">
        <v>1488</v>
      </c>
      <c r="S119" s="1822">
        <v>1000000</v>
      </c>
      <c r="T119" s="1630">
        <v>20</v>
      </c>
      <c r="U119" s="1374" t="s">
        <v>275</v>
      </c>
      <c r="V119" s="3818"/>
      <c r="W119" s="3087"/>
      <c r="X119" s="3087"/>
      <c r="Y119" s="3087"/>
      <c r="Z119" s="3087"/>
      <c r="AA119" s="3087"/>
      <c r="AB119" s="3355"/>
      <c r="AC119" s="3087"/>
      <c r="AD119" s="3087"/>
      <c r="AE119" s="3358"/>
      <c r="AF119" s="3087"/>
      <c r="AG119" s="3087"/>
      <c r="AH119" s="3087"/>
      <c r="AI119" s="3087"/>
      <c r="AJ119" s="3087"/>
      <c r="AK119" s="3087"/>
      <c r="AL119" s="3393"/>
      <c r="AM119" s="3393"/>
      <c r="AN119" s="2674"/>
    </row>
    <row r="120" spans="1:40" ht="51.75" customHeight="1" x14ac:dyDescent="0.2">
      <c r="A120" s="984"/>
      <c r="B120" s="985"/>
      <c r="C120" s="435"/>
      <c r="D120" s="436"/>
      <c r="E120" s="435"/>
      <c r="F120" s="436"/>
      <c r="G120" s="3799"/>
      <c r="H120" s="2536"/>
      <c r="I120" s="3730"/>
      <c r="J120" s="3213"/>
      <c r="K120" s="1026"/>
      <c r="L120" s="3733"/>
      <c r="M120" s="3729"/>
      <c r="N120" s="2937"/>
      <c r="O120" s="3757"/>
      <c r="P120" s="3729"/>
      <c r="Q120" s="2674"/>
      <c r="R120" s="1015" t="s">
        <v>1489</v>
      </c>
      <c r="S120" s="1822">
        <v>4000000</v>
      </c>
      <c r="T120" s="1630">
        <v>20</v>
      </c>
      <c r="U120" s="1374" t="s">
        <v>275</v>
      </c>
      <c r="V120" s="3819"/>
      <c r="W120" s="3095"/>
      <c r="X120" s="3095"/>
      <c r="Y120" s="3095"/>
      <c r="Z120" s="3095"/>
      <c r="AA120" s="3095"/>
      <c r="AB120" s="3356"/>
      <c r="AC120" s="3095"/>
      <c r="AD120" s="3095"/>
      <c r="AE120" s="3359"/>
      <c r="AF120" s="3095"/>
      <c r="AG120" s="3095"/>
      <c r="AH120" s="3095"/>
      <c r="AI120" s="3095"/>
      <c r="AJ120" s="3095"/>
      <c r="AK120" s="3095"/>
      <c r="AL120" s="3393"/>
      <c r="AM120" s="3393"/>
      <c r="AN120" s="2674"/>
    </row>
    <row r="121" spans="1:40" ht="15" x14ac:dyDescent="0.2">
      <c r="A121" s="984"/>
      <c r="B121" s="985"/>
      <c r="C121" s="1027">
        <v>19</v>
      </c>
      <c r="D121" s="987" t="s">
        <v>1504</v>
      </c>
      <c r="E121" s="1011"/>
      <c r="F121" s="1011"/>
      <c r="G121" s="1011"/>
      <c r="H121" s="1215"/>
      <c r="I121" s="1215"/>
      <c r="J121" s="1011"/>
      <c r="K121" s="1011"/>
      <c r="L121" s="1011"/>
      <c r="M121" s="1002"/>
      <c r="N121" s="1011"/>
      <c r="O121" s="1011"/>
      <c r="P121" s="1215"/>
      <c r="Q121" s="1215"/>
      <c r="R121" s="1215"/>
      <c r="S121" s="1824"/>
      <c r="T121" s="1003"/>
      <c r="U121" s="1002"/>
      <c r="V121" s="1011"/>
      <c r="W121" s="1011"/>
      <c r="X121" s="1011"/>
      <c r="Y121" s="1011"/>
      <c r="Z121" s="1011"/>
      <c r="AA121" s="1011"/>
      <c r="AB121" s="1011"/>
      <c r="AC121" s="1011"/>
      <c r="AD121" s="1011"/>
      <c r="AE121" s="1011"/>
      <c r="AF121" s="1011"/>
      <c r="AG121" s="1011"/>
      <c r="AH121" s="1011"/>
      <c r="AI121" s="1011"/>
      <c r="AJ121" s="1011"/>
      <c r="AK121" s="1011"/>
      <c r="AL121" s="1011"/>
      <c r="AM121" s="1011"/>
      <c r="AN121" s="920"/>
    </row>
    <row r="122" spans="1:40" ht="15" x14ac:dyDescent="0.2">
      <c r="A122" s="984"/>
      <c r="B122" s="985"/>
      <c r="C122" s="3748"/>
      <c r="D122" s="3749"/>
      <c r="E122" s="876">
        <v>67</v>
      </c>
      <c r="F122" s="1022" t="s">
        <v>1505</v>
      </c>
      <c r="G122" s="1023"/>
      <c r="H122" s="1217"/>
      <c r="I122" s="1217"/>
      <c r="J122" s="1023"/>
      <c r="K122" s="1028"/>
      <c r="L122" s="1023"/>
      <c r="M122" s="1019"/>
      <c r="N122" s="1023"/>
      <c r="O122" s="1023"/>
      <c r="P122" s="1217"/>
      <c r="Q122" s="1217"/>
      <c r="R122" s="1217"/>
      <c r="S122" s="1829"/>
      <c r="T122" s="1029"/>
      <c r="U122" s="1030"/>
      <c r="V122" s="1023"/>
      <c r="W122" s="1023"/>
      <c r="X122" s="1023"/>
      <c r="Y122" s="1023"/>
      <c r="Z122" s="1023"/>
      <c r="AA122" s="1023"/>
      <c r="AB122" s="1023"/>
      <c r="AC122" s="1023"/>
      <c r="AD122" s="1023"/>
      <c r="AE122" s="1023"/>
      <c r="AF122" s="1023"/>
      <c r="AG122" s="1023"/>
      <c r="AH122" s="1023"/>
      <c r="AI122" s="1023"/>
      <c r="AJ122" s="1023"/>
      <c r="AK122" s="1023"/>
      <c r="AL122" s="1023"/>
      <c r="AM122" s="1023"/>
      <c r="AN122" s="1021"/>
    </row>
    <row r="123" spans="1:40" ht="57.75" customHeight="1" x14ac:dyDescent="0.2">
      <c r="A123" s="984"/>
      <c r="B123" s="985"/>
      <c r="C123" s="3748"/>
      <c r="D123" s="3749"/>
      <c r="E123" s="413"/>
      <c r="F123" s="415"/>
      <c r="G123" s="3752">
        <v>198</v>
      </c>
      <c r="H123" s="3696" t="s">
        <v>1506</v>
      </c>
      <c r="I123" s="3203" t="s">
        <v>1507</v>
      </c>
      <c r="J123" s="3820">
        <v>1</v>
      </c>
      <c r="K123" s="3842" t="s">
        <v>1508</v>
      </c>
      <c r="L123" s="3822" t="s">
        <v>1509</v>
      </c>
      <c r="M123" s="3697" t="s">
        <v>1510</v>
      </c>
      <c r="N123" s="3726">
        <f>SUM(S123:S129)/O123</f>
        <v>1.1019292128613386E-2</v>
      </c>
      <c r="O123" s="3825">
        <f>SUM(S123:S134)</f>
        <v>3977405943</v>
      </c>
      <c r="P123" s="3697" t="s">
        <v>1511</v>
      </c>
      <c r="Q123" s="2674" t="s">
        <v>1512</v>
      </c>
      <c r="R123" s="1788" t="s">
        <v>1513</v>
      </c>
      <c r="S123" s="1831">
        <v>10000000</v>
      </c>
      <c r="T123" s="1789">
        <v>20</v>
      </c>
      <c r="U123" s="1790" t="s">
        <v>61</v>
      </c>
      <c r="V123" s="3828">
        <v>2500</v>
      </c>
      <c r="W123" s="3382">
        <v>2000</v>
      </c>
      <c r="X123" s="3382"/>
      <c r="Y123" s="3382"/>
      <c r="Z123" s="3382"/>
      <c r="AA123" s="3382">
        <v>4500</v>
      </c>
      <c r="AB123" s="3831"/>
      <c r="AC123" s="3382"/>
      <c r="AD123" s="3382"/>
      <c r="AE123" s="3723"/>
      <c r="AF123" s="3723"/>
      <c r="AG123" s="3723"/>
      <c r="AH123" s="3703"/>
      <c r="AI123" s="3703"/>
      <c r="AJ123" s="3703"/>
      <c r="AK123" s="3355">
        <f>SUM(AA123)</f>
        <v>4500</v>
      </c>
      <c r="AL123" s="3688">
        <v>43467</v>
      </c>
      <c r="AM123" s="3688">
        <v>43830</v>
      </c>
      <c r="AN123" s="3203" t="s">
        <v>1296</v>
      </c>
    </row>
    <row r="124" spans="1:40" ht="68.25" customHeight="1" x14ac:dyDescent="0.2">
      <c r="A124" s="984"/>
      <c r="B124" s="985"/>
      <c r="C124" s="3748"/>
      <c r="D124" s="3749"/>
      <c r="E124" s="424"/>
      <c r="F124" s="425"/>
      <c r="G124" s="3753"/>
      <c r="H124" s="3697"/>
      <c r="I124" s="3204"/>
      <c r="J124" s="3821"/>
      <c r="K124" s="3843"/>
      <c r="L124" s="3822"/>
      <c r="M124" s="3697"/>
      <c r="N124" s="3824"/>
      <c r="O124" s="3826"/>
      <c r="P124" s="3697"/>
      <c r="Q124" s="2674"/>
      <c r="R124" s="1788" t="s">
        <v>1514</v>
      </c>
      <c r="S124" s="1831">
        <v>10968198</v>
      </c>
      <c r="T124" s="1789">
        <v>20</v>
      </c>
      <c r="U124" s="1790" t="s">
        <v>61</v>
      </c>
      <c r="V124" s="3829"/>
      <c r="W124" s="3383"/>
      <c r="X124" s="3383"/>
      <c r="Y124" s="3383"/>
      <c r="Z124" s="3383"/>
      <c r="AA124" s="3383"/>
      <c r="AB124" s="3723"/>
      <c r="AC124" s="3383"/>
      <c r="AD124" s="3383"/>
      <c r="AE124" s="3723"/>
      <c r="AF124" s="3723"/>
      <c r="AG124" s="3723"/>
      <c r="AH124" s="3703"/>
      <c r="AI124" s="3703"/>
      <c r="AJ124" s="3703"/>
      <c r="AK124" s="3355"/>
      <c r="AL124" s="3688"/>
      <c r="AM124" s="3688"/>
      <c r="AN124" s="3204"/>
    </row>
    <row r="125" spans="1:40" ht="71.25" x14ac:dyDescent="0.2">
      <c r="A125" s="984"/>
      <c r="B125" s="985"/>
      <c r="C125" s="3748"/>
      <c r="D125" s="3749"/>
      <c r="E125" s="424"/>
      <c r="F125" s="425"/>
      <c r="G125" s="3753"/>
      <c r="H125" s="3697"/>
      <c r="I125" s="3204"/>
      <c r="J125" s="3821"/>
      <c r="K125" s="3843"/>
      <c r="L125" s="3822"/>
      <c r="M125" s="3697"/>
      <c r="N125" s="3824"/>
      <c r="O125" s="3826"/>
      <c r="P125" s="3697"/>
      <c r="Q125" s="2674"/>
      <c r="R125" s="1788" t="s">
        <v>1515</v>
      </c>
      <c r="S125" s="1831">
        <v>500000</v>
      </c>
      <c r="T125" s="1789">
        <v>20</v>
      </c>
      <c r="U125" s="1790" t="s">
        <v>61</v>
      </c>
      <c r="V125" s="3829"/>
      <c r="W125" s="3383"/>
      <c r="X125" s="3383"/>
      <c r="Y125" s="3383"/>
      <c r="Z125" s="3383"/>
      <c r="AA125" s="3383"/>
      <c r="AB125" s="3723"/>
      <c r="AC125" s="3383"/>
      <c r="AD125" s="3383"/>
      <c r="AE125" s="3723"/>
      <c r="AF125" s="3723"/>
      <c r="AG125" s="3723"/>
      <c r="AH125" s="3703"/>
      <c r="AI125" s="3703"/>
      <c r="AJ125" s="3703"/>
      <c r="AK125" s="3355"/>
      <c r="AL125" s="3688"/>
      <c r="AM125" s="3688"/>
      <c r="AN125" s="3204"/>
    </row>
    <row r="126" spans="1:40" ht="57" x14ac:dyDescent="0.2">
      <c r="A126" s="984"/>
      <c r="B126" s="985"/>
      <c r="C126" s="3748"/>
      <c r="D126" s="3749"/>
      <c r="E126" s="424"/>
      <c r="F126" s="425"/>
      <c r="G126" s="3753"/>
      <c r="H126" s="3697"/>
      <c r="I126" s="3204"/>
      <c r="J126" s="3821"/>
      <c r="K126" s="3843"/>
      <c r="L126" s="3822"/>
      <c r="M126" s="3697"/>
      <c r="N126" s="3824"/>
      <c r="O126" s="3826"/>
      <c r="P126" s="3697"/>
      <c r="Q126" s="2674"/>
      <c r="R126" s="1788" t="s">
        <v>1516</v>
      </c>
      <c r="S126" s="1831">
        <f>5940000+500000</f>
        <v>6440000</v>
      </c>
      <c r="T126" s="1789">
        <v>20</v>
      </c>
      <c r="U126" s="1790" t="s">
        <v>61</v>
      </c>
      <c r="V126" s="3829"/>
      <c r="W126" s="3383"/>
      <c r="X126" s="3383"/>
      <c r="Y126" s="3383"/>
      <c r="Z126" s="3383"/>
      <c r="AA126" s="3383"/>
      <c r="AB126" s="3723"/>
      <c r="AC126" s="3383"/>
      <c r="AD126" s="3383"/>
      <c r="AE126" s="3723"/>
      <c r="AF126" s="3723"/>
      <c r="AG126" s="3723"/>
      <c r="AH126" s="3703"/>
      <c r="AI126" s="3703"/>
      <c r="AJ126" s="3703"/>
      <c r="AK126" s="3355"/>
      <c r="AL126" s="3688"/>
      <c r="AM126" s="3688"/>
      <c r="AN126" s="3204"/>
    </row>
    <row r="127" spans="1:40" ht="57" x14ac:dyDescent="0.2">
      <c r="A127" s="984"/>
      <c r="B127" s="985"/>
      <c r="C127" s="3748"/>
      <c r="D127" s="3749"/>
      <c r="E127" s="424"/>
      <c r="F127" s="425"/>
      <c r="G127" s="3753"/>
      <c r="H127" s="3697"/>
      <c r="I127" s="3204"/>
      <c r="J127" s="3821"/>
      <c r="K127" s="3843"/>
      <c r="L127" s="3822"/>
      <c r="M127" s="3697"/>
      <c r="N127" s="3824"/>
      <c r="O127" s="3826"/>
      <c r="P127" s="3697"/>
      <c r="Q127" s="2674"/>
      <c r="R127" s="1788" t="s">
        <v>1517</v>
      </c>
      <c r="S127" s="1831">
        <f>7920000-500000</f>
        <v>7420000</v>
      </c>
      <c r="T127" s="1789">
        <v>20</v>
      </c>
      <c r="U127" s="1790" t="s">
        <v>61</v>
      </c>
      <c r="V127" s="3829"/>
      <c r="W127" s="3383"/>
      <c r="X127" s="3383"/>
      <c r="Y127" s="3383"/>
      <c r="Z127" s="3383"/>
      <c r="AA127" s="3383"/>
      <c r="AB127" s="3723"/>
      <c r="AC127" s="3383"/>
      <c r="AD127" s="3383"/>
      <c r="AE127" s="3723"/>
      <c r="AF127" s="3723"/>
      <c r="AG127" s="3723"/>
      <c r="AH127" s="3703"/>
      <c r="AI127" s="3703"/>
      <c r="AJ127" s="3703"/>
      <c r="AK127" s="3355"/>
      <c r="AL127" s="3688"/>
      <c r="AM127" s="3688"/>
      <c r="AN127" s="3204"/>
    </row>
    <row r="128" spans="1:40" ht="41.25" customHeight="1" x14ac:dyDescent="0.2">
      <c r="A128" s="984"/>
      <c r="B128" s="985"/>
      <c r="C128" s="3748"/>
      <c r="D128" s="3749"/>
      <c r="E128" s="424"/>
      <c r="F128" s="425"/>
      <c r="G128" s="3753"/>
      <c r="H128" s="3697"/>
      <c r="I128" s="3204"/>
      <c r="J128" s="3821"/>
      <c r="K128" s="3843"/>
      <c r="L128" s="3822"/>
      <c r="M128" s="3697"/>
      <c r="N128" s="3824"/>
      <c r="O128" s="3826"/>
      <c r="P128" s="3697"/>
      <c r="Q128" s="2674"/>
      <c r="R128" s="1791" t="s">
        <v>1518</v>
      </c>
      <c r="S128" s="1831">
        <v>5000000</v>
      </c>
      <c r="T128" s="1789">
        <v>20</v>
      </c>
      <c r="U128" s="1790" t="s">
        <v>61</v>
      </c>
      <c r="V128" s="3829"/>
      <c r="W128" s="3383"/>
      <c r="X128" s="3383"/>
      <c r="Y128" s="3383"/>
      <c r="Z128" s="3383"/>
      <c r="AA128" s="3383"/>
      <c r="AB128" s="3723"/>
      <c r="AC128" s="3383"/>
      <c r="AD128" s="3383"/>
      <c r="AE128" s="3723"/>
      <c r="AF128" s="3723"/>
      <c r="AG128" s="3723"/>
      <c r="AH128" s="3703"/>
      <c r="AI128" s="3703"/>
      <c r="AJ128" s="3703"/>
      <c r="AK128" s="3355"/>
      <c r="AL128" s="3688"/>
      <c r="AM128" s="3688"/>
      <c r="AN128" s="3204"/>
    </row>
    <row r="129" spans="1:45" ht="57" customHeight="1" x14ac:dyDescent="0.2">
      <c r="A129" s="984"/>
      <c r="B129" s="985"/>
      <c r="C129" s="3748"/>
      <c r="D129" s="3749"/>
      <c r="E129" s="424"/>
      <c r="F129" s="425"/>
      <c r="G129" s="3753"/>
      <c r="H129" s="3697"/>
      <c r="I129" s="3204"/>
      <c r="J129" s="3821"/>
      <c r="K129" s="3843"/>
      <c r="L129" s="3822"/>
      <c r="M129" s="3697"/>
      <c r="N129" s="3824"/>
      <c r="O129" s="3826"/>
      <c r="P129" s="3697"/>
      <c r="Q129" s="2674"/>
      <c r="R129" s="1791" t="s">
        <v>1519</v>
      </c>
      <c r="S129" s="1831">
        <v>3500000</v>
      </c>
      <c r="T129" s="1789">
        <v>20</v>
      </c>
      <c r="U129" s="1790" t="s">
        <v>61</v>
      </c>
      <c r="V129" s="3829"/>
      <c r="W129" s="3383"/>
      <c r="X129" s="3383"/>
      <c r="Y129" s="3383"/>
      <c r="Z129" s="3383"/>
      <c r="AA129" s="3383"/>
      <c r="AB129" s="3723"/>
      <c r="AC129" s="3383"/>
      <c r="AD129" s="3383"/>
      <c r="AE129" s="3723"/>
      <c r="AF129" s="3723"/>
      <c r="AG129" s="3723"/>
      <c r="AH129" s="3703"/>
      <c r="AI129" s="3703"/>
      <c r="AJ129" s="3703"/>
      <c r="AK129" s="3355"/>
      <c r="AL129" s="3688"/>
      <c r="AM129" s="3688"/>
      <c r="AN129" s="3204"/>
    </row>
    <row r="130" spans="1:45" ht="72.75" customHeight="1" x14ac:dyDescent="0.2">
      <c r="A130" s="984"/>
      <c r="B130" s="985"/>
      <c r="C130" s="3748"/>
      <c r="D130" s="3749"/>
      <c r="E130" s="424"/>
      <c r="F130" s="425"/>
      <c r="G130" s="1372">
        <v>199</v>
      </c>
      <c r="H130" s="1639" t="s">
        <v>1520</v>
      </c>
      <c r="I130" s="1523" t="s">
        <v>1521</v>
      </c>
      <c r="J130" s="1632">
        <v>4</v>
      </c>
      <c r="K130" s="1302" t="s">
        <v>1522</v>
      </c>
      <c r="L130" s="3822"/>
      <c r="M130" s="3697"/>
      <c r="N130" s="1031">
        <f>+S130/O123</f>
        <v>1.0056806012068655E-2</v>
      </c>
      <c r="O130" s="3826"/>
      <c r="P130" s="3697"/>
      <c r="Q130" s="2674"/>
      <c r="R130" s="1792" t="s">
        <v>1523</v>
      </c>
      <c r="S130" s="1831">
        <v>40000000</v>
      </c>
      <c r="T130" s="1789">
        <v>20</v>
      </c>
      <c r="U130" s="1790" t="s">
        <v>61</v>
      </c>
      <c r="V130" s="3829"/>
      <c r="W130" s="3383"/>
      <c r="X130" s="3383"/>
      <c r="Y130" s="3383"/>
      <c r="Z130" s="3383"/>
      <c r="AA130" s="3383"/>
      <c r="AB130" s="3723"/>
      <c r="AC130" s="3383"/>
      <c r="AD130" s="3383"/>
      <c r="AE130" s="3723"/>
      <c r="AF130" s="3723"/>
      <c r="AG130" s="3723"/>
      <c r="AH130" s="3703"/>
      <c r="AI130" s="3703"/>
      <c r="AJ130" s="3703"/>
      <c r="AK130" s="3355"/>
      <c r="AL130" s="3688"/>
      <c r="AM130" s="3688"/>
      <c r="AN130" s="3204"/>
    </row>
    <row r="131" spans="1:45" ht="33.75" customHeight="1" x14ac:dyDescent="0.2">
      <c r="A131" s="984"/>
      <c r="B131" s="985"/>
      <c r="C131" s="3748"/>
      <c r="D131" s="3749"/>
      <c r="E131" s="424"/>
      <c r="F131" s="425"/>
      <c r="G131" s="3752">
        <v>200</v>
      </c>
      <c r="H131" s="3834" t="s">
        <v>1524</v>
      </c>
      <c r="I131" s="3839" t="s">
        <v>1525</v>
      </c>
      <c r="J131" s="3840">
        <v>12</v>
      </c>
      <c r="K131" s="3841" t="s">
        <v>1526</v>
      </c>
      <c r="L131" s="3822"/>
      <c r="M131" s="3697"/>
      <c r="N131" s="3726">
        <f>+SUM(S131:S132)/O123</f>
        <v>0.29367717068350546</v>
      </c>
      <c r="O131" s="3826"/>
      <c r="P131" s="3697"/>
      <c r="Q131" s="3351" t="s">
        <v>1527</v>
      </c>
      <c r="R131" s="3836" t="s">
        <v>1528</v>
      </c>
      <c r="S131" s="1832">
        <v>1111986335</v>
      </c>
      <c r="T131" s="1793">
        <v>6</v>
      </c>
      <c r="U131" s="1794" t="s">
        <v>1529</v>
      </c>
      <c r="V131" s="3829"/>
      <c r="W131" s="3383"/>
      <c r="X131" s="3383"/>
      <c r="Y131" s="3383"/>
      <c r="Z131" s="3383"/>
      <c r="AA131" s="3383"/>
      <c r="AB131" s="3723"/>
      <c r="AC131" s="3383"/>
      <c r="AD131" s="3383"/>
      <c r="AE131" s="3723"/>
      <c r="AF131" s="3723"/>
      <c r="AG131" s="3723"/>
      <c r="AH131" s="3703"/>
      <c r="AI131" s="3703"/>
      <c r="AJ131" s="3703"/>
      <c r="AK131" s="3355"/>
      <c r="AL131" s="3688"/>
      <c r="AM131" s="3688"/>
      <c r="AN131" s="3204"/>
    </row>
    <row r="132" spans="1:45" ht="35.25" customHeight="1" x14ac:dyDescent="0.2">
      <c r="A132" s="984"/>
      <c r="B132" s="985"/>
      <c r="C132" s="3748"/>
      <c r="D132" s="3749"/>
      <c r="E132" s="424"/>
      <c r="F132" s="425"/>
      <c r="G132" s="3754"/>
      <c r="H132" s="3835"/>
      <c r="I132" s="3839"/>
      <c r="J132" s="3840"/>
      <c r="K132" s="3841"/>
      <c r="L132" s="3822"/>
      <c r="M132" s="3697"/>
      <c r="N132" s="3727"/>
      <c r="O132" s="3826"/>
      <c r="P132" s="3697"/>
      <c r="Q132" s="3352"/>
      <c r="R132" s="3837"/>
      <c r="S132" s="1833">
        <f>0+56086989</f>
        <v>56086989</v>
      </c>
      <c r="T132" s="1373">
        <v>84</v>
      </c>
      <c r="U132" s="1795" t="s">
        <v>1530</v>
      </c>
      <c r="V132" s="3829"/>
      <c r="W132" s="3383"/>
      <c r="X132" s="3383"/>
      <c r="Y132" s="3383"/>
      <c r="Z132" s="3383"/>
      <c r="AA132" s="3383"/>
      <c r="AB132" s="3723"/>
      <c r="AC132" s="3383"/>
      <c r="AD132" s="3383"/>
      <c r="AE132" s="3723"/>
      <c r="AF132" s="3723"/>
      <c r="AG132" s="3723"/>
      <c r="AH132" s="3703"/>
      <c r="AI132" s="3703"/>
      <c r="AJ132" s="3703"/>
      <c r="AK132" s="3355"/>
      <c r="AL132" s="3688"/>
      <c r="AM132" s="3688"/>
      <c r="AN132" s="3204"/>
    </row>
    <row r="133" spans="1:45" ht="36.75" customHeight="1" x14ac:dyDescent="0.2">
      <c r="A133" s="984"/>
      <c r="B133" s="985"/>
      <c r="C133" s="3748"/>
      <c r="D133" s="3749"/>
      <c r="E133" s="424"/>
      <c r="F133" s="425"/>
      <c r="G133" s="3752">
        <v>201</v>
      </c>
      <c r="H133" s="2581" t="s">
        <v>1531</v>
      </c>
      <c r="I133" s="2528" t="s">
        <v>1532</v>
      </c>
      <c r="J133" s="3748">
        <v>14</v>
      </c>
      <c r="K133" s="3841"/>
      <c r="L133" s="3822"/>
      <c r="M133" s="3697"/>
      <c r="N133" s="3726">
        <f>+SUM(S133:S134)/O123</f>
        <v>0.68524673117581247</v>
      </c>
      <c r="O133" s="3826"/>
      <c r="P133" s="3697"/>
      <c r="Q133" s="3352"/>
      <c r="R133" s="3836" t="s">
        <v>1533</v>
      </c>
      <c r="S133" s="1834">
        <v>2594634781</v>
      </c>
      <c r="T133" s="1793">
        <v>6</v>
      </c>
      <c r="U133" s="1796" t="s">
        <v>1529</v>
      </c>
      <c r="V133" s="3829"/>
      <c r="W133" s="3383"/>
      <c r="X133" s="3383"/>
      <c r="Y133" s="3383"/>
      <c r="Z133" s="3383"/>
      <c r="AA133" s="3383"/>
      <c r="AB133" s="3723"/>
      <c r="AC133" s="3383"/>
      <c r="AD133" s="3383"/>
      <c r="AE133" s="3723"/>
      <c r="AF133" s="3723"/>
      <c r="AG133" s="3723"/>
      <c r="AH133" s="3703"/>
      <c r="AI133" s="3703"/>
      <c r="AJ133" s="3703"/>
      <c r="AK133" s="3355"/>
      <c r="AL133" s="3688"/>
      <c r="AM133" s="3688"/>
      <c r="AN133" s="3204"/>
    </row>
    <row r="134" spans="1:45" ht="33" customHeight="1" x14ac:dyDescent="0.2">
      <c r="A134" s="1032"/>
      <c r="B134" s="999"/>
      <c r="C134" s="3750"/>
      <c r="D134" s="3751"/>
      <c r="E134" s="435"/>
      <c r="F134" s="436"/>
      <c r="G134" s="3754"/>
      <c r="H134" s="2582"/>
      <c r="I134" s="2534"/>
      <c r="J134" s="3750"/>
      <c r="K134" s="3841"/>
      <c r="L134" s="3823"/>
      <c r="M134" s="3730"/>
      <c r="N134" s="3727"/>
      <c r="O134" s="3827"/>
      <c r="P134" s="3730"/>
      <c r="Q134" s="3353"/>
      <c r="R134" s="3838"/>
      <c r="S134" s="1717">
        <f>0+130869640</f>
        <v>130869640</v>
      </c>
      <c r="T134" s="1797">
        <v>84</v>
      </c>
      <c r="U134" s="1790" t="s">
        <v>1530</v>
      </c>
      <c r="V134" s="3830"/>
      <c r="W134" s="3384"/>
      <c r="X134" s="3384"/>
      <c r="Y134" s="3384"/>
      <c r="Z134" s="3384"/>
      <c r="AA134" s="3384"/>
      <c r="AB134" s="3724"/>
      <c r="AC134" s="3384"/>
      <c r="AD134" s="3384"/>
      <c r="AE134" s="3724"/>
      <c r="AF134" s="3724"/>
      <c r="AG134" s="3724"/>
      <c r="AH134" s="3725"/>
      <c r="AI134" s="3725"/>
      <c r="AJ134" s="3725"/>
      <c r="AK134" s="3356"/>
      <c r="AL134" s="3688"/>
      <c r="AM134" s="3688"/>
      <c r="AN134" s="3205"/>
    </row>
    <row r="135" spans="1:45" s="836" customFormat="1" ht="15" x14ac:dyDescent="0.25">
      <c r="A135" s="3832" t="s">
        <v>525</v>
      </c>
      <c r="B135" s="3832"/>
      <c r="C135" s="3832"/>
      <c r="D135" s="3832"/>
      <c r="E135" s="3832"/>
      <c r="F135" s="3832"/>
      <c r="G135" s="3832"/>
      <c r="H135" s="3832"/>
      <c r="I135" s="3832"/>
      <c r="J135" s="3832"/>
      <c r="K135" s="3833"/>
      <c r="L135" s="3832"/>
      <c r="M135" s="3832"/>
      <c r="N135" s="3832"/>
      <c r="O135" s="1219">
        <f>SUM(O13:O134)</f>
        <v>6657165943</v>
      </c>
      <c r="P135" s="1220"/>
      <c r="Q135" s="1221"/>
      <c r="R135" s="1221"/>
      <c r="S135" s="1835">
        <f>SUM(S13:S134)</f>
        <v>6657165943</v>
      </c>
      <c r="T135" s="1375"/>
      <c r="U135" s="1296"/>
      <c r="V135" s="1222"/>
      <c r="W135" s="1222"/>
      <c r="X135" s="1222"/>
      <c r="Y135" s="1222"/>
      <c r="Z135" s="1222"/>
      <c r="AA135" s="1222"/>
      <c r="AB135" s="1222"/>
      <c r="AC135" s="1222"/>
      <c r="AD135" s="1222"/>
      <c r="AE135" s="1222"/>
      <c r="AF135" s="1222"/>
      <c r="AG135" s="1222"/>
      <c r="AH135" s="1222"/>
      <c r="AI135" s="1222"/>
      <c r="AJ135" s="1222"/>
      <c r="AK135" s="1222"/>
      <c r="AL135" s="1222"/>
      <c r="AM135" s="1222"/>
      <c r="AN135" s="1221"/>
      <c r="AO135" s="2430"/>
      <c r="AP135" s="1012"/>
      <c r="AQ135" s="1012"/>
      <c r="AR135" s="1012"/>
      <c r="AS135" s="1012"/>
    </row>
    <row r="136" spans="1:45" ht="15" x14ac:dyDescent="0.25">
      <c r="A136" s="405"/>
      <c r="B136" s="405"/>
      <c r="C136" s="405"/>
      <c r="D136" s="405"/>
      <c r="E136" s="405"/>
      <c r="F136" s="1641"/>
      <c r="G136" s="1034"/>
      <c r="H136" s="1035"/>
      <c r="I136" s="1036"/>
      <c r="J136" s="405"/>
      <c r="K136" s="405"/>
      <c r="L136" s="405"/>
      <c r="M136" s="1036"/>
      <c r="N136" s="405"/>
      <c r="O136" s="1037"/>
      <c r="P136" s="1035"/>
      <c r="Q136" s="973"/>
      <c r="R136" s="973"/>
      <c r="S136" s="1038"/>
      <c r="T136" s="1641"/>
      <c r="U136" s="1039"/>
      <c r="V136" s="405"/>
      <c r="W136" s="405"/>
      <c r="X136" s="405"/>
      <c r="Y136" s="405"/>
      <c r="Z136" s="405"/>
      <c r="AA136" s="405"/>
      <c r="AB136" s="405"/>
      <c r="AC136" s="405"/>
      <c r="AD136" s="405"/>
      <c r="AE136" s="405"/>
      <c r="AF136" s="405"/>
      <c r="AG136" s="405"/>
      <c r="AH136" s="405"/>
      <c r="AI136" s="405"/>
      <c r="AJ136" s="405"/>
      <c r="AN136" s="973"/>
    </row>
    <row r="137" spans="1:45" x14ac:dyDescent="0.2">
      <c r="A137" s="405"/>
      <c r="B137" s="405"/>
      <c r="C137" s="405"/>
      <c r="D137" s="405"/>
      <c r="E137" s="405"/>
      <c r="F137" s="1641"/>
      <c r="G137" s="405"/>
      <c r="H137" s="1039"/>
      <c r="I137" s="1039"/>
      <c r="J137" s="405"/>
      <c r="K137" s="405"/>
      <c r="L137" s="405"/>
      <c r="M137" s="1039"/>
      <c r="N137" s="405"/>
      <c r="O137" s="1040"/>
      <c r="P137" s="1039"/>
      <c r="Q137" s="1039"/>
      <c r="R137" s="973"/>
      <c r="S137" s="1040"/>
      <c r="T137" s="1641"/>
      <c r="U137" s="1039"/>
      <c r="V137" s="405"/>
      <c r="W137" s="405"/>
      <c r="X137" s="405"/>
      <c r="Y137" s="405"/>
      <c r="Z137" s="405"/>
      <c r="AA137" s="405"/>
      <c r="AB137" s="405"/>
      <c r="AC137" s="405"/>
      <c r="AD137" s="405"/>
      <c r="AE137" s="405"/>
      <c r="AF137" s="405"/>
      <c r="AG137" s="405"/>
      <c r="AH137" s="405"/>
      <c r="AI137" s="405"/>
      <c r="AJ137" s="405"/>
    </row>
    <row r="138" spans="1:45" x14ac:dyDescent="0.2">
      <c r="A138" s="405"/>
      <c r="B138" s="405"/>
      <c r="C138" s="405"/>
      <c r="D138" s="405"/>
      <c r="E138" s="405"/>
      <c r="F138" s="1641"/>
      <c r="G138" s="405"/>
      <c r="H138" s="1039"/>
      <c r="I138" s="1039"/>
      <c r="J138" s="405"/>
      <c r="K138" s="405"/>
      <c r="L138" s="405"/>
      <c r="M138" s="1039"/>
      <c r="N138" s="405"/>
      <c r="O138" s="1040"/>
      <c r="P138" s="1039"/>
      <c r="Q138" s="1039"/>
      <c r="R138" s="973"/>
      <c r="S138" s="1040"/>
      <c r="T138" s="1641"/>
      <c r="U138" s="1039"/>
      <c r="V138" s="405"/>
      <c r="W138" s="405"/>
      <c r="X138" s="405"/>
      <c r="Y138" s="405"/>
      <c r="Z138" s="405"/>
      <c r="AA138" s="405"/>
      <c r="AB138" s="405"/>
      <c r="AC138" s="405"/>
      <c r="AD138" s="405"/>
      <c r="AE138" s="405"/>
      <c r="AF138" s="405"/>
      <c r="AG138" s="405"/>
      <c r="AH138" s="405"/>
      <c r="AI138" s="405"/>
      <c r="AJ138" s="405"/>
    </row>
    <row r="139" spans="1:45" ht="15" x14ac:dyDescent="0.2">
      <c r="A139" s="3671" t="s">
        <v>1534</v>
      </c>
      <c r="B139" s="3671"/>
      <c r="C139" s="3671"/>
      <c r="D139" s="3671"/>
      <c r="E139" s="3671"/>
      <c r="F139" s="3671"/>
      <c r="G139" s="3671"/>
      <c r="H139" s="3671"/>
      <c r="I139" s="3671"/>
      <c r="J139" s="405"/>
      <c r="K139" s="405"/>
      <c r="L139" s="405"/>
      <c r="M139" s="1039"/>
      <c r="N139" s="405"/>
      <c r="O139" s="1040"/>
      <c r="P139" s="1039"/>
      <c r="Q139" s="1039"/>
      <c r="R139" s="973"/>
      <c r="S139" s="1040"/>
      <c r="T139" s="1641"/>
      <c r="U139" s="1039"/>
      <c r="V139" s="405"/>
      <c r="W139" s="405"/>
      <c r="X139" s="405"/>
      <c r="Y139" s="405"/>
      <c r="Z139" s="405"/>
      <c r="AA139" s="405"/>
      <c r="AB139" s="405"/>
      <c r="AC139" s="405"/>
      <c r="AD139" s="405"/>
      <c r="AE139" s="405"/>
      <c r="AF139" s="405"/>
      <c r="AG139" s="405"/>
      <c r="AH139" s="405"/>
      <c r="AI139" s="405"/>
      <c r="AJ139" s="405"/>
    </row>
    <row r="140" spans="1:45" ht="15" x14ac:dyDescent="0.25">
      <c r="A140" s="3734" t="s">
        <v>1535</v>
      </c>
      <c r="B140" s="3734"/>
      <c r="C140" s="3734"/>
      <c r="D140" s="3734"/>
      <c r="E140" s="3734"/>
      <c r="F140" s="3734"/>
      <c r="G140" s="3734"/>
      <c r="H140" s="3734"/>
      <c r="I140" s="3734"/>
      <c r="J140" s="405"/>
      <c r="K140" s="405"/>
      <c r="L140" s="405"/>
      <c r="M140" s="1039"/>
      <c r="N140" s="405"/>
      <c r="O140" s="1040"/>
      <c r="P140" s="1039"/>
      <c r="Q140" s="1039"/>
      <c r="R140" s="973"/>
      <c r="S140" s="1040"/>
      <c r="T140" s="1641"/>
      <c r="U140" s="1039"/>
      <c r="V140" s="405"/>
      <c r="W140" s="405"/>
      <c r="X140" s="405"/>
      <c r="Y140" s="405"/>
      <c r="Z140" s="405"/>
      <c r="AA140" s="405"/>
      <c r="AB140" s="405"/>
      <c r="AC140" s="405"/>
      <c r="AD140" s="405"/>
      <c r="AE140" s="405"/>
      <c r="AF140" s="405"/>
      <c r="AG140" s="405"/>
      <c r="AH140" s="405"/>
      <c r="AI140" s="405"/>
      <c r="AJ140" s="405"/>
    </row>
    <row r="141" spans="1:45" x14ac:dyDescent="0.2">
      <c r="E141" s="405"/>
      <c r="F141" s="1641"/>
      <c r="G141" s="405"/>
      <c r="H141" s="1039"/>
      <c r="I141" s="1039"/>
      <c r="J141" s="405"/>
      <c r="K141" s="405"/>
      <c r="L141" s="405"/>
      <c r="M141" s="1039"/>
      <c r="N141" s="405"/>
      <c r="O141" s="1040"/>
      <c r="P141" s="1039"/>
      <c r="Q141" s="1039"/>
      <c r="R141" s="973"/>
      <c r="S141" s="1040"/>
      <c r="T141" s="1641"/>
      <c r="U141" s="1039"/>
      <c r="V141" s="405"/>
      <c r="W141" s="405"/>
      <c r="X141" s="405"/>
      <c r="Y141" s="405"/>
      <c r="Z141" s="405"/>
      <c r="AA141" s="405"/>
      <c r="AB141" s="405"/>
      <c r="AC141" s="405"/>
      <c r="AD141" s="405"/>
      <c r="AE141" s="405"/>
      <c r="AF141" s="405"/>
      <c r="AG141" s="405"/>
      <c r="AH141" s="405"/>
      <c r="AI141" s="405"/>
      <c r="AJ141" s="405"/>
    </row>
    <row r="142" spans="1:45" x14ac:dyDescent="0.2">
      <c r="A142" s="405"/>
      <c r="B142" s="405"/>
      <c r="C142" s="405"/>
      <c r="D142" s="405"/>
      <c r="E142" s="405"/>
      <c r="F142" s="1641"/>
      <c r="G142" s="405"/>
      <c r="H142" s="1039"/>
      <c r="I142" s="1039"/>
      <c r="J142" s="405"/>
      <c r="K142" s="405"/>
      <c r="L142" s="405"/>
      <c r="M142" s="1039"/>
      <c r="N142" s="405"/>
      <c r="O142" s="1040"/>
      <c r="P142" s="1039"/>
      <c r="Q142" s="1039"/>
      <c r="R142" s="973"/>
      <c r="S142" s="1040"/>
      <c r="T142" s="1641"/>
      <c r="U142" s="1039"/>
      <c r="V142" s="405"/>
      <c r="W142" s="405"/>
      <c r="X142" s="405"/>
      <c r="Y142" s="405"/>
      <c r="Z142" s="405"/>
      <c r="AA142" s="405"/>
      <c r="AB142" s="405"/>
      <c r="AC142" s="405"/>
      <c r="AD142" s="405"/>
      <c r="AE142" s="405"/>
      <c r="AF142" s="405"/>
      <c r="AG142" s="405"/>
      <c r="AH142" s="405"/>
      <c r="AI142" s="405"/>
      <c r="AJ142" s="405"/>
    </row>
    <row r="143" spans="1:45" x14ac:dyDescent="0.2">
      <c r="A143" s="3722" t="s">
        <v>1536</v>
      </c>
      <c r="B143" s="3722"/>
      <c r="C143" s="3722"/>
      <c r="D143" s="3722"/>
      <c r="E143" s="3722"/>
      <c r="F143" s="3722"/>
      <c r="G143" s="3722"/>
      <c r="H143" s="3722"/>
      <c r="I143" s="3722"/>
      <c r="J143" s="405"/>
      <c r="K143" s="405"/>
      <c r="L143" s="405"/>
      <c r="M143" s="1039"/>
      <c r="N143" s="405"/>
      <c r="O143" s="1040"/>
      <c r="P143" s="1039"/>
      <c r="Q143" s="1039"/>
      <c r="R143" s="973"/>
      <c r="S143" s="1040"/>
      <c r="T143" s="1641"/>
      <c r="U143" s="1039"/>
      <c r="V143" s="405"/>
      <c r="W143" s="405"/>
      <c r="X143" s="405"/>
      <c r="Y143" s="405"/>
      <c r="Z143" s="405"/>
      <c r="AA143" s="405"/>
      <c r="AB143" s="405"/>
      <c r="AC143" s="405"/>
      <c r="AD143" s="405"/>
      <c r="AE143" s="405"/>
      <c r="AF143" s="405"/>
      <c r="AG143" s="405"/>
      <c r="AH143" s="405"/>
      <c r="AI143" s="405"/>
      <c r="AJ143" s="405"/>
    </row>
    <row r="144" spans="1:45" x14ac:dyDescent="0.2">
      <c r="A144" s="405"/>
      <c r="B144" s="405"/>
      <c r="C144" s="405"/>
      <c r="D144" s="405"/>
      <c r="E144" s="405"/>
      <c r="F144" s="1641"/>
      <c r="G144" s="405"/>
      <c r="H144" s="1039"/>
      <c r="I144" s="1039"/>
      <c r="J144" s="405"/>
      <c r="K144" s="405"/>
      <c r="L144" s="405"/>
      <c r="M144" s="1039"/>
      <c r="N144" s="405"/>
      <c r="O144" s="1040"/>
      <c r="P144" s="1039"/>
      <c r="Q144" s="1039"/>
      <c r="R144" s="973"/>
      <c r="S144" s="1040"/>
      <c r="T144" s="1641"/>
      <c r="U144" s="1039"/>
      <c r="V144" s="405"/>
      <c r="W144" s="405"/>
      <c r="X144" s="405"/>
      <c r="Y144" s="405"/>
      <c r="Z144" s="405"/>
      <c r="AA144" s="405"/>
      <c r="AB144" s="405"/>
      <c r="AC144" s="405"/>
      <c r="AD144" s="405"/>
      <c r="AE144" s="405"/>
      <c r="AF144" s="405"/>
      <c r="AG144" s="405"/>
      <c r="AH144" s="405"/>
      <c r="AI144" s="405"/>
      <c r="AJ144" s="405"/>
    </row>
    <row r="145" spans="1:36" x14ac:dyDescent="0.2">
      <c r="A145" s="405"/>
      <c r="B145" s="405"/>
      <c r="C145" s="405"/>
      <c r="D145" s="405"/>
      <c r="E145" s="405"/>
      <c r="F145" s="1641"/>
      <c r="G145" s="405"/>
      <c r="H145" s="1039"/>
      <c r="I145" s="1039"/>
      <c r="J145" s="405"/>
      <c r="K145" s="405"/>
      <c r="L145" s="405"/>
      <c r="M145" s="1039"/>
      <c r="N145" s="405"/>
      <c r="O145" s="1040"/>
      <c r="P145" s="1039"/>
      <c r="Q145" s="1039"/>
      <c r="R145" s="973"/>
      <c r="S145" s="1040"/>
      <c r="T145" s="1641"/>
      <c r="U145" s="1039"/>
      <c r="V145" s="405"/>
      <c r="W145" s="405"/>
      <c r="X145" s="405"/>
      <c r="Y145" s="405"/>
      <c r="Z145" s="405"/>
      <c r="AA145" s="405"/>
      <c r="AB145" s="405"/>
      <c r="AC145" s="405"/>
      <c r="AD145" s="405"/>
      <c r="AE145" s="405"/>
      <c r="AF145" s="405"/>
      <c r="AG145" s="405"/>
      <c r="AH145" s="405"/>
      <c r="AI145" s="405"/>
      <c r="AJ145" s="405"/>
    </row>
    <row r="146" spans="1:36" x14ac:dyDescent="0.2">
      <c r="A146" s="405"/>
      <c r="B146" s="405"/>
      <c r="C146" s="405"/>
      <c r="D146" s="405"/>
      <c r="E146" s="405"/>
      <c r="F146" s="1641"/>
      <c r="G146" s="405"/>
      <c r="H146" s="1039"/>
      <c r="I146" s="1039"/>
      <c r="J146" s="405"/>
      <c r="K146" s="405"/>
      <c r="L146" s="405"/>
      <c r="M146" s="1039"/>
      <c r="N146" s="405"/>
      <c r="O146" s="1040"/>
      <c r="P146" s="1039"/>
      <c r="Q146" s="1039"/>
      <c r="R146" s="973"/>
      <c r="S146" s="1040"/>
      <c r="T146" s="1641"/>
      <c r="U146" s="1039"/>
      <c r="V146" s="405"/>
      <c r="W146" s="405"/>
      <c r="X146" s="405"/>
      <c r="Y146" s="405"/>
      <c r="Z146" s="405"/>
      <c r="AA146" s="405"/>
      <c r="AB146" s="405"/>
      <c r="AC146" s="405"/>
      <c r="AD146" s="405"/>
      <c r="AE146" s="405"/>
      <c r="AF146" s="405"/>
      <c r="AG146" s="405"/>
      <c r="AH146" s="405"/>
      <c r="AI146" s="405"/>
      <c r="AJ146" s="405"/>
    </row>
    <row r="147" spans="1:36" x14ac:dyDescent="0.2">
      <c r="A147" s="405"/>
      <c r="B147" s="405"/>
      <c r="C147" s="405"/>
      <c r="D147" s="405"/>
      <c r="E147" s="405"/>
      <c r="F147" s="1641"/>
      <c r="G147" s="405"/>
      <c r="H147" s="1039"/>
      <c r="I147" s="1039"/>
      <c r="J147" s="405"/>
      <c r="K147" s="405"/>
      <c r="L147" s="405"/>
      <c r="M147" s="1039"/>
      <c r="N147" s="405"/>
      <c r="O147" s="1040"/>
      <c r="P147" s="1039"/>
      <c r="Q147" s="1039"/>
      <c r="R147" s="973"/>
      <c r="S147" s="1040"/>
      <c r="T147" s="1641"/>
      <c r="U147" s="1039"/>
      <c r="V147" s="405"/>
      <c r="W147" s="405"/>
      <c r="X147" s="405"/>
      <c r="Y147" s="405"/>
      <c r="Z147" s="405"/>
      <c r="AA147" s="405"/>
      <c r="AB147" s="405"/>
      <c r="AC147" s="405"/>
      <c r="AD147" s="405"/>
      <c r="AE147" s="405"/>
      <c r="AF147" s="405"/>
      <c r="AG147" s="405"/>
      <c r="AH147" s="405"/>
      <c r="AI147" s="405"/>
      <c r="AJ147" s="405"/>
    </row>
    <row r="148" spans="1:36" x14ac:dyDescent="0.2">
      <c r="A148" s="405"/>
      <c r="B148" s="405"/>
      <c r="C148" s="405"/>
      <c r="D148" s="405"/>
      <c r="E148" s="405"/>
      <c r="F148" s="1641"/>
      <c r="G148" s="405"/>
      <c r="H148" s="1039"/>
      <c r="I148" s="1039"/>
      <c r="J148" s="405"/>
      <c r="K148" s="405"/>
      <c r="L148" s="405"/>
      <c r="M148" s="1039"/>
      <c r="N148" s="405"/>
      <c r="O148" s="1040"/>
      <c r="P148" s="1039"/>
      <c r="Q148" s="1039"/>
      <c r="R148" s="973"/>
      <c r="S148" s="1040"/>
      <c r="T148" s="1641"/>
      <c r="U148" s="1039"/>
      <c r="V148" s="405"/>
      <c r="W148" s="405"/>
      <c r="X148" s="405"/>
      <c r="Y148" s="405"/>
      <c r="Z148" s="405"/>
      <c r="AA148" s="405"/>
      <c r="AB148" s="405"/>
      <c r="AC148" s="405"/>
      <c r="AD148" s="405"/>
      <c r="AE148" s="405"/>
      <c r="AF148" s="405"/>
      <c r="AG148" s="405"/>
      <c r="AH148" s="405"/>
      <c r="AI148" s="405"/>
      <c r="AJ148" s="405"/>
    </row>
    <row r="149" spans="1:36" x14ac:dyDescent="0.2">
      <c r="A149" s="405"/>
      <c r="B149" s="405"/>
      <c r="C149" s="405"/>
      <c r="D149" s="405"/>
      <c r="E149" s="405"/>
      <c r="F149" s="1641"/>
      <c r="G149" s="405"/>
      <c r="H149" s="1039"/>
      <c r="I149" s="1039"/>
      <c r="J149" s="405"/>
      <c r="K149" s="405"/>
      <c r="L149" s="405"/>
      <c r="M149" s="1039"/>
      <c r="N149" s="405"/>
      <c r="O149" s="1040"/>
      <c r="P149" s="1039"/>
      <c r="Q149" s="1039"/>
      <c r="R149" s="973"/>
      <c r="S149" s="1040"/>
      <c r="T149" s="1641"/>
      <c r="U149" s="1039"/>
      <c r="V149" s="405"/>
      <c r="W149" s="405"/>
      <c r="X149" s="405"/>
      <c r="Y149" s="405"/>
      <c r="Z149" s="405"/>
      <c r="AA149" s="405"/>
      <c r="AB149" s="405"/>
      <c r="AC149" s="405"/>
      <c r="AD149" s="405"/>
      <c r="AE149" s="405"/>
      <c r="AF149" s="405"/>
      <c r="AG149" s="405"/>
      <c r="AH149" s="405"/>
      <c r="AI149" s="405"/>
      <c r="AJ149" s="405"/>
    </row>
    <row r="150" spans="1:36" x14ac:dyDescent="0.2">
      <c r="A150" s="405"/>
      <c r="B150" s="405"/>
      <c r="C150" s="405"/>
      <c r="D150" s="405"/>
      <c r="E150" s="405"/>
      <c r="F150" s="1641"/>
      <c r="G150" s="405"/>
      <c r="H150" s="1039"/>
      <c r="I150" s="1039"/>
      <c r="J150" s="405"/>
      <c r="K150" s="405"/>
      <c r="L150" s="405"/>
      <c r="M150" s="1039"/>
      <c r="N150" s="405"/>
      <c r="O150" s="1040"/>
      <c r="P150" s="1039"/>
      <c r="Q150" s="1039"/>
      <c r="R150" s="973"/>
      <c r="S150" s="1040"/>
      <c r="T150" s="1641"/>
      <c r="U150" s="1039"/>
      <c r="V150" s="405"/>
      <c r="W150" s="405"/>
      <c r="X150" s="405"/>
      <c r="Y150" s="405"/>
      <c r="Z150" s="405"/>
      <c r="AA150" s="405"/>
      <c r="AB150" s="405"/>
      <c r="AC150" s="405"/>
      <c r="AD150" s="405"/>
      <c r="AE150" s="405"/>
      <c r="AF150" s="405"/>
      <c r="AG150" s="405"/>
      <c r="AH150" s="405"/>
      <c r="AI150" s="405"/>
      <c r="AJ150" s="405"/>
    </row>
    <row r="151" spans="1:36" x14ac:dyDescent="0.2">
      <c r="A151" s="405"/>
      <c r="B151" s="405"/>
      <c r="C151" s="405"/>
      <c r="D151" s="405"/>
      <c r="E151" s="405"/>
      <c r="F151" s="1641"/>
      <c r="G151" s="405"/>
      <c r="H151" s="1039"/>
      <c r="I151" s="1039"/>
      <c r="J151" s="405"/>
      <c r="K151" s="405"/>
      <c r="L151" s="405"/>
      <c r="M151" s="1039"/>
      <c r="N151" s="405"/>
      <c r="O151" s="1040"/>
      <c r="P151" s="1039"/>
      <c r="Q151" s="1039"/>
      <c r="R151" s="973"/>
      <c r="S151" s="1040"/>
      <c r="T151" s="1641"/>
      <c r="U151" s="1039"/>
      <c r="V151" s="405"/>
      <c r="W151" s="405"/>
      <c r="X151" s="405"/>
      <c r="Y151" s="405"/>
      <c r="Z151" s="405"/>
      <c r="AA151" s="405"/>
      <c r="AB151" s="405"/>
      <c r="AC151" s="405"/>
      <c r="AD151" s="405"/>
      <c r="AE151" s="405"/>
      <c r="AF151" s="405"/>
      <c r="AG151" s="405"/>
      <c r="AH151" s="405"/>
      <c r="AI151" s="405"/>
      <c r="AJ151" s="405"/>
    </row>
    <row r="152" spans="1:36" x14ac:dyDescent="0.2">
      <c r="A152" s="405"/>
      <c r="B152" s="405"/>
      <c r="C152" s="405"/>
      <c r="D152" s="405"/>
      <c r="E152" s="405"/>
      <c r="F152" s="1641"/>
      <c r="G152" s="405"/>
      <c r="H152" s="1039"/>
      <c r="I152" s="1039"/>
      <c r="J152" s="405"/>
      <c r="K152" s="405"/>
      <c r="L152" s="405"/>
      <c r="M152" s="1039"/>
      <c r="N152" s="405"/>
      <c r="O152" s="1040"/>
      <c r="P152" s="1039"/>
      <c r="Q152" s="1039"/>
      <c r="R152" s="973"/>
      <c r="S152" s="1040"/>
      <c r="T152" s="1641"/>
      <c r="U152" s="1039"/>
      <c r="V152" s="405"/>
      <c r="W152" s="405"/>
      <c r="X152" s="405"/>
      <c r="Y152" s="405"/>
      <c r="Z152" s="405"/>
      <c r="AA152" s="405"/>
      <c r="AB152" s="405"/>
      <c r="AC152" s="405"/>
      <c r="AD152" s="405"/>
      <c r="AE152" s="405"/>
      <c r="AF152" s="405"/>
      <c r="AG152" s="405"/>
      <c r="AH152" s="405"/>
      <c r="AI152" s="405"/>
      <c r="AJ152" s="405"/>
    </row>
    <row r="153" spans="1:36" x14ac:dyDescent="0.2">
      <c r="A153" s="405"/>
      <c r="B153" s="405"/>
      <c r="C153" s="405"/>
      <c r="D153" s="405"/>
      <c r="E153" s="405"/>
      <c r="F153" s="1641"/>
      <c r="G153" s="405"/>
      <c r="H153" s="1039"/>
      <c r="I153" s="1039"/>
      <c r="J153" s="405"/>
      <c r="K153" s="405"/>
      <c r="L153" s="405"/>
      <c r="M153" s="1039"/>
      <c r="N153" s="405"/>
      <c r="O153" s="1040"/>
      <c r="P153" s="1039"/>
      <c r="Q153" s="1039"/>
      <c r="R153" s="973"/>
      <c r="S153" s="1040"/>
      <c r="T153" s="1641"/>
      <c r="U153" s="1039"/>
      <c r="V153" s="405"/>
      <c r="W153" s="405"/>
      <c r="X153" s="405"/>
      <c r="Y153" s="405"/>
      <c r="Z153" s="405"/>
      <c r="AA153" s="405"/>
      <c r="AB153" s="405"/>
      <c r="AC153" s="405"/>
      <c r="AD153" s="405"/>
      <c r="AE153" s="405"/>
      <c r="AF153" s="405"/>
      <c r="AG153" s="405"/>
      <c r="AH153" s="405"/>
      <c r="AI153" s="405"/>
      <c r="AJ153" s="405"/>
    </row>
    <row r="154" spans="1:36" x14ac:dyDescent="0.2">
      <c r="A154" s="405"/>
      <c r="B154" s="405"/>
      <c r="C154" s="405"/>
      <c r="D154" s="405"/>
      <c r="E154" s="405"/>
      <c r="F154" s="1641"/>
      <c r="G154" s="405"/>
      <c r="H154" s="1039"/>
      <c r="I154" s="1039"/>
      <c r="J154" s="405"/>
      <c r="K154" s="405"/>
      <c r="L154" s="405"/>
      <c r="M154" s="1039"/>
      <c r="N154" s="405"/>
      <c r="O154" s="1040"/>
      <c r="P154" s="1039"/>
      <c r="Q154" s="1039"/>
      <c r="R154" s="973"/>
      <c r="S154" s="1040"/>
      <c r="T154" s="1641"/>
      <c r="U154" s="1039"/>
      <c r="V154" s="405"/>
      <c r="W154" s="405"/>
      <c r="X154" s="405"/>
      <c r="Y154" s="405"/>
      <c r="Z154" s="405"/>
      <c r="AA154" s="405"/>
      <c r="AB154" s="405"/>
      <c r="AC154" s="405"/>
      <c r="AD154" s="405"/>
      <c r="AE154" s="405"/>
      <c r="AF154" s="405"/>
      <c r="AG154" s="405"/>
      <c r="AH154" s="405"/>
      <c r="AI154" s="405"/>
      <c r="AJ154" s="405"/>
    </row>
    <row r="155" spans="1:36" x14ac:dyDescent="0.2">
      <c r="A155" s="405"/>
      <c r="B155" s="405"/>
      <c r="C155" s="405"/>
      <c r="D155" s="405"/>
      <c r="E155" s="405"/>
      <c r="F155" s="1641"/>
      <c r="G155" s="405"/>
      <c r="H155" s="1039"/>
      <c r="I155" s="1039"/>
      <c r="J155" s="405"/>
      <c r="K155" s="405"/>
      <c r="L155" s="405"/>
      <c r="M155" s="1039"/>
      <c r="N155" s="405"/>
      <c r="O155" s="1040"/>
      <c r="P155" s="1039"/>
      <c r="Q155" s="1039"/>
      <c r="R155" s="973"/>
      <c r="S155" s="1040"/>
      <c r="T155" s="1641"/>
      <c r="U155" s="1039"/>
      <c r="V155" s="405"/>
      <c r="W155" s="405"/>
      <c r="X155" s="405"/>
      <c r="Y155" s="405"/>
      <c r="Z155" s="405"/>
      <c r="AA155" s="405"/>
      <c r="AB155" s="405"/>
      <c r="AC155" s="405"/>
      <c r="AD155" s="405"/>
      <c r="AE155" s="405"/>
      <c r="AF155" s="405"/>
      <c r="AG155" s="405"/>
      <c r="AH155" s="405"/>
      <c r="AI155" s="405"/>
      <c r="AJ155" s="405"/>
    </row>
    <row r="156" spans="1:36" x14ac:dyDescent="0.2">
      <c r="A156" s="405"/>
      <c r="B156" s="405"/>
      <c r="C156" s="405"/>
      <c r="D156" s="405"/>
      <c r="E156" s="405"/>
      <c r="F156" s="1641"/>
      <c r="G156" s="405"/>
      <c r="H156" s="1039"/>
      <c r="I156" s="1039"/>
      <c r="J156" s="405"/>
      <c r="K156" s="405"/>
      <c r="L156" s="405"/>
      <c r="M156" s="1039"/>
      <c r="N156" s="405"/>
      <c r="O156" s="1040"/>
      <c r="P156" s="1039"/>
      <c r="Q156" s="1039"/>
      <c r="R156" s="973"/>
      <c r="S156" s="1040"/>
      <c r="T156" s="1641"/>
      <c r="U156" s="1039"/>
      <c r="V156" s="405"/>
      <c r="W156" s="405"/>
      <c r="X156" s="405"/>
      <c r="Y156" s="405"/>
      <c r="Z156" s="405"/>
      <c r="AA156" s="405"/>
      <c r="AB156" s="405"/>
      <c r="AC156" s="405"/>
      <c r="AD156" s="405"/>
      <c r="AE156" s="405"/>
      <c r="AF156" s="405"/>
      <c r="AG156" s="405"/>
      <c r="AH156" s="405"/>
      <c r="AI156" s="405"/>
      <c r="AJ156" s="405"/>
    </row>
    <row r="157" spans="1:36" x14ac:dyDescent="0.2">
      <c r="A157" s="405"/>
      <c r="B157" s="405"/>
      <c r="C157" s="405"/>
      <c r="D157" s="405"/>
      <c r="E157" s="405"/>
      <c r="F157" s="1641"/>
      <c r="G157" s="405"/>
      <c r="H157" s="1039"/>
      <c r="I157" s="1039"/>
      <c r="J157" s="405"/>
      <c r="K157" s="405"/>
      <c r="L157" s="405"/>
      <c r="M157" s="1039"/>
      <c r="N157" s="405"/>
      <c r="O157" s="1040"/>
      <c r="P157" s="1039"/>
      <c r="Q157" s="1039"/>
    </row>
    <row r="158" spans="1:36" x14ac:dyDescent="0.2">
      <c r="A158" s="405"/>
      <c r="B158" s="405"/>
      <c r="C158" s="405"/>
      <c r="D158" s="405"/>
      <c r="E158" s="405"/>
      <c r="F158" s="1641"/>
      <c r="G158" s="405"/>
      <c r="H158" s="1039"/>
      <c r="I158" s="1039"/>
      <c r="J158" s="405"/>
      <c r="K158" s="405"/>
      <c r="L158" s="405"/>
      <c r="M158" s="1039"/>
      <c r="N158" s="405"/>
      <c r="O158" s="1040"/>
      <c r="P158" s="1039"/>
      <c r="Q158" s="1039"/>
    </row>
  </sheetData>
  <mergeCells count="473">
    <mergeCell ref="AJ123:AJ134"/>
    <mergeCell ref="AK123:AK134"/>
    <mergeCell ref="AL123:AL134"/>
    <mergeCell ref="AM123:AM134"/>
    <mergeCell ref="AN123:AN134"/>
    <mergeCell ref="A135:N135"/>
    <mergeCell ref="G131:G132"/>
    <mergeCell ref="H131:H132"/>
    <mergeCell ref="R131:R132"/>
    <mergeCell ref="G133:G134"/>
    <mergeCell ref="H133:H134"/>
    <mergeCell ref="R133:R134"/>
    <mergeCell ref="I131:I132"/>
    <mergeCell ref="J131:J132"/>
    <mergeCell ref="I133:I134"/>
    <mergeCell ref="J133:J134"/>
    <mergeCell ref="K131:K134"/>
    <mergeCell ref="Q131:Q134"/>
    <mergeCell ref="K123:K129"/>
    <mergeCell ref="AC114:AC120"/>
    <mergeCell ref="AD114:AD120"/>
    <mergeCell ref="AE114:AE120"/>
    <mergeCell ref="AN114:AN120"/>
    <mergeCell ref="Q117:Q120"/>
    <mergeCell ref="C122:D134"/>
    <mergeCell ref="G123:G129"/>
    <mergeCell ref="H123:H129"/>
    <mergeCell ref="I123:I129"/>
    <mergeCell ref="J123:J129"/>
    <mergeCell ref="L123:L134"/>
    <mergeCell ref="M123:M134"/>
    <mergeCell ref="N123:N129"/>
    <mergeCell ref="O123:O134"/>
    <mergeCell ref="P123:P134"/>
    <mergeCell ref="Q123:Q130"/>
    <mergeCell ref="V123:V134"/>
    <mergeCell ref="W123:W134"/>
    <mergeCell ref="X123:X134"/>
    <mergeCell ref="Y123:Y134"/>
    <mergeCell ref="Z123:Z134"/>
    <mergeCell ref="AA123:AA134"/>
    <mergeCell ref="AB123:AB134"/>
    <mergeCell ref="AC123:AC134"/>
    <mergeCell ref="AC109:AC112"/>
    <mergeCell ref="AD109:AD112"/>
    <mergeCell ref="AE109:AE112"/>
    <mergeCell ref="AE105:AE107"/>
    <mergeCell ref="AF105:AF107"/>
    <mergeCell ref="AN109:AN112"/>
    <mergeCell ref="Q111:Q112"/>
    <mergeCell ref="G114:G120"/>
    <mergeCell ref="H114:H120"/>
    <mergeCell ref="I114:I120"/>
    <mergeCell ref="J114:J120"/>
    <mergeCell ref="L114:L120"/>
    <mergeCell ref="M114:M120"/>
    <mergeCell ref="N114:N120"/>
    <mergeCell ref="O114:O120"/>
    <mergeCell ref="P114:P120"/>
    <mergeCell ref="Q114:Q116"/>
    <mergeCell ref="V114:V120"/>
    <mergeCell ref="W114:W120"/>
    <mergeCell ref="X114:X120"/>
    <mergeCell ref="Y114:Y120"/>
    <mergeCell ref="Z114:Z120"/>
    <mergeCell ref="AA114:AA120"/>
    <mergeCell ref="AB114:AB120"/>
    <mergeCell ref="P109:P112"/>
    <mergeCell ref="Q109:Q110"/>
    <mergeCell ref="V109:V112"/>
    <mergeCell ref="W109:W112"/>
    <mergeCell ref="X109:X112"/>
    <mergeCell ref="Y109:Y112"/>
    <mergeCell ref="Z109:Z112"/>
    <mergeCell ref="AA109:AA112"/>
    <mergeCell ref="AB109:AB112"/>
    <mergeCell ref="G109:G112"/>
    <mergeCell ref="H109:H112"/>
    <mergeCell ref="I109:I112"/>
    <mergeCell ref="J109:J112"/>
    <mergeCell ref="K109:K112"/>
    <mergeCell ref="L109:L112"/>
    <mergeCell ref="M109:M112"/>
    <mergeCell ref="N109:N112"/>
    <mergeCell ref="O109:O112"/>
    <mergeCell ref="AM105:AM107"/>
    <mergeCell ref="AL102:AL103"/>
    <mergeCell ref="AM102:AM103"/>
    <mergeCell ref="AG102:AG103"/>
    <mergeCell ref="AH102:AH103"/>
    <mergeCell ref="AI102:AI103"/>
    <mergeCell ref="AJ102:AJ103"/>
    <mergeCell ref="AK102:AK103"/>
    <mergeCell ref="AN105:AN107"/>
    <mergeCell ref="AN102:AN103"/>
    <mergeCell ref="G105:G107"/>
    <mergeCell ref="H105:H107"/>
    <mergeCell ref="I105:I107"/>
    <mergeCell ref="J105:J107"/>
    <mergeCell ref="K105:K107"/>
    <mergeCell ref="L105:L107"/>
    <mergeCell ref="M105:M107"/>
    <mergeCell ref="N105:N107"/>
    <mergeCell ref="O105:O107"/>
    <mergeCell ref="P105:P107"/>
    <mergeCell ref="Q105:Q106"/>
    <mergeCell ref="V105:W107"/>
    <mergeCell ref="X105:X107"/>
    <mergeCell ref="Y105:Y107"/>
    <mergeCell ref="Z105:Z107"/>
    <mergeCell ref="AA105:AA107"/>
    <mergeCell ref="AB105:AB107"/>
    <mergeCell ref="AC105:AC107"/>
    <mergeCell ref="AD105:AD107"/>
    <mergeCell ref="AC102:AC103"/>
    <mergeCell ref="AD102:AD103"/>
    <mergeCell ref="AE102:AE103"/>
    <mergeCell ref="AF102:AF103"/>
    <mergeCell ref="AE99:AE101"/>
    <mergeCell ref="AF99:AF101"/>
    <mergeCell ref="AI99:AI101"/>
    <mergeCell ref="AJ99:AJ101"/>
    <mergeCell ref="AM99:AM101"/>
    <mergeCell ref="AN99:AN101"/>
    <mergeCell ref="G102:G103"/>
    <mergeCell ref="H102:H103"/>
    <mergeCell ref="I102:I103"/>
    <mergeCell ref="J102:J103"/>
    <mergeCell ref="K102:K103"/>
    <mergeCell ref="L102:L103"/>
    <mergeCell ref="M102:M103"/>
    <mergeCell ref="N102:N103"/>
    <mergeCell ref="O102:O103"/>
    <mergeCell ref="P102:P103"/>
    <mergeCell ref="V102:W103"/>
    <mergeCell ref="X102:X103"/>
    <mergeCell ref="Y102:Y103"/>
    <mergeCell ref="Z102:Z103"/>
    <mergeCell ref="AA102:AA103"/>
    <mergeCell ref="AB102:AB103"/>
    <mergeCell ref="AB94:AB97"/>
    <mergeCell ref="P77:P93"/>
    <mergeCell ref="Q77:Q87"/>
    <mergeCell ref="V77:W93"/>
    <mergeCell ref="AN94:AN97"/>
    <mergeCell ref="G99:G101"/>
    <mergeCell ref="H99:H101"/>
    <mergeCell ref="I99:I101"/>
    <mergeCell ref="J99:J101"/>
    <mergeCell ref="K99:K101"/>
    <mergeCell ref="L99:L101"/>
    <mergeCell ref="M99:M101"/>
    <mergeCell ref="N99:N101"/>
    <mergeCell ref="O99:O101"/>
    <mergeCell ref="P99:P101"/>
    <mergeCell ref="Q99:Q100"/>
    <mergeCell ref="V99:W101"/>
    <mergeCell ref="X99:X101"/>
    <mergeCell ref="Y99:Y101"/>
    <mergeCell ref="Z99:Z101"/>
    <mergeCell ref="AA99:AA101"/>
    <mergeCell ref="AB99:AB101"/>
    <mergeCell ref="AC99:AC101"/>
    <mergeCell ref="AD99:AD101"/>
    <mergeCell ref="O94:O97"/>
    <mergeCell ref="P94:P97"/>
    <mergeCell ref="Q94:Q97"/>
    <mergeCell ref="V94:V97"/>
    <mergeCell ref="W94:W97"/>
    <mergeCell ref="X94:X97"/>
    <mergeCell ref="Y94:Y97"/>
    <mergeCell ref="Z94:Z97"/>
    <mergeCell ref="AA94:AA97"/>
    <mergeCell ref="AL58:AL74"/>
    <mergeCell ref="AM58:AM74"/>
    <mergeCell ref="AN58:AN74"/>
    <mergeCell ref="Q62:Q74"/>
    <mergeCell ref="X77:X93"/>
    <mergeCell ref="Y77:Y93"/>
    <mergeCell ref="Z77:Z93"/>
    <mergeCell ref="AA77:AA93"/>
    <mergeCell ref="G77:G93"/>
    <mergeCell ref="H77:H93"/>
    <mergeCell ref="I77:I93"/>
    <mergeCell ref="J77:J93"/>
    <mergeCell ref="K77:K93"/>
    <mergeCell ref="L77:L93"/>
    <mergeCell ref="M77:M93"/>
    <mergeCell ref="N77:N93"/>
    <mergeCell ref="O77:O93"/>
    <mergeCell ref="AB77:AB93"/>
    <mergeCell ref="AC77:AC93"/>
    <mergeCell ref="Q88:Q93"/>
    <mergeCell ref="AF77:AF93"/>
    <mergeCell ref="AG77:AG93"/>
    <mergeCell ref="AH77:AH93"/>
    <mergeCell ref="AI77:AI93"/>
    <mergeCell ref="AL45:AL56"/>
    <mergeCell ref="AM45:AM56"/>
    <mergeCell ref="AN45:AN56"/>
    <mergeCell ref="G51:G53"/>
    <mergeCell ref="H51:H53"/>
    <mergeCell ref="I51:I53"/>
    <mergeCell ref="J51:J53"/>
    <mergeCell ref="N51:N53"/>
    <mergeCell ref="Q51:Q53"/>
    <mergeCell ref="G54:G56"/>
    <mergeCell ref="H54:H56"/>
    <mergeCell ref="I54:I56"/>
    <mergeCell ref="J54:J56"/>
    <mergeCell ref="N54:N56"/>
    <mergeCell ref="Q54:Q56"/>
    <mergeCell ref="V45:V56"/>
    <mergeCell ref="W45:W56"/>
    <mergeCell ref="X45:X56"/>
    <mergeCell ref="Y45:Y56"/>
    <mergeCell ref="Z45:Z56"/>
    <mergeCell ref="AB45:AB56"/>
    <mergeCell ref="AC45:AC56"/>
    <mergeCell ref="AD45:AD56"/>
    <mergeCell ref="G38:G40"/>
    <mergeCell ref="H38:H40"/>
    <mergeCell ref="I38:I40"/>
    <mergeCell ref="J38:J40"/>
    <mergeCell ref="N38:N40"/>
    <mergeCell ref="Q38:Q40"/>
    <mergeCell ref="G45:G50"/>
    <mergeCell ref="H45:H50"/>
    <mergeCell ref="I45:I50"/>
    <mergeCell ref="J45:J50"/>
    <mergeCell ref="K45:K56"/>
    <mergeCell ref="L45:L56"/>
    <mergeCell ref="M45:M56"/>
    <mergeCell ref="N45:N50"/>
    <mergeCell ref="O45:O56"/>
    <mergeCell ref="P45:P56"/>
    <mergeCell ref="Q45:Q50"/>
    <mergeCell ref="AL23:AL29"/>
    <mergeCell ref="AM23:AM29"/>
    <mergeCell ref="AN23:AN29"/>
    <mergeCell ref="Q28:Q29"/>
    <mergeCell ref="G31:G37"/>
    <mergeCell ref="H31:H37"/>
    <mergeCell ref="I31:I37"/>
    <mergeCell ref="J31:J37"/>
    <mergeCell ref="K31:K43"/>
    <mergeCell ref="L31:L43"/>
    <mergeCell ref="M31:M43"/>
    <mergeCell ref="N31:N37"/>
    <mergeCell ref="O31:O43"/>
    <mergeCell ref="P31:P43"/>
    <mergeCell ref="Q31:Q37"/>
    <mergeCell ref="V31:V43"/>
    <mergeCell ref="W31:W43"/>
    <mergeCell ref="X31:X43"/>
    <mergeCell ref="Y31:Y43"/>
    <mergeCell ref="Z31:Z43"/>
    <mergeCell ref="G41:G43"/>
    <mergeCell ref="H41:H43"/>
    <mergeCell ref="N41:N43"/>
    <mergeCell ref="Q41:Q43"/>
    <mergeCell ref="AN13:AN20"/>
    <mergeCell ref="G17:G20"/>
    <mergeCell ref="H17:H20"/>
    <mergeCell ref="I17:I20"/>
    <mergeCell ref="J17:J20"/>
    <mergeCell ref="N17:N20"/>
    <mergeCell ref="Q17:Q20"/>
    <mergeCell ref="AB13:AB20"/>
    <mergeCell ref="AC13:AC20"/>
    <mergeCell ref="AD13:AD20"/>
    <mergeCell ref="AE13:AE20"/>
    <mergeCell ref="AF13:AF20"/>
    <mergeCell ref="AG13:AG20"/>
    <mergeCell ref="AH13:AH20"/>
    <mergeCell ref="AI13:AI20"/>
    <mergeCell ref="AJ13:AJ20"/>
    <mergeCell ref="AN7:AN9"/>
    <mergeCell ref="E13:F20"/>
    <mergeCell ref="G13:G16"/>
    <mergeCell ref="H13:H16"/>
    <mergeCell ref="I13:I16"/>
    <mergeCell ref="J13:J16"/>
    <mergeCell ref="K13:K20"/>
    <mergeCell ref="L13:L20"/>
    <mergeCell ref="M13:M20"/>
    <mergeCell ref="N13:N16"/>
    <mergeCell ref="O13:O20"/>
    <mergeCell ref="P13:P20"/>
    <mergeCell ref="Q13:Q16"/>
    <mergeCell ref="V13:V20"/>
    <mergeCell ref="W13:W20"/>
    <mergeCell ref="X13:X20"/>
    <mergeCell ref="Y13:Y20"/>
    <mergeCell ref="Z13:Z20"/>
    <mergeCell ref="AA13:AA20"/>
    <mergeCell ref="F7:F9"/>
    <mergeCell ref="G7:G9"/>
    <mergeCell ref="AK13:AK20"/>
    <mergeCell ref="AL13:AL20"/>
    <mergeCell ref="AM13:AM20"/>
    <mergeCell ref="K7:K9"/>
    <mergeCell ref="L7:L9"/>
    <mergeCell ref="M7:M9"/>
    <mergeCell ref="N7:N9"/>
    <mergeCell ref="A139:I139"/>
    <mergeCell ref="A140:I140"/>
    <mergeCell ref="AH7:AJ8"/>
    <mergeCell ref="AL7:AL9"/>
    <mergeCell ref="AM7:AM9"/>
    <mergeCell ref="G23:G29"/>
    <mergeCell ref="H23:H29"/>
    <mergeCell ref="I23:I29"/>
    <mergeCell ref="J23:J29"/>
    <mergeCell ref="K23:K29"/>
    <mergeCell ref="L23:L29"/>
    <mergeCell ref="M23:M29"/>
    <mergeCell ref="N23:N29"/>
    <mergeCell ref="O23:O29"/>
    <mergeCell ref="AA23:AA29"/>
    <mergeCell ref="AB23:AB29"/>
    <mergeCell ref="AC23:AC29"/>
    <mergeCell ref="AD23:AD29"/>
    <mergeCell ref="AE23:AE29"/>
    <mergeCell ref="AF23:AF29"/>
    <mergeCell ref="AM94:AM97"/>
    <mergeCell ref="AG99:AG101"/>
    <mergeCell ref="AH99:AH101"/>
    <mergeCell ref="A143:I143"/>
    <mergeCell ref="AD123:AD134"/>
    <mergeCell ref="AE123:AE134"/>
    <mergeCell ref="AF123:AF134"/>
    <mergeCell ref="AG123:AG134"/>
    <mergeCell ref="AH123:AH134"/>
    <mergeCell ref="AI123:AI134"/>
    <mergeCell ref="AF114:AF120"/>
    <mergeCell ref="AG114:AG120"/>
    <mergeCell ref="AH114:AH120"/>
    <mergeCell ref="AI114:AI120"/>
    <mergeCell ref="N131:N132"/>
    <mergeCell ref="N133:N134"/>
    <mergeCell ref="G94:G97"/>
    <mergeCell ref="H94:H97"/>
    <mergeCell ref="I94:I97"/>
    <mergeCell ref="J94:J97"/>
    <mergeCell ref="K94:K97"/>
    <mergeCell ref="L94:L97"/>
    <mergeCell ref="M94:M97"/>
    <mergeCell ref="N94:N97"/>
    <mergeCell ref="AM114:AM120"/>
    <mergeCell ref="AF109:AF112"/>
    <mergeCell ref="AG109:AG112"/>
    <mergeCell ref="AH109:AH112"/>
    <mergeCell ref="AI109:AI112"/>
    <mergeCell ref="AJ109:AJ112"/>
    <mergeCell ref="AK109:AK112"/>
    <mergeCell ref="AL109:AL112"/>
    <mergeCell ref="AM109:AM112"/>
    <mergeCell ref="AJ77:AJ93"/>
    <mergeCell ref="AK77:AK93"/>
    <mergeCell ref="AL77:AL93"/>
    <mergeCell ref="AJ114:AJ120"/>
    <mergeCell ref="AK114:AK120"/>
    <mergeCell ref="AL114:AL120"/>
    <mergeCell ref="AG94:AG97"/>
    <mergeCell ref="AH94:AH97"/>
    <mergeCell ref="AI94:AI97"/>
    <mergeCell ref="AJ94:AJ97"/>
    <mergeCell ref="AK94:AK97"/>
    <mergeCell ref="AL94:AL97"/>
    <mergeCell ref="AG105:AG107"/>
    <mergeCell ref="AH105:AH107"/>
    <mergeCell ref="AI105:AI107"/>
    <mergeCell ref="AJ105:AJ107"/>
    <mergeCell ref="AK105:AK107"/>
    <mergeCell ref="AL105:AL107"/>
    <mergeCell ref="AK99:AK101"/>
    <mergeCell ref="AL99:AL101"/>
    <mergeCell ref="G58:G74"/>
    <mergeCell ref="H58:H74"/>
    <mergeCell ref="I58:I74"/>
    <mergeCell ref="J58:J74"/>
    <mergeCell ref="K58:K74"/>
    <mergeCell ref="L58:L74"/>
    <mergeCell ref="AM77:AM93"/>
    <mergeCell ref="AN77:AN93"/>
    <mergeCell ref="AC94:AC97"/>
    <mergeCell ref="AD94:AD97"/>
    <mergeCell ref="AE94:AE97"/>
    <mergeCell ref="AF94:AF97"/>
    <mergeCell ref="M58:M74"/>
    <mergeCell ref="N58:N74"/>
    <mergeCell ref="O58:O74"/>
    <mergeCell ref="P58:P74"/>
    <mergeCell ref="Q58:Q61"/>
    <mergeCell ref="V58:V74"/>
    <mergeCell ref="W58:W74"/>
    <mergeCell ref="X58:X74"/>
    <mergeCell ref="Y58:Y74"/>
    <mergeCell ref="Z58:Z74"/>
    <mergeCell ref="AD77:AD93"/>
    <mergeCell ref="AE77:AE93"/>
    <mergeCell ref="AK31:AK43"/>
    <mergeCell ref="AG23:AG29"/>
    <mergeCell ref="AE45:AE56"/>
    <mergeCell ref="AF45:AF56"/>
    <mergeCell ref="AA58:AA74"/>
    <mergeCell ref="AB58:AB74"/>
    <mergeCell ref="AC58:AC74"/>
    <mergeCell ref="AD58:AD74"/>
    <mergeCell ref="AE58:AE74"/>
    <mergeCell ref="AF58:AF74"/>
    <mergeCell ref="AJ23:AJ29"/>
    <mergeCell ref="AK23:AK29"/>
    <mergeCell ref="AG45:AG56"/>
    <mergeCell ref="AH45:AH56"/>
    <mergeCell ref="AI45:AI56"/>
    <mergeCell ref="AJ45:AJ56"/>
    <mergeCell ref="AA45:AA56"/>
    <mergeCell ref="AK45:AK56"/>
    <mergeCell ref="AG58:AG74"/>
    <mergeCell ref="AH58:AH74"/>
    <mergeCell ref="AI58:AI74"/>
    <mergeCell ref="AJ58:AJ74"/>
    <mergeCell ref="AK58:AK74"/>
    <mergeCell ref="S7:S8"/>
    <mergeCell ref="H7:H9"/>
    <mergeCell ref="I41:I43"/>
    <mergeCell ref="J41:J43"/>
    <mergeCell ref="AL31:AL43"/>
    <mergeCell ref="AM31:AM43"/>
    <mergeCell ref="AN31:AN43"/>
    <mergeCell ref="AA31:AA43"/>
    <mergeCell ref="AB31:AB43"/>
    <mergeCell ref="P23:P29"/>
    <mergeCell ref="Q23:Q27"/>
    <mergeCell ref="V23:V29"/>
    <mergeCell ref="W23:W29"/>
    <mergeCell ref="X23:X29"/>
    <mergeCell ref="Y23:Y29"/>
    <mergeCell ref="Z23:Z29"/>
    <mergeCell ref="AC31:AC43"/>
    <mergeCell ref="AD31:AD43"/>
    <mergeCell ref="AE31:AE43"/>
    <mergeCell ref="AF31:AF43"/>
    <mergeCell ref="AG31:AG43"/>
    <mergeCell ref="AH31:AH43"/>
    <mergeCell ref="AI31:AI43"/>
    <mergeCell ref="AJ31:AJ43"/>
    <mergeCell ref="I7:I9"/>
    <mergeCell ref="J7:J9"/>
    <mergeCell ref="AH23:AH29"/>
    <mergeCell ref="AI23:AI29"/>
    <mergeCell ref="A1:AL4"/>
    <mergeCell ref="A5:J6"/>
    <mergeCell ref="M5:AN5"/>
    <mergeCell ref="M6:U6"/>
    <mergeCell ref="V6:AK6"/>
    <mergeCell ref="AL6:AN6"/>
    <mergeCell ref="A7:A9"/>
    <mergeCell ref="B7:B9"/>
    <mergeCell ref="C7:C9"/>
    <mergeCell ref="D7:D9"/>
    <mergeCell ref="E7:E9"/>
    <mergeCell ref="O7:O9"/>
    <mergeCell ref="P7:P9"/>
    <mergeCell ref="Q7:Q9"/>
    <mergeCell ref="R7:R9"/>
    <mergeCell ref="T7:T9"/>
    <mergeCell ref="U7:U9"/>
    <mergeCell ref="V7:W8"/>
    <mergeCell ref="X7:AA8"/>
    <mergeCell ref="AB7:AG8"/>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8"/>
  <sheetViews>
    <sheetView showGridLines="0" zoomScale="60" zoomScaleNormal="60" workbookViewId="0">
      <selection sqref="A1:AP4"/>
    </sheetView>
  </sheetViews>
  <sheetFormatPr baseColWidth="10" defaultColWidth="11.42578125" defaultRowHeight="14.25" x14ac:dyDescent="0.2"/>
  <cols>
    <col min="1" max="10" width="17.85546875" style="404" customWidth="1"/>
    <col min="11" max="11" width="23" style="404" customWidth="1"/>
    <col min="12" max="12" width="20.5703125" style="404" customWidth="1"/>
    <col min="13" max="13" width="11.42578125" style="404" customWidth="1"/>
    <col min="14" max="14" width="10.85546875" style="404" customWidth="1"/>
    <col min="15" max="15" width="33.42578125" style="404" customWidth="1"/>
    <col min="16" max="16" width="21.7109375" style="404" customWidth="1"/>
    <col min="17" max="17" width="19.85546875" style="404" customWidth="1"/>
    <col min="18" max="18" width="14.28515625" style="404" customWidth="1"/>
    <col min="19" max="19" width="23.28515625" style="404" customWidth="1"/>
    <col min="20" max="20" width="19.140625" style="404" customWidth="1"/>
    <col min="21" max="21" width="26.5703125" style="404" customWidth="1"/>
    <col min="22" max="22" width="40" style="404" customWidth="1"/>
    <col min="23" max="23" width="23.85546875" style="404" customWidth="1"/>
    <col min="24" max="24" width="10.7109375" style="404" customWidth="1"/>
    <col min="25" max="25" width="14.85546875" style="404" customWidth="1"/>
    <col min="26" max="41" width="10.7109375" style="404" customWidth="1"/>
    <col min="42" max="42" width="18.42578125" style="404" customWidth="1"/>
    <col min="43" max="43" width="17.5703125" style="404" customWidth="1"/>
    <col min="44" max="44" width="24.42578125" style="404" customWidth="1"/>
    <col min="45" max="57" width="14.85546875" style="404" customWidth="1"/>
    <col min="58" max="16384" width="11.42578125" style="404"/>
  </cols>
  <sheetData>
    <row r="1" spans="1:44" ht="24" customHeight="1" x14ac:dyDescent="0.25">
      <c r="A1" s="2736" t="s">
        <v>1758</v>
      </c>
      <c r="B1" s="2678"/>
      <c r="C1" s="2678"/>
      <c r="D1" s="2678"/>
      <c r="E1" s="2678"/>
      <c r="F1" s="2678"/>
      <c r="G1" s="2678"/>
      <c r="H1" s="2678"/>
      <c r="I1" s="2678"/>
      <c r="J1" s="2678"/>
      <c r="K1" s="2678"/>
      <c r="L1" s="2678"/>
      <c r="M1" s="2678"/>
      <c r="N1" s="2678"/>
      <c r="O1" s="2678"/>
      <c r="P1" s="2678"/>
      <c r="Q1" s="2678"/>
      <c r="R1" s="2678"/>
      <c r="S1" s="2678"/>
      <c r="T1" s="2678"/>
      <c r="U1" s="2678"/>
      <c r="V1" s="2678"/>
      <c r="W1" s="2678"/>
      <c r="X1" s="2678"/>
      <c r="Y1" s="2678"/>
      <c r="Z1" s="2678"/>
      <c r="AA1" s="2678"/>
      <c r="AB1" s="2678"/>
      <c r="AC1" s="2678"/>
      <c r="AD1" s="2678"/>
      <c r="AE1" s="2678"/>
      <c r="AF1" s="2678"/>
      <c r="AG1" s="2678"/>
      <c r="AH1" s="2678"/>
      <c r="AI1" s="2678"/>
      <c r="AJ1" s="2678"/>
      <c r="AK1" s="2678"/>
      <c r="AL1" s="2678"/>
      <c r="AM1" s="2678"/>
      <c r="AN1" s="2678"/>
      <c r="AO1" s="2678"/>
      <c r="AP1" s="2678"/>
      <c r="AQ1" s="704" t="s">
        <v>0</v>
      </c>
      <c r="AR1" s="705" t="s">
        <v>1</v>
      </c>
    </row>
    <row r="2" spans="1:44" ht="24" customHeight="1" x14ac:dyDescent="0.25">
      <c r="A2" s="2736"/>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2678"/>
      <c r="AO2" s="2678"/>
      <c r="AP2" s="2678"/>
      <c r="AQ2" s="706" t="s">
        <v>2</v>
      </c>
      <c r="AR2" s="707">
        <v>6</v>
      </c>
    </row>
    <row r="3" spans="1:44" ht="24" customHeight="1" x14ac:dyDescent="0.25">
      <c r="A3" s="2736"/>
      <c r="B3" s="2678"/>
      <c r="C3" s="2678"/>
      <c r="D3" s="2678"/>
      <c r="E3" s="2678"/>
      <c r="F3" s="2678"/>
      <c r="G3" s="2678"/>
      <c r="H3" s="2678"/>
      <c r="I3" s="2678"/>
      <c r="J3" s="2678"/>
      <c r="K3" s="2678"/>
      <c r="L3" s="2678"/>
      <c r="M3" s="2678"/>
      <c r="N3" s="2678"/>
      <c r="O3" s="2678"/>
      <c r="P3" s="2678"/>
      <c r="Q3" s="2678"/>
      <c r="R3" s="2678"/>
      <c r="S3" s="2678"/>
      <c r="T3" s="2678"/>
      <c r="U3" s="2678"/>
      <c r="V3" s="2678"/>
      <c r="W3" s="2678"/>
      <c r="X3" s="2678"/>
      <c r="Y3" s="2678"/>
      <c r="Z3" s="2678"/>
      <c r="AA3" s="2678"/>
      <c r="AB3" s="2678"/>
      <c r="AC3" s="2678"/>
      <c r="AD3" s="2678"/>
      <c r="AE3" s="2678"/>
      <c r="AF3" s="2678"/>
      <c r="AG3" s="2678"/>
      <c r="AH3" s="2678"/>
      <c r="AI3" s="2678"/>
      <c r="AJ3" s="2678"/>
      <c r="AK3" s="2678"/>
      <c r="AL3" s="2678"/>
      <c r="AM3" s="2678"/>
      <c r="AN3" s="2678"/>
      <c r="AO3" s="2678"/>
      <c r="AP3" s="2678"/>
      <c r="AQ3" s="708" t="s">
        <v>4</v>
      </c>
      <c r="AR3" s="709" t="s">
        <v>5</v>
      </c>
    </row>
    <row r="4" spans="1:44" s="405" customFormat="1" ht="24" customHeight="1" x14ac:dyDescent="0.2">
      <c r="A4" s="2737"/>
      <c r="B4" s="2679"/>
      <c r="C4" s="2679"/>
      <c r="D4" s="2679"/>
      <c r="E4" s="2679"/>
      <c r="F4" s="2679"/>
      <c r="G4" s="2679"/>
      <c r="H4" s="2679"/>
      <c r="I4" s="2679"/>
      <c r="J4" s="2679"/>
      <c r="K4" s="2679"/>
      <c r="L4" s="2679"/>
      <c r="M4" s="2679"/>
      <c r="N4" s="2679"/>
      <c r="O4" s="2679"/>
      <c r="P4" s="2679"/>
      <c r="Q4" s="2679"/>
      <c r="R4" s="2679"/>
      <c r="S4" s="2679"/>
      <c r="T4" s="2679"/>
      <c r="U4" s="2679"/>
      <c r="V4" s="2679"/>
      <c r="W4" s="2679"/>
      <c r="X4" s="2679"/>
      <c r="Y4" s="2679"/>
      <c r="Z4" s="2679"/>
      <c r="AA4" s="2679"/>
      <c r="AB4" s="2679"/>
      <c r="AC4" s="2679"/>
      <c r="AD4" s="2679"/>
      <c r="AE4" s="2679"/>
      <c r="AF4" s="2679"/>
      <c r="AG4" s="2679"/>
      <c r="AH4" s="2679"/>
      <c r="AI4" s="2679"/>
      <c r="AJ4" s="2679"/>
      <c r="AK4" s="2679"/>
      <c r="AL4" s="2679"/>
      <c r="AM4" s="2679"/>
      <c r="AN4" s="2679"/>
      <c r="AO4" s="2679"/>
      <c r="AP4" s="2679"/>
      <c r="AQ4" s="710" t="s">
        <v>6</v>
      </c>
      <c r="AR4" s="711" t="s">
        <v>534</v>
      </c>
    </row>
    <row r="5" spans="1:44" ht="24" customHeight="1" x14ac:dyDescent="0.2">
      <c r="A5" s="2738" t="s">
        <v>8</v>
      </c>
      <c r="B5" s="2680"/>
      <c r="C5" s="2680"/>
      <c r="D5" s="2680"/>
      <c r="E5" s="2680"/>
      <c r="F5" s="2680"/>
      <c r="G5" s="2680"/>
      <c r="H5" s="2680"/>
      <c r="I5" s="2680"/>
      <c r="J5" s="2680"/>
      <c r="K5" s="2680"/>
      <c r="L5" s="2680"/>
      <c r="M5" s="2680"/>
      <c r="N5" s="3845"/>
      <c r="O5" s="1439"/>
      <c r="P5" s="1439"/>
      <c r="Q5" s="2681" t="s">
        <v>9</v>
      </c>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c r="AP5" s="2681"/>
      <c r="AQ5" s="2681"/>
      <c r="AR5" s="2741"/>
    </row>
    <row r="6" spans="1:44" ht="24" customHeight="1" x14ac:dyDescent="0.2">
      <c r="A6" s="2739"/>
      <c r="B6" s="2740"/>
      <c r="C6" s="2740"/>
      <c r="D6" s="2740"/>
      <c r="E6" s="2740"/>
      <c r="F6" s="2740"/>
      <c r="G6" s="2740"/>
      <c r="H6" s="2740"/>
      <c r="I6" s="2740"/>
      <c r="J6" s="2740"/>
      <c r="K6" s="2740"/>
      <c r="L6" s="2740"/>
      <c r="M6" s="2740"/>
      <c r="N6" s="2743"/>
      <c r="O6" s="1439"/>
      <c r="P6" s="1528"/>
      <c r="Q6" s="3194"/>
      <c r="R6" s="3195"/>
      <c r="S6" s="3195"/>
      <c r="T6" s="3195"/>
      <c r="U6" s="3195"/>
      <c r="V6" s="3195"/>
      <c r="W6" s="3195"/>
      <c r="X6" s="3195"/>
      <c r="Y6" s="3196"/>
      <c r="Z6" s="1529"/>
      <c r="AA6" s="1529"/>
      <c r="AB6" s="1529"/>
      <c r="AC6" s="1529"/>
      <c r="AD6" s="1529"/>
      <c r="AE6" s="1529"/>
      <c r="AF6" s="1529"/>
      <c r="AG6" s="1529"/>
      <c r="AH6" s="1529"/>
      <c r="AI6" s="1529"/>
      <c r="AJ6" s="1529"/>
      <c r="AK6" s="1529"/>
      <c r="AL6" s="1529"/>
      <c r="AM6" s="1529"/>
      <c r="AN6" s="1529"/>
      <c r="AO6" s="1529"/>
      <c r="AP6" s="3194"/>
      <c r="AQ6" s="3195"/>
      <c r="AR6" s="3197"/>
    </row>
    <row r="7" spans="1:44" ht="24" customHeight="1" x14ac:dyDescent="0.2">
      <c r="A7" s="3844" t="s">
        <v>11</v>
      </c>
      <c r="B7" s="3119" t="s">
        <v>12</v>
      </c>
      <c r="C7" s="3119"/>
      <c r="D7" s="3119" t="s">
        <v>11</v>
      </c>
      <c r="E7" s="3119" t="s">
        <v>13</v>
      </c>
      <c r="F7" s="3119"/>
      <c r="G7" s="3119" t="s">
        <v>11</v>
      </c>
      <c r="H7" s="3119" t="s">
        <v>14</v>
      </c>
      <c r="I7" s="3119"/>
      <c r="J7" s="3119" t="s">
        <v>11</v>
      </c>
      <c r="K7" s="3119" t="s">
        <v>15</v>
      </c>
      <c r="L7" s="3119" t="s">
        <v>16</v>
      </c>
      <c r="M7" s="2684" t="s">
        <v>17</v>
      </c>
      <c r="N7" s="2685"/>
      <c r="O7" s="3119" t="s">
        <v>18</v>
      </c>
      <c r="P7" s="2688" t="s">
        <v>947</v>
      </c>
      <c r="Q7" s="3119" t="s">
        <v>9</v>
      </c>
      <c r="R7" s="3119" t="s">
        <v>20</v>
      </c>
      <c r="S7" s="3119" t="s">
        <v>21</v>
      </c>
      <c r="T7" s="3119" t="s">
        <v>22</v>
      </c>
      <c r="U7" s="3119" t="s">
        <v>23</v>
      </c>
      <c r="V7" s="3119" t="s">
        <v>24</v>
      </c>
      <c r="W7" s="2684" t="s">
        <v>21</v>
      </c>
      <c r="X7" s="2688" t="s">
        <v>11</v>
      </c>
      <c r="Y7" s="3119" t="s">
        <v>25</v>
      </c>
      <c r="Z7" s="2696" t="s">
        <v>26</v>
      </c>
      <c r="AA7" s="2697"/>
      <c r="AB7" s="2698" t="s">
        <v>27</v>
      </c>
      <c r="AC7" s="2699"/>
      <c r="AD7" s="2699"/>
      <c r="AE7" s="2699"/>
      <c r="AF7" s="2700" t="s">
        <v>28</v>
      </c>
      <c r="AG7" s="2701"/>
      <c r="AH7" s="2701"/>
      <c r="AI7" s="2701"/>
      <c r="AJ7" s="2701"/>
      <c r="AK7" s="2701"/>
      <c r="AL7" s="2698" t="s">
        <v>29</v>
      </c>
      <c r="AM7" s="2699"/>
      <c r="AN7" s="2699"/>
      <c r="AO7" s="2746" t="s">
        <v>30</v>
      </c>
      <c r="AP7" s="3184" t="s">
        <v>31</v>
      </c>
      <c r="AQ7" s="3184" t="s">
        <v>32</v>
      </c>
      <c r="AR7" s="3132" t="s">
        <v>33</v>
      </c>
    </row>
    <row r="8" spans="1:44" ht="129" customHeight="1" x14ac:dyDescent="0.2">
      <c r="A8" s="3844"/>
      <c r="B8" s="3119"/>
      <c r="C8" s="3119"/>
      <c r="D8" s="3119"/>
      <c r="E8" s="3119"/>
      <c r="F8" s="3119"/>
      <c r="G8" s="3119"/>
      <c r="H8" s="3119"/>
      <c r="I8" s="3119"/>
      <c r="J8" s="3119"/>
      <c r="K8" s="3119"/>
      <c r="L8" s="3119"/>
      <c r="M8" s="2708"/>
      <c r="N8" s="3846"/>
      <c r="O8" s="3119"/>
      <c r="P8" s="2689"/>
      <c r="Q8" s="3119"/>
      <c r="R8" s="3119"/>
      <c r="S8" s="3119"/>
      <c r="T8" s="3119"/>
      <c r="U8" s="3119"/>
      <c r="V8" s="3119"/>
      <c r="W8" s="2686"/>
      <c r="X8" s="2689"/>
      <c r="Y8" s="3119"/>
      <c r="Z8" s="136" t="s">
        <v>34</v>
      </c>
      <c r="AA8" s="513" t="s">
        <v>35</v>
      </c>
      <c r="AB8" s="134" t="s">
        <v>36</v>
      </c>
      <c r="AC8" s="136" t="s">
        <v>115</v>
      </c>
      <c r="AD8" s="134" t="s">
        <v>38</v>
      </c>
      <c r="AE8" s="136" t="s">
        <v>117</v>
      </c>
      <c r="AF8" s="136" t="s">
        <v>40</v>
      </c>
      <c r="AG8" s="136" t="s">
        <v>41</v>
      </c>
      <c r="AH8" s="136" t="s">
        <v>42</v>
      </c>
      <c r="AI8" s="136" t="s">
        <v>43</v>
      </c>
      <c r="AJ8" s="136" t="s">
        <v>44</v>
      </c>
      <c r="AK8" s="136" t="s">
        <v>45</v>
      </c>
      <c r="AL8" s="136" t="s">
        <v>46</v>
      </c>
      <c r="AM8" s="136" t="s">
        <v>47</v>
      </c>
      <c r="AN8" s="136" t="s">
        <v>48</v>
      </c>
      <c r="AO8" s="2747"/>
      <c r="AP8" s="3185"/>
      <c r="AQ8" s="3185"/>
      <c r="AR8" s="3132"/>
    </row>
    <row r="9" spans="1:44" ht="15.75" x14ac:dyDescent="0.2">
      <c r="A9" s="3844"/>
      <c r="B9" s="3119"/>
      <c r="C9" s="3119"/>
      <c r="D9" s="3119"/>
      <c r="E9" s="3119"/>
      <c r="F9" s="3119"/>
      <c r="G9" s="3119"/>
      <c r="H9" s="3119"/>
      <c r="I9" s="3119"/>
      <c r="J9" s="3119"/>
      <c r="K9" s="3119"/>
      <c r="L9" s="3119"/>
      <c r="M9" s="1511" t="s">
        <v>633</v>
      </c>
      <c r="N9" s="712" t="s">
        <v>1537</v>
      </c>
      <c r="O9" s="3119"/>
      <c r="P9" s="2689"/>
      <c r="Q9" s="3119"/>
      <c r="R9" s="3119"/>
      <c r="S9" s="3119"/>
      <c r="T9" s="3119"/>
      <c r="U9" s="3119"/>
      <c r="V9" s="3119"/>
      <c r="W9" s="1511" t="s">
        <v>632</v>
      </c>
      <c r="X9" s="2726"/>
      <c r="Y9" s="3119"/>
      <c r="Z9" s="1511" t="s">
        <v>633</v>
      </c>
      <c r="AA9" s="1511" t="s">
        <v>633</v>
      </c>
      <c r="AB9" s="1511" t="s">
        <v>633</v>
      </c>
      <c r="AC9" s="1511" t="s">
        <v>633</v>
      </c>
      <c r="AD9" s="1511" t="s">
        <v>633</v>
      </c>
      <c r="AE9" s="1511" t="s">
        <v>633</v>
      </c>
      <c r="AF9" s="1511" t="s">
        <v>633</v>
      </c>
      <c r="AG9" s="1511" t="s">
        <v>633</v>
      </c>
      <c r="AH9" s="1511" t="s">
        <v>633</v>
      </c>
      <c r="AI9" s="1511" t="s">
        <v>633</v>
      </c>
      <c r="AJ9" s="1511" t="s">
        <v>633</v>
      </c>
      <c r="AK9" s="1511" t="s">
        <v>633</v>
      </c>
      <c r="AL9" s="1511" t="s">
        <v>633</v>
      </c>
      <c r="AM9" s="1511" t="s">
        <v>633</v>
      </c>
      <c r="AN9" s="1511" t="s">
        <v>633</v>
      </c>
      <c r="AO9" s="1511" t="s">
        <v>633</v>
      </c>
      <c r="AP9" s="313" t="s">
        <v>633</v>
      </c>
      <c r="AQ9" s="313" t="s">
        <v>633</v>
      </c>
      <c r="AR9" s="3132"/>
    </row>
    <row r="10" spans="1:44" ht="15.75" x14ac:dyDescent="0.2">
      <c r="A10" s="713">
        <v>5</v>
      </c>
      <c r="B10" s="146" t="s">
        <v>49</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714"/>
      <c r="AI10" s="714"/>
      <c r="AJ10" s="714"/>
      <c r="AK10" s="714"/>
      <c r="AL10" s="714"/>
      <c r="AM10" s="714"/>
      <c r="AN10" s="714"/>
      <c r="AO10" s="714"/>
      <c r="AP10" s="714"/>
      <c r="AQ10" s="714"/>
      <c r="AR10" s="715"/>
    </row>
    <row r="11" spans="1:44" s="412" customFormat="1" ht="15.75" x14ac:dyDescent="0.2">
      <c r="A11" s="3847"/>
      <c r="B11" s="2811"/>
      <c r="C11" s="2811"/>
      <c r="D11" s="353">
        <v>25</v>
      </c>
      <c r="E11" s="3849" t="s">
        <v>119</v>
      </c>
      <c r="F11" s="3849"/>
      <c r="G11" s="3849"/>
      <c r="H11" s="3849"/>
      <c r="I11" s="3849"/>
      <c r="J11" s="3849"/>
      <c r="K11" s="3849"/>
      <c r="L11" s="3849"/>
      <c r="M11" s="3849"/>
      <c r="N11" s="3849"/>
      <c r="O11" s="3849"/>
      <c r="P11" s="3849"/>
      <c r="Q11" s="3849"/>
      <c r="R11" s="3849"/>
      <c r="S11" s="3849"/>
      <c r="T11" s="3849"/>
      <c r="U11" s="3849"/>
      <c r="V11" s="3849"/>
      <c r="W11" s="3849"/>
      <c r="X11" s="3849"/>
      <c r="Y11" s="3849"/>
      <c r="Z11" s="3849"/>
      <c r="AA11" s="3849"/>
      <c r="AB11" s="3849"/>
      <c r="AC11" s="3849"/>
      <c r="AD11" s="3849"/>
      <c r="AE11" s="3849"/>
      <c r="AF11" s="3849"/>
      <c r="AG11" s="3849"/>
      <c r="AH11" s="716"/>
      <c r="AI11" s="716"/>
      <c r="AJ11" s="716"/>
      <c r="AK11" s="716"/>
      <c r="AL11" s="716"/>
      <c r="AM11" s="716"/>
      <c r="AN11" s="716"/>
      <c r="AO11" s="716"/>
      <c r="AP11" s="716"/>
      <c r="AQ11" s="716"/>
      <c r="AR11" s="717"/>
    </row>
    <row r="12" spans="1:44" s="412" customFormat="1" ht="15.75" x14ac:dyDescent="0.2">
      <c r="A12" s="3847"/>
      <c r="B12" s="2811"/>
      <c r="C12" s="2811"/>
      <c r="D12" s="2811"/>
      <c r="E12" s="2811"/>
      <c r="F12" s="2811"/>
      <c r="G12" s="718">
        <v>83</v>
      </c>
      <c r="H12" s="3850" t="s">
        <v>120</v>
      </c>
      <c r="I12" s="3851"/>
      <c r="J12" s="3851"/>
      <c r="K12" s="3851"/>
      <c r="L12" s="3851"/>
      <c r="M12" s="3851"/>
      <c r="N12" s="3851"/>
      <c r="O12" s="3851"/>
      <c r="P12" s="3851"/>
      <c r="Q12" s="3851"/>
      <c r="R12" s="3851"/>
      <c r="S12" s="3851"/>
      <c r="T12" s="3851"/>
      <c r="U12" s="3851"/>
      <c r="V12" s="3851"/>
      <c r="W12" s="3851"/>
      <c r="X12" s="3851"/>
      <c r="Y12" s="3851"/>
      <c r="Z12" s="3851"/>
      <c r="AA12" s="3851"/>
      <c r="AB12" s="3851"/>
      <c r="AC12" s="3851"/>
      <c r="AD12" s="3851"/>
      <c r="AE12" s="3851"/>
      <c r="AF12" s="3851"/>
      <c r="AG12" s="3851"/>
      <c r="AH12" s="719"/>
      <c r="AI12" s="719"/>
      <c r="AJ12" s="719"/>
      <c r="AK12" s="719"/>
      <c r="AL12" s="719"/>
      <c r="AM12" s="719"/>
      <c r="AN12" s="719"/>
      <c r="AO12" s="719"/>
      <c r="AP12" s="719"/>
      <c r="AQ12" s="719"/>
      <c r="AR12" s="720"/>
    </row>
    <row r="13" spans="1:44" ht="168" customHeight="1" x14ac:dyDescent="0.2">
      <c r="A13" s="3847"/>
      <c r="B13" s="2811"/>
      <c r="C13" s="2811"/>
      <c r="D13" s="2811"/>
      <c r="E13" s="2811"/>
      <c r="F13" s="2811"/>
      <c r="G13" s="2811"/>
      <c r="H13" s="2811"/>
      <c r="I13" s="2811"/>
      <c r="J13" s="2823">
        <v>243</v>
      </c>
      <c r="K13" s="3251" t="s">
        <v>1538</v>
      </c>
      <c r="L13" s="3235" t="s">
        <v>1539</v>
      </c>
      <c r="M13" s="2811">
        <v>6</v>
      </c>
      <c r="N13" s="2436">
        <v>6</v>
      </c>
      <c r="O13" s="3235" t="s">
        <v>1540</v>
      </c>
      <c r="P13" s="3235" t="s">
        <v>1541</v>
      </c>
      <c r="Q13" s="3235" t="s">
        <v>1542</v>
      </c>
      <c r="R13" s="3852">
        <f>SUM(W13:W20)/S13</f>
        <v>1</v>
      </c>
      <c r="S13" s="3638">
        <f>SUM(W13:W20)</f>
        <v>71548128</v>
      </c>
      <c r="T13" s="3235" t="s">
        <v>1543</v>
      </c>
      <c r="U13" s="2885" t="s">
        <v>1544</v>
      </c>
      <c r="V13" s="3235" t="s">
        <v>1545</v>
      </c>
      <c r="W13" s="3854">
        <f>17887032-1777032</f>
        <v>16110000</v>
      </c>
      <c r="X13" s="1536">
        <v>20</v>
      </c>
      <c r="Y13" s="2823" t="s">
        <v>645</v>
      </c>
      <c r="Z13" s="2771">
        <v>292684</v>
      </c>
      <c r="AA13" s="3272">
        <v>282326</v>
      </c>
      <c r="AB13" s="3272">
        <v>135912</v>
      </c>
      <c r="AC13" s="3272">
        <v>45122</v>
      </c>
      <c r="AD13" s="3272">
        <v>307101</v>
      </c>
      <c r="AE13" s="3272">
        <v>86875</v>
      </c>
      <c r="AF13" s="3272">
        <v>2145</v>
      </c>
      <c r="AG13" s="3272">
        <v>12718</v>
      </c>
      <c r="AH13" s="3272">
        <v>26</v>
      </c>
      <c r="AI13" s="3272">
        <v>37</v>
      </c>
      <c r="AJ13" s="2771"/>
      <c r="AK13" s="2771"/>
      <c r="AL13" s="3272">
        <v>53164</v>
      </c>
      <c r="AM13" s="3272">
        <v>16982</v>
      </c>
      <c r="AN13" s="3272">
        <v>60013</v>
      </c>
      <c r="AO13" s="3272">
        <f>+Z13+AA13</f>
        <v>575010</v>
      </c>
      <c r="AP13" s="3859">
        <v>43467</v>
      </c>
      <c r="AQ13" s="3859">
        <v>43830</v>
      </c>
      <c r="AR13" s="3861" t="s">
        <v>1546</v>
      </c>
    </row>
    <row r="14" spans="1:44" ht="15" customHeight="1" x14ac:dyDescent="0.2">
      <c r="A14" s="3847"/>
      <c r="B14" s="2811"/>
      <c r="C14" s="2811"/>
      <c r="D14" s="2811"/>
      <c r="E14" s="2811"/>
      <c r="F14" s="2811"/>
      <c r="G14" s="2811"/>
      <c r="H14" s="2811"/>
      <c r="I14" s="2811"/>
      <c r="J14" s="2824"/>
      <c r="K14" s="3252"/>
      <c r="L14" s="2845"/>
      <c r="M14" s="2811"/>
      <c r="N14" s="2436"/>
      <c r="O14" s="2845"/>
      <c r="P14" s="2845"/>
      <c r="Q14" s="2845"/>
      <c r="R14" s="3853"/>
      <c r="S14" s="3572"/>
      <c r="T14" s="2845"/>
      <c r="U14" s="2886"/>
      <c r="V14" s="3325"/>
      <c r="W14" s="3855"/>
      <c r="X14" s="396"/>
      <c r="Y14" s="2824"/>
      <c r="Z14" s="2772"/>
      <c r="AA14" s="3273"/>
      <c r="AB14" s="3273"/>
      <c r="AC14" s="3273"/>
      <c r="AD14" s="3273"/>
      <c r="AE14" s="3273"/>
      <c r="AF14" s="3273"/>
      <c r="AG14" s="3273"/>
      <c r="AH14" s="3273"/>
      <c r="AI14" s="3273"/>
      <c r="AJ14" s="2772"/>
      <c r="AK14" s="2772"/>
      <c r="AL14" s="3273"/>
      <c r="AM14" s="3273"/>
      <c r="AN14" s="3273"/>
      <c r="AO14" s="3273"/>
      <c r="AP14" s="3860"/>
      <c r="AQ14" s="3860"/>
      <c r="AR14" s="3261"/>
    </row>
    <row r="15" spans="1:44" ht="83.25" customHeight="1" x14ac:dyDescent="0.2">
      <c r="A15" s="3847"/>
      <c r="B15" s="2811"/>
      <c r="C15" s="2811"/>
      <c r="D15" s="2811"/>
      <c r="E15" s="2811"/>
      <c r="F15" s="2811"/>
      <c r="G15" s="2811"/>
      <c r="H15" s="2811"/>
      <c r="I15" s="2811"/>
      <c r="J15" s="2824"/>
      <c r="K15" s="3252"/>
      <c r="L15" s="2845"/>
      <c r="M15" s="2811"/>
      <c r="N15" s="2436"/>
      <c r="O15" s="2845"/>
      <c r="P15" s="2845"/>
      <c r="Q15" s="2845"/>
      <c r="R15" s="3853"/>
      <c r="S15" s="3572"/>
      <c r="T15" s="2845"/>
      <c r="U15" s="2886"/>
      <c r="V15" s="3235" t="s">
        <v>1547</v>
      </c>
      <c r="W15" s="3854">
        <v>17887032</v>
      </c>
      <c r="X15" s="3290">
        <v>20</v>
      </c>
      <c r="Y15" s="2824"/>
      <c r="Z15" s="2772"/>
      <c r="AA15" s="3273"/>
      <c r="AB15" s="3273"/>
      <c r="AC15" s="3273"/>
      <c r="AD15" s="3273"/>
      <c r="AE15" s="3273"/>
      <c r="AF15" s="3273"/>
      <c r="AG15" s="3273"/>
      <c r="AH15" s="3273"/>
      <c r="AI15" s="3273"/>
      <c r="AJ15" s="2772"/>
      <c r="AK15" s="2772"/>
      <c r="AL15" s="3273"/>
      <c r="AM15" s="3273"/>
      <c r="AN15" s="3273"/>
      <c r="AO15" s="3273"/>
      <c r="AP15" s="3860"/>
      <c r="AQ15" s="3860"/>
      <c r="AR15" s="3261"/>
    </row>
    <row r="16" spans="1:44" ht="14.25" customHeight="1" x14ac:dyDescent="0.2">
      <c r="A16" s="3847"/>
      <c r="B16" s="2811"/>
      <c r="C16" s="2811"/>
      <c r="D16" s="2811"/>
      <c r="E16" s="2811"/>
      <c r="F16" s="2811"/>
      <c r="G16" s="2811"/>
      <c r="H16" s="2811"/>
      <c r="I16" s="2811"/>
      <c r="J16" s="2824"/>
      <c r="K16" s="3252"/>
      <c r="L16" s="2845"/>
      <c r="M16" s="2811"/>
      <c r="N16" s="2436"/>
      <c r="O16" s="2845"/>
      <c r="P16" s="2845"/>
      <c r="Q16" s="2845"/>
      <c r="R16" s="3853"/>
      <c r="S16" s="3572"/>
      <c r="T16" s="2845"/>
      <c r="U16" s="2905"/>
      <c r="V16" s="3325"/>
      <c r="W16" s="3855"/>
      <c r="X16" s="3291"/>
      <c r="Y16" s="2824"/>
      <c r="Z16" s="2772"/>
      <c r="AA16" s="3273"/>
      <c r="AB16" s="3273"/>
      <c r="AC16" s="3273"/>
      <c r="AD16" s="3273"/>
      <c r="AE16" s="3273"/>
      <c r="AF16" s="3273"/>
      <c r="AG16" s="3273"/>
      <c r="AH16" s="3273"/>
      <c r="AI16" s="3273"/>
      <c r="AJ16" s="2772"/>
      <c r="AK16" s="2772"/>
      <c r="AL16" s="3273"/>
      <c r="AM16" s="3273"/>
      <c r="AN16" s="3273"/>
      <c r="AO16" s="3273"/>
      <c r="AP16" s="3860"/>
      <c r="AQ16" s="3860"/>
      <c r="AR16" s="3261"/>
    </row>
    <row r="17" spans="1:44" ht="14.25" customHeight="1" x14ac:dyDescent="0.2">
      <c r="A17" s="3847"/>
      <c r="B17" s="2811"/>
      <c r="C17" s="2811"/>
      <c r="D17" s="2811"/>
      <c r="E17" s="2811"/>
      <c r="F17" s="2811"/>
      <c r="G17" s="2811"/>
      <c r="H17" s="2811"/>
      <c r="I17" s="2811"/>
      <c r="J17" s="2824"/>
      <c r="K17" s="3252"/>
      <c r="L17" s="2845"/>
      <c r="M17" s="2811"/>
      <c r="N17" s="2436"/>
      <c r="O17" s="2845"/>
      <c r="P17" s="2845"/>
      <c r="Q17" s="2845"/>
      <c r="R17" s="3853"/>
      <c r="S17" s="3572"/>
      <c r="T17" s="2845"/>
      <c r="U17" s="3235" t="s">
        <v>1548</v>
      </c>
      <c r="V17" s="3235" t="s">
        <v>1549</v>
      </c>
      <c r="W17" s="3854">
        <f>17887032+888516</f>
        <v>18775548</v>
      </c>
      <c r="X17" s="3290">
        <v>20</v>
      </c>
      <c r="Y17" s="2824"/>
      <c r="Z17" s="2772"/>
      <c r="AA17" s="3273"/>
      <c r="AB17" s="3273"/>
      <c r="AC17" s="3273"/>
      <c r="AD17" s="3273"/>
      <c r="AE17" s="3273"/>
      <c r="AF17" s="3273"/>
      <c r="AG17" s="3273"/>
      <c r="AH17" s="3273"/>
      <c r="AI17" s="3273"/>
      <c r="AJ17" s="2772"/>
      <c r="AK17" s="2772"/>
      <c r="AL17" s="3273"/>
      <c r="AM17" s="3273"/>
      <c r="AN17" s="3273"/>
      <c r="AO17" s="3273"/>
      <c r="AP17" s="3860"/>
      <c r="AQ17" s="3860"/>
      <c r="AR17" s="3261"/>
    </row>
    <row r="18" spans="1:44" ht="101.25" customHeight="1" x14ac:dyDescent="0.2">
      <c r="A18" s="3847"/>
      <c r="B18" s="2811"/>
      <c r="C18" s="2811"/>
      <c r="D18" s="2811"/>
      <c r="E18" s="2811"/>
      <c r="F18" s="2811"/>
      <c r="G18" s="2811"/>
      <c r="H18" s="2811"/>
      <c r="I18" s="2811"/>
      <c r="J18" s="2824"/>
      <c r="K18" s="3252"/>
      <c r="L18" s="2845"/>
      <c r="M18" s="2811"/>
      <c r="N18" s="2436"/>
      <c r="O18" s="2845"/>
      <c r="P18" s="2845"/>
      <c r="Q18" s="2845"/>
      <c r="R18" s="3853"/>
      <c r="S18" s="3572"/>
      <c r="T18" s="2845"/>
      <c r="U18" s="2845"/>
      <c r="V18" s="3325"/>
      <c r="W18" s="3855"/>
      <c r="X18" s="3291"/>
      <c r="Y18" s="2824"/>
      <c r="Z18" s="2772"/>
      <c r="AA18" s="3273"/>
      <c r="AB18" s="3273"/>
      <c r="AC18" s="3273"/>
      <c r="AD18" s="3273"/>
      <c r="AE18" s="3273"/>
      <c r="AF18" s="3273"/>
      <c r="AG18" s="3273"/>
      <c r="AH18" s="3273"/>
      <c r="AI18" s="3273"/>
      <c r="AJ18" s="2772"/>
      <c r="AK18" s="2772"/>
      <c r="AL18" s="3273"/>
      <c r="AM18" s="3273"/>
      <c r="AN18" s="3273"/>
      <c r="AO18" s="3273"/>
      <c r="AP18" s="3860"/>
      <c r="AQ18" s="3860"/>
      <c r="AR18" s="3261"/>
    </row>
    <row r="19" spans="1:44" ht="14.25" customHeight="1" x14ac:dyDescent="0.2">
      <c r="A19" s="3847"/>
      <c r="B19" s="2811"/>
      <c r="C19" s="2811"/>
      <c r="D19" s="2811"/>
      <c r="E19" s="2811"/>
      <c r="F19" s="2811"/>
      <c r="G19" s="2811"/>
      <c r="H19" s="2811"/>
      <c r="I19" s="2811"/>
      <c r="J19" s="2824"/>
      <c r="K19" s="3252"/>
      <c r="L19" s="2845"/>
      <c r="M19" s="2811"/>
      <c r="N19" s="2436"/>
      <c r="O19" s="2845"/>
      <c r="P19" s="2845"/>
      <c r="Q19" s="2845"/>
      <c r="R19" s="3853"/>
      <c r="S19" s="3572"/>
      <c r="T19" s="2845"/>
      <c r="U19" s="2845"/>
      <c r="V19" s="3235" t="s">
        <v>1550</v>
      </c>
      <c r="W19" s="3854">
        <f>17887032+888516</f>
        <v>18775548</v>
      </c>
      <c r="X19" s="3290">
        <v>20</v>
      </c>
      <c r="Y19" s="2824"/>
      <c r="Z19" s="2772"/>
      <c r="AA19" s="3273"/>
      <c r="AB19" s="3273"/>
      <c r="AC19" s="3273"/>
      <c r="AD19" s="3273"/>
      <c r="AE19" s="3273"/>
      <c r="AF19" s="3273"/>
      <c r="AG19" s="3273"/>
      <c r="AH19" s="3273"/>
      <c r="AI19" s="3273"/>
      <c r="AJ19" s="2772"/>
      <c r="AK19" s="2772"/>
      <c r="AL19" s="3273"/>
      <c r="AM19" s="3273"/>
      <c r="AN19" s="3273"/>
      <c r="AO19" s="3273"/>
      <c r="AP19" s="3860"/>
      <c r="AQ19" s="3860"/>
      <c r="AR19" s="3261"/>
    </row>
    <row r="20" spans="1:44" ht="63.75" customHeight="1" thickBot="1" x14ac:dyDescent="0.25">
      <c r="A20" s="3848"/>
      <c r="B20" s="2823"/>
      <c r="C20" s="2823"/>
      <c r="D20" s="2823"/>
      <c r="E20" s="2823"/>
      <c r="F20" s="2823"/>
      <c r="G20" s="2823"/>
      <c r="H20" s="2823"/>
      <c r="I20" s="2823"/>
      <c r="J20" s="2824"/>
      <c r="K20" s="3252"/>
      <c r="L20" s="2845"/>
      <c r="M20" s="2823"/>
      <c r="N20" s="2437"/>
      <c r="O20" s="2845"/>
      <c r="P20" s="2845"/>
      <c r="Q20" s="2845"/>
      <c r="R20" s="3853"/>
      <c r="S20" s="3639"/>
      <c r="T20" s="3325"/>
      <c r="U20" s="3325"/>
      <c r="V20" s="3325"/>
      <c r="W20" s="3855"/>
      <c r="X20" s="3858"/>
      <c r="Y20" s="2825"/>
      <c r="Z20" s="3856"/>
      <c r="AA20" s="3857"/>
      <c r="AB20" s="3857"/>
      <c r="AC20" s="3274"/>
      <c r="AD20" s="3274"/>
      <c r="AE20" s="3274"/>
      <c r="AF20" s="3274"/>
      <c r="AG20" s="3274"/>
      <c r="AH20" s="3274"/>
      <c r="AI20" s="3274"/>
      <c r="AJ20" s="3856"/>
      <c r="AK20" s="3856"/>
      <c r="AL20" s="3274"/>
      <c r="AM20" s="3274"/>
      <c r="AN20" s="3274"/>
      <c r="AO20" s="3274"/>
      <c r="AP20" s="3860"/>
      <c r="AQ20" s="3860"/>
      <c r="AR20" s="3261"/>
    </row>
    <row r="21" spans="1:44" s="722" customFormat="1" ht="16.5" thickBot="1" x14ac:dyDescent="0.3">
      <c r="A21" s="339"/>
      <c r="B21" s="340"/>
      <c r="C21" s="340"/>
      <c r="D21" s="340"/>
      <c r="E21" s="341"/>
      <c r="F21" s="341"/>
      <c r="G21" s="3502" t="s">
        <v>343</v>
      </c>
      <c r="H21" s="3502"/>
      <c r="I21" s="3502"/>
      <c r="J21" s="3502"/>
      <c r="K21" s="3502"/>
      <c r="L21" s="3502"/>
      <c r="M21" s="3502"/>
      <c r="N21" s="3502"/>
      <c r="O21" s="3502"/>
      <c r="P21" s="3502"/>
      <c r="Q21" s="3502"/>
      <c r="R21" s="3503"/>
      <c r="S21" s="721">
        <f>SUM(S13)</f>
        <v>71548128</v>
      </c>
      <c r="T21" s="339"/>
      <c r="U21" s="340"/>
      <c r="V21" s="344"/>
      <c r="W21" s="343">
        <f>SUM(W13:W20)</f>
        <v>71548128</v>
      </c>
      <c r="X21" s="345"/>
      <c r="Y21" s="346"/>
      <c r="Z21" s="346"/>
      <c r="AA21" s="346"/>
      <c r="AB21" s="346"/>
      <c r="AC21" s="346"/>
      <c r="AD21" s="346"/>
      <c r="AE21" s="346"/>
      <c r="AF21" s="346"/>
      <c r="AG21" s="346"/>
      <c r="AH21" s="346"/>
      <c r="AI21" s="346"/>
      <c r="AJ21" s="346"/>
      <c r="AK21" s="346"/>
      <c r="AL21" s="346"/>
      <c r="AM21" s="346"/>
      <c r="AN21" s="346"/>
      <c r="AO21" s="346"/>
      <c r="AP21" s="347"/>
      <c r="AQ21" s="348"/>
      <c r="AR21" s="349"/>
    </row>
    <row r="22" spans="1:44" ht="14.25" customHeight="1" x14ac:dyDescent="0.2">
      <c r="S22" s="723"/>
    </row>
    <row r="23" spans="1:44" x14ac:dyDescent="0.2">
      <c r="S23" s="724"/>
    </row>
    <row r="24" spans="1:44" x14ac:dyDescent="0.2">
      <c r="W24" s="724"/>
    </row>
    <row r="27" spans="1:44" ht="15.75" x14ac:dyDescent="0.25">
      <c r="M27" s="26" t="s">
        <v>1551</v>
      </c>
      <c r="N27" s="725"/>
      <c r="O27" s="725"/>
      <c r="P27" s="725"/>
      <c r="Q27" s="725"/>
      <c r="T27" s="438"/>
    </row>
    <row r="28" spans="1:44" ht="15.75" x14ac:dyDescent="0.25">
      <c r="M28" s="27" t="s">
        <v>1546</v>
      </c>
      <c r="T28" s="438"/>
    </row>
  </sheetData>
  <sheetProtection password="A60F" sheet="1" objects="1" scenarios="1"/>
  <mergeCells count="87">
    <mergeCell ref="G21:R21"/>
    <mergeCell ref="AP13:AP20"/>
    <mergeCell ref="AQ13:AQ20"/>
    <mergeCell ref="AR13:AR20"/>
    <mergeCell ref="V15:V16"/>
    <mergeCell ref="W15:W16"/>
    <mergeCell ref="U17:U20"/>
    <mergeCell ref="V17:V18"/>
    <mergeCell ref="W17:W18"/>
    <mergeCell ref="V19:V20"/>
    <mergeCell ref="W19:W20"/>
    <mergeCell ref="AJ13:AJ20"/>
    <mergeCell ref="AK13:AK20"/>
    <mergeCell ref="AL13:AL20"/>
    <mergeCell ref="AM13:AM20"/>
    <mergeCell ref="AN13:AN20"/>
    <mergeCell ref="AO13:AO20"/>
    <mergeCell ref="AD13:AD20"/>
    <mergeCell ref="AE13:AE20"/>
    <mergeCell ref="AF13:AF20"/>
    <mergeCell ref="AG13:AG20"/>
    <mergeCell ref="AH13:AH20"/>
    <mergeCell ref="AI13:AI20"/>
    <mergeCell ref="AC13:AC20"/>
    <mergeCell ref="R13:R20"/>
    <mergeCell ref="S13:S20"/>
    <mergeCell ref="T13:T20"/>
    <mergeCell ref="U13:U16"/>
    <mergeCell ref="V13:V14"/>
    <mergeCell ref="W13:W14"/>
    <mergeCell ref="Y13:Y20"/>
    <mergeCell ref="Z13:Z20"/>
    <mergeCell ref="AA13:AA20"/>
    <mergeCell ref="AB13:AB20"/>
    <mergeCell ref="X15:X16"/>
    <mergeCell ref="X17:X18"/>
    <mergeCell ref="X19:X20"/>
    <mergeCell ref="Q13:Q20"/>
    <mergeCell ref="A11:A20"/>
    <mergeCell ref="B11:C20"/>
    <mergeCell ref="E11:AG11"/>
    <mergeCell ref="D12:D20"/>
    <mergeCell ref="E12:F20"/>
    <mergeCell ref="H12:AG12"/>
    <mergeCell ref="G13:G20"/>
    <mergeCell ref="H13:I20"/>
    <mergeCell ref="J13:J20"/>
    <mergeCell ref="K13:K20"/>
    <mergeCell ref="L13:L20"/>
    <mergeCell ref="M13:M20"/>
    <mergeCell ref="N13:N20"/>
    <mergeCell ref="O13:O20"/>
    <mergeCell ref="P13:P20"/>
    <mergeCell ref="AR7:AR9"/>
    <mergeCell ref="V7:V9"/>
    <mergeCell ref="W7:W8"/>
    <mergeCell ref="X7:X9"/>
    <mergeCell ref="Y7:Y9"/>
    <mergeCell ref="Z7:AA7"/>
    <mergeCell ref="AB7:AE7"/>
    <mergeCell ref="AF7:AK7"/>
    <mergeCell ref="AL7:AN7"/>
    <mergeCell ref="AO7:AO8"/>
    <mergeCell ref="AP7:AP8"/>
    <mergeCell ref="AQ7:AQ8"/>
    <mergeCell ref="U7:U9"/>
    <mergeCell ref="H7:I9"/>
    <mergeCell ref="J7:J9"/>
    <mergeCell ref="K7:K9"/>
    <mergeCell ref="L7:L9"/>
    <mergeCell ref="M7:N8"/>
    <mergeCell ref="O7:O9"/>
    <mergeCell ref="P7:P9"/>
    <mergeCell ref="Q7:Q9"/>
    <mergeCell ref="R7:R9"/>
    <mergeCell ref="S7:S9"/>
    <mergeCell ref="T7:T9"/>
    <mergeCell ref="A1:AP4"/>
    <mergeCell ref="A5:N6"/>
    <mergeCell ref="Q5:AR5"/>
    <mergeCell ref="Q6:Y6"/>
    <mergeCell ref="AP6:AR6"/>
    <mergeCell ref="A7:A9"/>
    <mergeCell ref="B7:C9"/>
    <mergeCell ref="D7:D9"/>
    <mergeCell ref="E7:F9"/>
    <mergeCell ref="G7:G9"/>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369"/>
  <sheetViews>
    <sheetView showGridLines="0" zoomScale="50" zoomScaleNormal="50" workbookViewId="0">
      <selection sqref="A1:AO4"/>
    </sheetView>
  </sheetViews>
  <sheetFormatPr baseColWidth="10" defaultColWidth="30" defaultRowHeight="14.25" x14ac:dyDescent="0.2"/>
  <cols>
    <col min="1" max="1" width="15.5703125" style="2204" customWidth="1"/>
    <col min="2" max="2" width="12.42578125" style="2204" customWidth="1"/>
    <col min="3" max="3" width="11.7109375" style="2204" customWidth="1"/>
    <col min="4" max="4" width="13.28515625" style="2204" customWidth="1"/>
    <col min="5" max="5" width="12.140625" style="2204" customWidth="1"/>
    <col min="6" max="6" width="12" style="2204" customWidth="1"/>
    <col min="7" max="7" width="16.42578125" style="2204" customWidth="1"/>
    <col min="8" max="8" width="13.7109375" style="2204" customWidth="1"/>
    <col min="9" max="9" width="12.42578125" style="2204" customWidth="1"/>
    <col min="10" max="10" width="15.140625" style="2204" customWidth="1"/>
    <col min="11" max="11" width="36.42578125" style="2403" customWidth="1"/>
    <col min="12" max="12" width="20.5703125" style="2236" customWidth="1"/>
    <col min="13" max="13" width="19.140625" style="2236" customWidth="1"/>
    <col min="14" max="14" width="38.28515625" style="2303" customWidth="1"/>
    <col min="15" max="15" width="27.42578125" style="2236" customWidth="1"/>
    <col min="16" max="16" width="24.85546875" style="2403" customWidth="1"/>
    <col min="17" max="17" width="20.28515625" style="2404" customWidth="1"/>
    <col min="18" max="18" width="26.42578125" style="2303" customWidth="1"/>
    <col min="19" max="19" width="31.5703125" style="2236" customWidth="1"/>
    <col min="20" max="20" width="37.7109375" style="2403" customWidth="1"/>
    <col min="21" max="21" width="57.85546875" style="2405" customWidth="1"/>
    <col min="22" max="22" width="27.5703125" style="2405" customWidth="1"/>
    <col min="23" max="23" width="14.140625" style="2404" customWidth="1"/>
    <col min="24" max="24" width="39.7109375" style="2404" customWidth="1"/>
    <col min="25" max="25" width="8" style="2407" customWidth="1"/>
    <col min="26" max="26" width="9.140625" style="2407" bestFit="1" customWidth="1"/>
    <col min="27" max="27" width="9.140625" style="2408" bestFit="1" customWidth="1"/>
    <col min="28" max="28" width="8.7109375" style="2407" bestFit="1" customWidth="1"/>
    <col min="29" max="29" width="9.42578125" style="2407" bestFit="1" customWidth="1"/>
    <col min="30" max="31" width="8.7109375" style="2407" bestFit="1" customWidth="1"/>
    <col min="32" max="32" width="8.7109375" style="2409" bestFit="1" customWidth="1"/>
    <col min="33" max="33" width="8.7109375" style="2407" bestFit="1" customWidth="1"/>
    <col min="34" max="34" width="8.7109375" style="2408" bestFit="1" customWidth="1"/>
    <col min="35" max="36" width="8.7109375" style="2407" bestFit="1" customWidth="1"/>
    <col min="37" max="37" width="8.7109375" style="2408" bestFit="1" customWidth="1"/>
    <col min="38" max="38" width="8.28515625" style="2408" bestFit="1" customWidth="1"/>
    <col min="39" max="39" width="9" style="2408" bestFit="1" customWidth="1"/>
    <col min="40" max="40" width="12.7109375" style="2408" customWidth="1"/>
    <col min="41" max="41" width="21.7109375" style="2204" customWidth="1"/>
    <col min="42" max="42" width="20.28515625" style="2204" customWidth="1"/>
    <col min="43" max="43" width="25.140625" style="2204" customWidth="1"/>
    <col min="44" max="16384" width="30" style="2204"/>
  </cols>
  <sheetData>
    <row r="1" spans="1:43" s="2185" customFormat="1" ht="21.75" customHeight="1" x14ac:dyDescent="0.25">
      <c r="A1" s="4055" t="s">
        <v>2036</v>
      </c>
      <c r="B1" s="4056"/>
      <c r="C1" s="4056"/>
      <c r="D1" s="4056"/>
      <c r="E1" s="4056"/>
      <c r="F1" s="4056"/>
      <c r="G1" s="4056"/>
      <c r="H1" s="4056"/>
      <c r="I1" s="4056"/>
      <c r="J1" s="4056"/>
      <c r="K1" s="4056"/>
      <c r="L1" s="4056"/>
      <c r="M1" s="4056"/>
      <c r="N1" s="4056"/>
      <c r="O1" s="4056"/>
      <c r="P1" s="4056"/>
      <c r="Q1" s="4056"/>
      <c r="R1" s="4056"/>
      <c r="S1" s="4056"/>
      <c r="T1" s="4056"/>
      <c r="U1" s="4056"/>
      <c r="V1" s="4056"/>
      <c r="W1" s="4056"/>
      <c r="X1" s="4056"/>
      <c r="Y1" s="4056"/>
      <c r="Z1" s="4056"/>
      <c r="AA1" s="4056"/>
      <c r="AB1" s="4056"/>
      <c r="AC1" s="4056"/>
      <c r="AD1" s="4056"/>
      <c r="AE1" s="4056"/>
      <c r="AF1" s="4056"/>
      <c r="AG1" s="4056"/>
      <c r="AH1" s="4056"/>
      <c r="AI1" s="4056"/>
      <c r="AJ1" s="4056"/>
      <c r="AK1" s="4056"/>
      <c r="AL1" s="4056"/>
      <c r="AM1" s="4056"/>
      <c r="AN1" s="4056"/>
      <c r="AO1" s="4056"/>
      <c r="AP1" s="1990" t="s">
        <v>11</v>
      </c>
      <c r="AQ1" s="2184" t="s">
        <v>1</v>
      </c>
    </row>
    <row r="2" spans="1:43" s="2185" customFormat="1" ht="12.75" customHeight="1" x14ac:dyDescent="0.25">
      <c r="A2" s="4057"/>
      <c r="B2" s="4058"/>
      <c r="C2" s="4058"/>
      <c r="D2" s="4058"/>
      <c r="E2" s="4058"/>
      <c r="F2" s="4058"/>
      <c r="G2" s="4058"/>
      <c r="H2" s="4058"/>
      <c r="I2" s="4058"/>
      <c r="J2" s="4058"/>
      <c r="K2" s="4058"/>
      <c r="L2" s="4058"/>
      <c r="M2" s="4058"/>
      <c r="N2" s="4058"/>
      <c r="O2" s="4058"/>
      <c r="P2" s="4058"/>
      <c r="Q2" s="4058"/>
      <c r="R2" s="4058"/>
      <c r="S2" s="4058"/>
      <c r="T2" s="4058"/>
      <c r="U2" s="4058"/>
      <c r="V2" s="4058"/>
      <c r="W2" s="4058"/>
      <c r="X2" s="4058"/>
      <c r="Y2" s="4058"/>
      <c r="Z2" s="4058"/>
      <c r="AA2" s="4058"/>
      <c r="AB2" s="4058"/>
      <c r="AC2" s="4058"/>
      <c r="AD2" s="4058"/>
      <c r="AE2" s="4058"/>
      <c r="AF2" s="4058"/>
      <c r="AG2" s="4058"/>
      <c r="AH2" s="4058"/>
      <c r="AI2" s="4058"/>
      <c r="AJ2" s="4058"/>
      <c r="AK2" s="4058"/>
      <c r="AL2" s="4058"/>
      <c r="AM2" s="4058"/>
      <c r="AN2" s="4058"/>
      <c r="AO2" s="4058"/>
      <c r="AP2" s="1988" t="s">
        <v>2</v>
      </c>
      <c r="AQ2" s="2186">
        <v>6</v>
      </c>
    </row>
    <row r="3" spans="1:43" s="2185" customFormat="1" ht="13.5" customHeight="1" x14ac:dyDescent="0.25">
      <c r="A3" s="4057"/>
      <c r="B3" s="4058"/>
      <c r="C3" s="4058"/>
      <c r="D3" s="4058"/>
      <c r="E3" s="4058"/>
      <c r="F3" s="4058"/>
      <c r="G3" s="4058"/>
      <c r="H3" s="4058"/>
      <c r="I3" s="4058"/>
      <c r="J3" s="4058"/>
      <c r="K3" s="4058"/>
      <c r="L3" s="4058"/>
      <c r="M3" s="4058"/>
      <c r="N3" s="4058"/>
      <c r="O3" s="4058"/>
      <c r="P3" s="4058"/>
      <c r="Q3" s="4058"/>
      <c r="R3" s="4058"/>
      <c r="S3" s="4058"/>
      <c r="T3" s="4058"/>
      <c r="U3" s="4058"/>
      <c r="V3" s="4058"/>
      <c r="W3" s="4058"/>
      <c r="X3" s="4058"/>
      <c r="Y3" s="4058"/>
      <c r="Z3" s="4058"/>
      <c r="AA3" s="4058"/>
      <c r="AB3" s="4058"/>
      <c r="AC3" s="4058"/>
      <c r="AD3" s="4058"/>
      <c r="AE3" s="4058"/>
      <c r="AF3" s="4058"/>
      <c r="AG3" s="4058"/>
      <c r="AH3" s="4058"/>
      <c r="AI3" s="4058"/>
      <c r="AJ3" s="4058"/>
      <c r="AK3" s="4058"/>
      <c r="AL3" s="4058"/>
      <c r="AM3" s="4058"/>
      <c r="AN3" s="4058"/>
      <c r="AO3" s="4058"/>
      <c r="AP3" s="1990" t="s">
        <v>4</v>
      </c>
      <c r="AQ3" s="2187" t="s">
        <v>5</v>
      </c>
    </row>
    <row r="4" spans="1:43" s="2189" customFormat="1" ht="17.25" customHeight="1" x14ac:dyDescent="0.2">
      <c r="A4" s="4059"/>
      <c r="B4" s="4060"/>
      <c r="C4" s="4060"/>
      <c r="D4" s="4060"/>
      <c r="E4" s="4060"/>
      <c r="F4" s="4060"/>
      <c r="G4" s="4060"/>
      <c r="H4" s="4060"/>
      <c r="I4" s="4060"/>
      <c r="J4" s="4060"/>
      <c r="K4" s="4060"/>
      <c r="L4" s="4060"/>
      <c r="M4" s="4060"/>
      <c r="N4" s="4060"/>
      <c r="O4" s="4060"/>
      <c r="P4" s="4060"/>
      <c r="Q4" s="4060"/>
      <c r="R4" s="4060"/>
      <c r="S4" s="4060"/>
      <c r="T4" s="4060"/>
      <c r="U4" s="4060"/>
      <c r="V4" s="4060"/>
      <c r="W4" s="4060"/>
      <c r="X4" s="4060"/>
      <c r="Y4" s="4060"/>
      <c r="Z4" s="4060"/>
      <c r="AA4" s="4060"/>
      <c r="AB4" s="4060"/>
      <c r="AC4" s="4060"/>
      <c r="AD4" s="4060"/>
      <c r="AE4" s="4060"/>
      <c r="AF4" s="4060"/>
      <c r="AG4" s="4060"/>
      <c r="AH4" s="4060"/>
      <c r="AI4" s="4060"/>
      <c r="AJ4" s="4060"/>
      <c r="AK4" s="4060"/>
      <c r="AL4" s="4060"/>
      <c r="AM4" s="4060"/>
      <c r="AN4" s="4060"/>
      <c r="AO4" s="4060"/>
      <c r="AP4" s="1990" t="s">
        <v>6</v>
      </c>
      <c r="AQ4" s="2188" t="s">
        <v>534</v>
      </c>
    </row>
    <row r="5" spans="1:43" s="2185" customFormat="1" ht="22.5" customHeight="1" x14ac:dyDescent="0.2">
      <c r="A5" s="4061" t="s">
        <v>8</v>
      </c>
      <c r="B5" s="4062"/>
      <c r="C5" s="4062"/>
      <c r="D5" s="4062"/>
      <c r="E5" s="4062"/>
      <c r="F5" s="4062"/>
      <c r="G5" s="4062"/>
      <c r="H5" s="4062"/>
      <c r="I5" s="4062"/>
      <c r="J5" s="4062"/>
      <c r="K5" s="4062"/>
      <c r="L5" s="4062"/>
      <c r="M5" s="4062"/>
      <c r="N5" s="4062"/>
      <c r="O5" s="4063"/>
      <c r="P5" s="4067" t="s">
        <v>9</v>
      </c>
      <c r="Q5" s="4062"/>
      <c r="R5" s="4062"/>
      <c r="S5" s="4062"/>
      <c r="T5" s="4062"/>
      <c r="U5" s="4062"/>
      <c r="V5" s="4062"/>
      <c r="W5" s="4062"/>
      <c r="X5" s="4062"/>
      <c r="Y5" s="4062"/>
      <c r="Z5" s="4062"/>
      <c r="AA5" s="4062"/>
      <c r="AB5" s="4062"/>
      <c r="AC5" s="4062"/>
      <c r="AD5" s="4062"/>
      <c r="AE5" s="4062"/>
      <c r="AF5" s="4062"/>
      <c r="AG5" s="4062"/>
      <c r="AH5" s="4062"/>
      <c r="AI5" s="4062"/>
      <c r="AJ5" s="4062"/>
      <c r="AK5" s="4062"/>
      <c r="AL5" s="4062"/>
      <c r="AM5" s="4062"/>
      <c r="AN5" s="4062"/>
      <c r="AO5" s="4062"/>
      <c r="AP5" s="4062"/>
      <c r="AQ5" s="4068"/>
    </row>
    <row r="6" spans="1:43" s="2185" customFormat="1" ht="25.5" customHeight="1" x14ac:dyDescent="0.2">
      <c r="A6" s="4064"/>
      <c r="B6" s="4065"/>
      <c r="C6" s="4065"/>
      <c r="D6" s="4065"/>
      <c r="E6" s="4065"/>
      <c r="F6" s="4065"/>
      <c r="G6" s="4065"/>
      <c r="H6" s="4065"/>
      <c r="I6" s="4065"/>
      <c r="J6" s="4065"/>
      <c r="K6" s="4065"/>
      <c r="L6" s="4065"/>
      <c r="M6" s="4065"/>
      <c r="N6" s="4065"/>
      <c r="O6" s="4066"/>
      <c r="P6" s="4069"/>
      <c r="Q6" s="4070"/>
      <c r="R6" s="4070"/>
      <c r="S6" s="4070"/>
      <c r="T6" s="4070"/>
      <c r="U6" s="4070"/>
      <c r="V6" s="4070"/>
      <c r="W6" s="4070"/>
      <c r="X6" s="4070"/>
      <c r="Y6" s="4070"/>
      <c r="Z6" s="4070"/>
      <c r="AA6" s="4070"/>
      <c r="AB6" s="4070"/>
      <c r="AC6" s="4070"/>
      <c r="AD6" s="4070"/>
      <c r="AE6" s="4070"/>
      <c r="AF6" s="4070"/>
      <c r="AG6" s="4070"/>
      <c r="AH6" s="4070"/>
      <c r="AI6" s="4070"/>
      <c r="AJ6" s="4070"/>
      <c r="AK6" s="4070"/>
      <c r="AL6" s="4070"/>
      <c r="AM6" s="4070"/>
      <c r="AN6" s="4070"/>
      <c r="AO6" s="4070"/>
      <c r="AP6" s="4070"/>
      <c r="AQ6" s="4071"/>
    </row>
    <row r="7" spans="1:43" s="2190" customFormat="1" ht="36.75" customHeight="1" x14ac:dyDescent="0.25">
      <c r="A7" s="4046" t="s">
        <v>11</v>
      </c>
      <c r="B7" s="4046" t="s">
        <v>12</v>
      </c>
      <c r="C7" s="4046"/>
      <c r="D7" s="4046" t="s">
        <v>11</v>
      </c>
      <c r="E7" s="4046" t="s">
        <v>13</v>
      </c>
      <c r="F7" s="4046"/>
      <c r="G7" s="4046" t="s">
        <v>11</v>
      </c>
      <c r="H7" s="4046" t="s">
        <v>14</v>
      </c>
      <c r="I7" s="4046"/>
      <c r="J7" s="4046" t="s">
        <v>11</v>
      </c>
      <c r="K7" s="4046" t="s">
        <v>15</v>
      </c>
      <c r="L7" s="4046" t="s">
        <v>16</v>
      </c>
      <c r="M7" s="4053" t="s">
        <v>17</v>
      </c>
      <c r="N7" s="4046" t="s">
        <v>18</v>
      </c>
      <c r="O7" s="4046" t="s">
        <v>947</v>
      </c>
      <c r="P7" s="4046" t="s">
        <v>9</v>
      </c>
      <c r="Q7" s="4046" t="s">
        <v>20</v>
      </c>
      <c r="R7" s="4046" t="s">
        <v>21</v>
      </c>
      <c r="S7" s="4046" t="s">
        <v>22</v>
      </c>
      <c r="T7" s="4046" t="s">
        <v>23</v>
      </c>
      <c r="U7" s="4046" t="s">
        <v>24</v>
      </c>
      <c r="V7" s="4052" t="s">
        <v>21</v>
      </c>
      <c r="W7" s="4046" t="s">
        <v>11</v>
      </c>
      <c r="X7" s="4047" t="s">
        <v>25</v>
      </c>
      <c r="Y7" s="4050" t="s">
        <v>26</v>
      </c>
      <c r="Z7" s="4051"/>
      <c r="AA7" s="3684" t="s">
        <v>27</v>
      </c>
      <c r="AB7" s="3684"/>
      <c r="AC7" s="3684"/>
      <c r="AD7" s="3684"/>
      <c r="AE7" s="4079" t="s">
        <v>28</v>
      </c>
      <c r="AF7" s="4079"/>
      <c r="AG7" s="4079"/>
      <c r="AH7" s="4079"/>
      <c r="AI7" s="4079"/>
      <c r="AJ7" s="4079"/>
      <c r="AK7" s="3684" t="s">
        <v>29</v>
      </c>
      <c r="AL7" s="3684"/>
      <c r="AM7" s="3684"/>
      <c r="AN7" s="4072" t="s">
        <v>30</v>
      </c>
      <c r="AO7" s="4074" t="s">
        <v>31</v>
      </c>
      <c r="AP7" s="4074" t="s">
        <v>32</v>
      </c>
      <c r="AQ7" s="4077" t="s">
        <v>33</v>
      </c>
    </row>
    <row r="8" spans="1:43" s="2190" customFormat="1" ht="117.75" customHeight="1" x14ac:dyDescent="0.25">
      <c r="A8" s="4046"/>
      <c r="B8" s="4046"/>
      <c r="C8" s="4046"/>
      <c r="D8" s="4046"/>
      <c r="E8" s="4046"/>
      <c r="F8" s="4046"/>
      <c r="G8" s="4046"/>
      <c r="H8" s="4046"/>
      <c r="I8" s="4046"/>
      <c r="J8" s="4046"/>
      <c r="K8" s="4046"/>
      <c r="L8" s="4046"/>
      <c r="M8" s="4054"/>
      <c r="N8" s="4046"/>
      <c r="O8" s="4046"/>
      <c r="P8" s="4046"/>
      <c r="Q8" s="4046"/>
      <c r="R8" s="4046"/>
      <c r="S8" s="4046"/>
      <c r="T8" s="4046"/>
      <c r="U8" s="4046"/>
      <c r="V8" s="4052"/>
      <c r="W8" s="4046"/>
      <c r="X8" s="4048"/>
      <c r="Y8" s="2191" t="s">
        <v>34</v>
      </c>
      <c r="Z8" s="2191" t="s">
        <v>35</v>
      </c>
      <c r="AA8" s="2191" t="s">
        <v>36</v>
      </c>
      <c r="AB8" s="2191" t="s">
        <v>115</v>
      </c>
      <c r="AC8" s="2191" t="s">
        <v>116</v>
      </c>
      <c r="AD8" s="2191" t="s">
        <v>117</v>
      </c>
      <c r="AE8" s="2191" t="s">
        <v>40</v>
      </c>
      <c r="AF8" s="2191" t="s">
        <v>41</v>
      </c>
      <c r="AG8" s="2191" t="s">
        <v>42</v>
      </c>
      <c r="AH8" s="2191" t="s">
        <v>43</v>
      </c>
      <c r="AI8" s="2191" t="s">
        <v>44</v>
      </c>
      <c r="AJ8" s="2191" t="s">
        <v>45</v>
      </c>
      <c r="AK8" s="2192" t="s">
        <v>46</v>
      </c>
      <c r="AL8" s="2192" t="s">
        <v>47</v>
      </c>
      <c r="AM8" s="2192" t="s">
        <v>48</v>
      </c>
      <c r="AN8" s="4073"/>
      <c r="AO8" s="4075"/>
      <c r="AP8" s="4076"/>
      <c r="AQ8" s="4078"/>
    </row>
    <row r="9" spans="1:43" s="2190" customFormat="1" ht="24" customHeight="1" x14ac:dyDescent="0.25">
      <c r="A9" s="4046"/>
      <c r="B9" s="4046"/>
      <c r="C9" s="4046"/>
      <c r="D9" s="4046"/>
      <c r="E9" s="4046"/>
      <c r="F9" s="4046"/>
      <c r="G9" s="4046"/>
      <c r="H9" s="4046"/>
      <c r="I9" s="4046"/>
      <c r="J9" s="4046"/>
      <c r="K9" s="4046"/>
      <c r="L9" s="4046"/>
      <c r="M9" s="2193" t="s">
        <v>633</v>
      </c>
      <c r="N9" s="4046"/>
      <c r="O9" s="4046"/>
      <c r="P9" s="4046"/>
      <c r="Q9" s="4046"/>
      <c r="R9" s="4046"/>
      <c r="S9" s="4046"/>
      <c r="T9" s="4046"/>
      <c r="U9" s="4046"/>
      <c r="V9" s="975" t="s">
        <v>632</v>
      </c>
      <c r="W9" s="4046"/>
      <c r="X9" s="4049"/>
      <c r="Y9" s="2193" t="s">
        <v>633</v>
      </c>
      <c r="Z9" s="2193" t="s">
        <v>633</v>
      </c>
      <c r="AA9" s="2193" t="s">
        <v>633</v>
      </c>
      <c r="AB9" s="2193" t="s">
        <v>633</v>
      </c>
      <c r="AC9" s="2193" t="s">
        <v>633</v>
      </c>
      <c r="AD9" s="2193" t="s">
        <v>633</v>
      </c>
      <c r="AE9" s="2193" t="s">
        <v>633</v>
      </c>
      <c r="AF9" s="2193" t="s">
        <v>633</v>
      </c>
      <c r="AG9" s="2193" t="s">
        <v>633</v>
      </c>
      <c r="AH9" s="2193" t="s">
        <v>633</v>
      </c>
      <c r="AI9" s="2193" t="s">
        <v>633</v>
      </c>
      <c r="AJ9" s="2193" t="s">
        <v>633</v>
      </c>
      <c r="AK9" s="2193" t="s">
        <v>633</v>
      </c>
      <c r="AL9" s="2193" t="s">
        <v>633</v>
      </c>
      <c r="AM9" s="2193" t="s">
        <v>633</v>
      </c>
      <c r="AN9" s="2193" t="s">
        <v>633</v>
      </c>
      <c r="AO9" s="2193" t="s">
        <v>633</v>
      </c>
      <c r="AP9" s="2193" t="s">
        <v>633</v>
      </c>
      <c r="AQ9" s="2194"/>
    </row>
    <row r="10" spans="1:43" ht="30.75" customHeight="1" x14ac:dyDescent="0.2">
      <c r="A10" s="2195">
        <v>3</v>
      </c>
      <c r="B10" s="2196" t="s">
        <v>2037</v>
      </c>
      <c r="C10" s="2196"/>
      <c r="D10" s="2196"/>
      <c r="E10" s="2196"/>
      <c r="F10" s="2196"/>
      <c r="G10" s="2196"/>
      <c r="H10" s="2196"/>
      <c r="I10" s="2196"/>
      <c r="J10" s="2196"/>
      <c r="K10" s="2197"/>
      <c r="L10" s="2196"/>
      <c r="M10" s="2196"/>
      <c r="N10" s="2198"/>
      <c r="O10" s="2196"/>
      <c r="P10" s="2197"/>
      <c r="Q10" s="2196"/>
      <c r="R10" s="2198"/>
      <c r="S10" s="2196"/>
      <c r="T10" s="2197"/>
      <c r="U10" s="2197"/>
      <c r="V10" s="2199"/>
      <c r="W10" s="2198"/>
      <c r="X10" s="2198"/>
      <c r="Y10" s="2200"/>
      <c r="Z10" s="2200"/>
      <c r="AA10" s="2201"/>
      <c r="AB10" s="2200"/>
      <c r="AC10" s="2200"/>
      <c r="AD10" s="2200"/>
      <c r="AE10" s="2200"/>
      <c r="AF10" s="2202"/>
      <c r="AG10" s="2200"/>
      <c r="AH10" s="2201"/>
      <c r="AI10" s="2200"/>
      <c r="AJ10" s="2200"/>
      <c r="AK10" s="2201"/>
      <c r="AL10" s="2201"/>
      <c r="AM10" s="2201"/>
      <c r="AN10" s="2201"/>
      <c r="AO10" s="2196"/>
      <c r="AP10" s="2196"/>
      <c r="AQ10" s="2203"/>
    </row>
    <row r="11" spans="1:43" ht="13.5" customHeight="1" x14ac:dyDescent="0.2">
      <c r="A11" s="4043"/>
      <c r="B11" s="4044"/>
      <c r="C11" s="4045"/>
      <c r="D11" s="2205">
        <v>11</v>
      </c>
      <c r="E11" s="2206" t="s">
        <v>920</v>
      </c>
      <c r="F11" s="2206"/>
      <c r="G11" s="2207"/>
      <c r="H11" s="2207"/>
      <c r="I11" s="2207"/>
      <c r="J11" s="2207"/>
      <c r="K11" s="2208"/>
      <c r="L11" s="2207"/>
      <c r="M11" s="2207"/>
      <c r="N11" s="2209"/>
      <c r="O11" s="2207"/>
      <c r="P11" s="2208"/>
      <c r="Q11" s="2207"/>
      <c r="R11" s="2209"/>
      <c r="S11" s="2207"/>
      <c r="T11" s="2208"/>
      <c r="U11" s="2208"/>
      <c r="V11" s="2210"/>
      <c r="W11" s="2209"/>
      <c r="X11" s="2209"/>
      <c r="Y11" s="2211"/>
      <c r="Z11" s="2211"/>
      <c r="AA11" s="2212"/>
      <c r="AB11" s="2211"/>
      <c r="AC11" s="2211"/>
      <c r="AD11" s="2211"/>
      <c r="AE11" s="2211"/>
      <c r="AF11" s="2213"/>
      <c r="AG11" s="2211"/>
      <c r="AH11" s="2212"/>
      <c r="AI11" s="2211"/>
      <c r="AJ11" s="2211"/>
      <c r="AK11" s="2212"/>
      <c r="AL11" s="2212"/>
      <c r="AM11" s="2212"/>
      <c r="AN11" s="2212"/>
      <c r="AO11" s="2207"/>
      <c r="AP11" s="2207"/>
      <c r="AQ11" s="2214"/>
    </row>
    <row r="12" spans="1:43" ht="27.75" customHeight="1" x14ac:dyDescent="0.2">
      <c r="A12" s="2215"/>
      <c r="B12" s="2216"/>
      <c r="C12" s="2217"/>
      <c r="D12" s="2218"/>
      <c r="E12" s="2218"/>
      <c r="F12" s="2219"/>
      <c r="G12" s="2220">
        <v>35</v>
      </c>
      <c r="H12" s="2221" t="s">
        <v>2038</v>
      </c>
      <c r="I12" s="2221"/>
      <c r="J12" s="2221"/>
      <c r="K12" s="2222"/>
      <c r="L12" s="2221"/>
      <c r="M12" s="2221"/>
      <c r="N12" s="2223"/>
      <c r="O12" s="2221"/>
      <c r="P12" s="2222"/>
      <c r="Q12" s="2221"/>
      <c r="R12" s="2223"/>
      <c r="S12" s="2221"/>
      <c r="T12" s="2222"/>
      <c r="U12" s="2222"/>
      <c r="V12" s="2224"/>
      <c r="W12" s="2223"/>
      <c r="X12" s="2223"/>
      <c r="Y12" s="2225"/>
      <c r="Z12" s="2225"/>
      <c r="AA12" s="2226"/>
      <c r="AB12" s="2225"/>
      <c r="AC12" s="2225"/>
      <c r="AD12" s="2225"/>
      <c r="AE12" s="2225"/>
      <c r="AF12" s="2227"/>
      <c r="AG12" s="2225"/>
      <c r="AH12" s="2226"/>
      <c r="AI12" s="2225"/>
      <c r="AJ12" s="2225"/>
      <c r="AK12" s="2226"/>
      <c r="AL12" s="2226"/>
      <c r="AM12" s="2226"/>
      <c r="AN12" s="2226"/>
      <c r="AO12" s="2221"/>
      <c r="AP12" s="2221"/>
      <c r="AQ12" s="2228"/>
    </row>
    <row r="13" spans="1:43" s="2236" customFormat="1" ht="29.25" customHeight="1" x14ac:dyDescent="0.2">
      <c r="A13" s="2229"/>
      <c r="B13" s="2230"/>
      <c r="C13" s="2231"/>
      <c r="D13" s="2230"/>
      <c r="E13" s="2230"/>
      <c r="F13" s="2231"/>
      <c r="G13" s="2232"/>
      <c r="H13" s="2233"/>
      <c r="I13" s="2234"/>
      <c r="J13" s="3898">
        <v>127</v>
      </c>
      <c r="K13" s="3866" t="s">
        <v>2039</v>
      </c>
      <c r="L13" s="3863" t="s">
        <v>2040</v>
      </c>
      <c r="M13" s="3863">
        <v>1</v>
      </c>
      <c r="N13" s="3863" t="s">
        <v>531</v>
      </c>
      <c r="O13" s="3863" t="s">
        <v>2041</v>
      </c>
      <c r="P13" s="3866" t="s">
        <v>2042</v>
      </c>
      <c r="Q13" s="3917">
        <f>SUM(V13:V22)/R13</f>
        <v>0.32142857142857145</v>
      </c>
      <c r="R13" s="3883">
        <f>SUM(V13:V46)</f>
        <v>196000000</v>
      </c>
      <c r="S13" s="3866" t="s">
        <v>2043</v>
      </c>
      <c r="T13" s="3866" t="s">
        <v>2044</v>
      </c>
      <c r="U13" s="4021" t="s">
        <v>2045</v>
      </c>
      <c r="V13" s="2042">
        <v>4000000</v>
      </c>
      <c r="W13" s="2235">
        <v>61</v>
      </c>
      <c r="X13" s="3863" t="s">
        <v>2046</v>
      </c>
      <c r="Y13" s="3863" t="s">
        <v>2047</v>
      </c>
      <c r="Z13" s="3863" t="s">
        <v>2047</v>
      </c>
      <c r="AA13" s="4037">
        <v>64149</v>
      </c>
      <c r="AB13" s="3986" t="s">
        <v>2047</v>
      </c>
      <c r="AC13" s="4040" t="s">
        <v>2047</v>
      </c>
      <c r="AD13" s="3986" t="s">
        <v>2047</v>
      </c>
      <c r="AE13" s="3986" t="s">
        <v>2047</v>
      </c>
      <c r="AF13" s="3986" t="s">
        <v>2047</v>
      </c>
      <c r="AG13" s="3986" t="s">
        <v>2047</v>
      </c>
      <c r="AH13" s="3986" t="s">
        <v>2047</v>
      </c>
      <c r="AI13" s="3986" t="s">
        <v>2047</v>
      </c>
      <c r="AJ13" s="4040" t="s">
        <v>2047</v>
      </c>
      <c r="AK13" s="3986" t="s">
        <v>2047</v>
      </c>
      <c r="AL13" s="3986" t="s">
        <v>2047</v>
      </c>
      <c r="AM13" s="4040" t="s">
        <v>2047</v>
      </c>
      <c r="AN13" s="4040" t="s">
        <v>2047</v>
      </c>
      <c r="AO13" s="3878">
        <v>43467</v>
      </c>
      <c r="AP13" s="3878">
        <v>43830</v>
      </c>
      <c r="AQ13" s="3880" t="s">
        <v>2048</v>
      </c>
    </row>
    <row r="14" spans="1:43" s="2236" customFormat="1" ht="30.75" customHeight="1" x14ac:dyDescent="0.2">
      <c r="A14" s="2229"/>
      <c r="B14" s="2230"/>
      <c r="C14" s="2231"/>
      <c r="D14" s="2230"/>
      <c r="E14" s="2230"/>
      <c r="F14" s="2231"/>
      <c r="G14" s="2237"/>
      <c r="H14" s="2230"/>
      <c r="I14" s="2231"/>
      <c r="J14" s="3899"/>
      <c r="K14" s="3867"/>
      <c r="L14" s="3864"/>
      <c r="M14" s="3864"/>
      <c r="N14" s="3864"/>
      <c r="O14" s="3864"/>
      <c r="P14" s="3867"/>
      <c r="Q14" s="3918"/>
      <c r="R14" s="3884"/>
      <c r="S14" s="3867"/>
      <c r="T14" s="3867"/>
      <c r="U14" s="4022"/>
      <c r="V14" s="2042">
        <v>15000000</v>
      </c>
      <c r="W14" s="2235">
        <v>98</v>
      </c>
      <c r="X14" s="3864"/>
      <c r="Y14" s="3864"/>
      <c r="Z14" s="3864"/>
      <c r="AA14" s="4038"/>
      <c r="AB14" s="3921"/>
      <c r="AC14" s="4041"/>
      <c r="AD14" s="3921"/>
      <c r="AE14" s="3921"/>
      <c r="AF14" s="3921"/>
      <c r="AG14" s="3921"/>
      <c r="AH14" s="3921"/>
      <c r="AI14" s="3921"/>
      <c r="AJ14" s="4041"/>
      <c r="AK14" s="3921"/>
      <c r="AL14" s="3921"/>
      <c r="AM14" s="4041"/>
      <c r="AN14" s="4041"/>
      <c r="AO14" s="3879"/>
      <c r="AP14" s="3879"/>
      <c r="AQ14" s="3881"/>
    </row>
    <row r="15" spans="1:43" s="2236" customFormat="1" ht="92.25" customHeight="1" x14ac:dyDescent="0.2">
      <c r="A15" s="2229"/>
      <c r="B15" s="2230"/>
      <c r="C15" s="2231"/>
      <c r="D15" s="2230"/>
      <c r="E15" s="2230"/>
      <c r="F15" s="2231"/>
      <c r="G15" s="2237"/>
      <c r="H15" s="2230"/>
      <c r="I15" s="2231"/>
      <c r="J15" s="3899"/>
      <c r="K15" s="3867"/>
      <c r="L15" s="3864"/>
      <c r="M15" s="3864"/>
      <c r="N15" s="3864"/>
      <c r="O15" s="3864"/>
      <c r="P15" s="3867"/>
      <c r="Q15" s="3918"/>
      <c r="R15" s="3884"/>
      <c r="S15" s="3867"/>
      <c r="T15" s="3867"/>
      <c r="U15" s="2238" t="s">
        <v>2049</v>
      </c>
      <c r="V15" s="2042">
        <v>4000000</v>
      </c>
      <c r="W15" s="2235">
        <v>61</v>
      </c>
      <c r="X15" s="3864"/>
      <c r="Y15" s="3864"/>
      <c r="Z15" s="3864"/>
      <c r="AA15" s="4038"/>
      <c r="AB15" s="3921"/>
      <c r="AC15" s="4041"/>
      <c r="AD15" s="3921"/>
      <c r="AE15" s="3921"/>
      <c r="AF15" s="3921"/>
      <c r="AG15" s="3921"/>
      <c r="AH15" s="3921"/>
      <c r="AI15" s="3921"/>
      <c r="AJ15" s="4041"/>
      <c r="AK15" s="3921"/>
      <c r="AL15" s="3921"/>
      <c r="AM15" s="4041"/>
      <c r="AN15" s="4041"/>
      <c r="AO15" s="3879"/>
      <c r="AP15" s="3879"/>
      <c r="AQ15" s="3881"/>
    </row>
    <row r="16" spans="1:43" s="2236" customFormat="1" ht="29.25" customHeight="1" x14ac:dyDescent="0.2">
      <c r="A16" s="2229"/>
      <c r="B16" s="2230"/>
      <c r="C16" s="2231"/>
      <c r="D16" s="2230"/>
      <c r="E16" s="2230"/>
      <c r="F16" s="2231"/>
      <c r="G16" s="2237"/>
      <c r="H16" s="2230"/>
      <c r="I16" s="2231"/>
      <c r="J16" s="3899"/>
      <c r="K16" s="3867"/>
      <c r="L16" s="3864"/>
      <c r="M16" s="3864"/>
      <c r="N16" s="3864"/>
      <c r="O16" s="3864"/>
      <c r="P16" s="3867"/>
      <c r="Q16" s="3918"/>
      <c r="R16" s="3884"/>
      <c r="S16" s="3867"/>
      <c r="T16" s="3867"/>
      <c r="U16" s="4021" t="s">
        <v>2050</v>
      </c>
      <c r="V16" s="2042">
        <v>4000000</v>
      </c>
      <c r="W16" s="2235">
        <v>61</v>
      </c>
      <c r="X16" s="3864"/>
      <c r="Y16" s="3864"/>
      <c r="Z16" s="3864"/>
      <c r="AA16" s="4038"/>
      <c r="AB16" s="3921"/>
      <c r="AC16" s="4041"/>
      <c r="AD16" s="3921"/>
      <c r="AE16" s="3921"/>
      <c r="AF16" s="3921"/>
      <c r="AG16" s="3921"/>
      <c r="AH16" s="3921"/>
      <c r="AI16" s="3921"/>
      <c r="AJ16" s="4041"/>
      <c r="AK16" s="3921"/>
      <c r="AL16" s="3921"/>
      <c r="AM16" s="4041"/>
      <c r="AN16" s="4041"/>
      <c r="AO16" s="3879"/>
      <c r="AP16" s="3879"/>
      <c r="AQ16" s="3881"/>
    </row>
    <row r="17" spans="1:43" s="2236" customFormat="1" ht="30" customHeight="1" x14ac:dyDescent="0.2">
      <c r="A17" s="2229"/>
      <c r="B17" s="2230"/>
      <c r="C17" s="2231"/>
      <c r="D17" s="2230"/>
      <c r="E17" s="2230"/>
      <c r="F17" s="2231"/>
      <c r="G17" s="2237"/>
      <c r="H17" s="2230"/>
      <c r="I17" s="2231"/>
      <c r="J17" s="3899"/>
      <c r="K17" s="3867"/>
      <c r="L17" s="3864"/>
      <c r="M17" s="3864"/>
      <c r="N17" s="3864"/>
      <c r="O17" s="3864"/>
      <c r="P17" s="3867"/>
      <c r="Q17" s="3918"/>
      <c r="R17" s="3884"/>
      <c r="S17" s="3867"/>
      <c r="T17" s="3867"/>
      <c r="U17" s="4022"/>
      <c r="V17" s="2042">
        <v>10000000</v>
      </c>
      <c r="W17" s="2235">
        <v>98</v>
      </c>
      <c r="X17" s="3864"/>
      <c r="Y17" s="3864"/>
      <c r="Z17" s="3864"/>
      <c r="AA17" s="4038"/>
      <c r="AB17" s="3921"/>
      <c r="AC17" s="4041"/>
      <c r="AD17" s="3921"/>
      <c r="AE17" s="3921"/>
      <c r="AF17" s="3921"/>
      <c r="AG17" s="3921"/>
      <c r="AH17" s="3921"/>
      <c r="AI17" s="3921"/>
      <c r="AJ17" s="4041"/>
      <c r="AK17" s="3921"/>
      <c r="AL17" s="3921"/>
      <c r="AM17" s="4041"/>
      <c r="AN17" s="4041"/>
      <c r="AO17" s="3879"/>
      <c r="AP17" s="3879"/>
      <c r="AQ17" s="3881"/>
    </row>
    <row r="18" spans="1:43" s="2236" customFormat="1" ht="29.25" customHeight="1" x14ac:dyDescent="0.2">
      <c r="A18" s="2229"/>
      <c r="B18" s="2230"/>
      <c r="C18" s="2231"/>
      <c r="D18" s="2230"/>
      <c r="E18" s="2230"/>
      <c r="F18" s="2231"/>
      <c r="G18" s="2237"/>
      <c r="H18" s="2230"/>
      <c r="I18" s="2231"/>
      <c r="J18" s="3899"/>
      <c r="K18" s="3867"/>
      <c r="L18" s="3864"/>
      <c r="M18" s="3864"/>
      <c r="N18" s="3864"/>
      <c r="O18" s="3864"/>
      <c r="P18" s="3867"/>
      <c r="Q18" s="3918"/>
      <c r="R18" s="3884"/>
      <c r="S18" s="3867"/>
      <c r="T18" s="3867"/>
      <c r="U18" s="4021" t="s">
        <v>2051</v>
      </c>
      <c r="V18" s="2042">
        <v>1000000</v>
      </c>
      <c r="W18" s="2235">
        <v>61</v>
      </c>
      <c r="X18" s="3864"/>
      <c r="Y18" s="3864"/>
      <c r="Z18" s="3864"/>
      <c r="AA18" s="4038"/>
      <c r="AB18" s="3921"/>
      <c r="AC18" s="4041"/>
      <c r="AD18" s="3921"/>
      <c r="AE18" s="3921"/>
      <c r="AF18" s="3921"/>
      <c r="AG18" s="3921"/>
      <c r="AH18" s="3921"/>
      <c r="AI18" s="3921"/>
      <c r="AJ18" s="4041"/>
      <c r="AK18" s="3921"/>
      <c r="AL18" s="3921"/>
      <c r="AM18" s="4041"/>
      <c r="AN18" s="4041"/>
      <c r="AO18" s="3879"/>
      <c r="AP18" s="3879"/>
      <c r="AQ18" s="3881"/>
    </row>
    <row r="19" spans="1:43" s="2236" customFormat="1" ht="37.5" customHeight="1" x14ac:dyDescent="0.2">
      <c r="A19" s="2229"/>
      <c r="B19" s="2230"/>
      <c r="C19" s="2231"/>
      <c r="D19" s="2230"/>
      <c r="E19" s="2230"/>
      <c r="F19" s="2231"/>
      <c r="G19" s="2237"/>
      <c r="H19" s="2230"/>
      <c r="I19" s="2231"/>
      <c r="J19" s="3899"/>
      <c r="K19" s="3867"/>
      <c r="L19" s="3864"/>
      <c r="M19" s="3864"/>
      <c r="N19" s="3864"/>
      <c r="O19" s="3864"/>
      <c r="P19" s="3867"/>
      <c r="Q19" s="3918"/>
      <c r="R19" s="3884"/>
      <c r="S19" s="3867"/>
      <c r="T19" s="3867"/>
      <c r="U19" s="4022"/>
      <c r="V19" s="2042">
        <v>10000000</v>
      </c>
      <c r="W19" s="2235">
        <v>98</v>
      </c>
      <c r="X19" s="3864"/>
      <c r="Y19" s="3864"/>
      <c r="Z19" s="3864"/>
      <c r="AA19" s="4038"/>
      <c r="AB19" s="3921"/>
      <c r="AC19" s="4041"/>
      <c r="AD19" s="3921"/>
      <c r="AE19" s="3921"/>
      <c r="AF19" s="3921"/>
      <c r="AG19" s="3921"/>
      <c r="AH19" s="3921"/>
      <c r="AI19" s="3921"/>
      <c r="AJ19" s="4041"/>
      <c r="AK19" s="3921"/>
      <c r="AL19" s="3921"/>
      <c r="AM19" s="4041"/>
      <c r="AN19" s="4041"/>
      <c r="AO19" s="3879"/>
      <c r="AP19" s="3879"/>
      <c r="AQ19" s="3881"/>
    </row>
    <row r="20" spans="1:43" s="2236" customFormat="1" ht="59.25" customHeight="1" x14ac:dyDescent="0.2">
      <c r="A20" s="2229"/>
      <c r="B20" s="2230"/>
      <c r="C20" s="2231"/>
      <c r="D20" s="2230"/>
      <c r="E20" s="2230"/>
      <c r="F20" s="2231"/>
      <c r="G20" s="2237"/>
      <c r="H20" s="2230"/>
      <c r="I20" s="2231"/>
      <c r="J20" s="3899"/>
      <c r="K20" s="3867"/>
      <c r="L20" s="3864"/>
      <c r="M20" s="3864"/>
      <c r="N20" s="3864"/>
      <c r="O20" s="3864"/>
      <c r="P20" s="3867"/>
      <c r="Q20" s="3918"/>
      <c r="R20" s="3884"/>
      <c r="S20" s="3867"/>
      <c r="T20" s="3867"/>
      <c r="U20" s="2238" t="s">
        <v>2052</v>
      </c>
      <c r="V20" s="2042">
        <v>4000000</v>
      </c>
      <c r="W20" s="2235">
        <v>61</v>
      </c>
      <c r="X20" s="3864"/>
      <c r="Y20" s="3864"/>
      <c r="Z20" s="3864"/>
      <c r="AA20" s="4038"/>
      <c r="AB20" s="3921"/>
      <c r="AC20" s="4041"/>
      <c r="AD20" s="3921"/>
      <c r="AE20" s="3921"/>
      <c r="AF20" s="3921"/>
      <c r="AG20" s="3921"/>
      <c r="AH20" s="3921"/>
      <c r="AI20" s="3921"/>
      <c r="AJ20" s="4041"/>
      <c r="AK20" s="3921"/>
      <c r="AL20" s="3921"/>
      <c r="AM20" s="4041"/>
      <c r="AN20" s="4041"/>
      <c r="AO20" s="3879"/>
      <c r="AP20" s="3879"/>
      <c r="AQ20" s="3881"/>
    </row>
    <row r="21" spans="1:43" s="2236" customFormat="1" ht="59.25" customHeight="1" x14ac:dyDescent="0.2">
      <c r="A21" s="2229"/>
      <c r="B21" s="2230"/>
      <c r="C21" s="2231"/>
      <c r="D21" s="2230"/>
      <c r="E21" s="2230"/>
      <c r="F21" s="2231"/>
      <c r="G21" s="2237"/>
      <c r="H21" s="2230"/>
      <c r="I21" s="2231"/>
      <c r="J21" s="3899"/>
      <c r="K21" s="3867"/>
      <c r="L21" s="3864"/>
      <c r="M21" s="3864"/>
      <c r="N21" s="3864"/>
      <c r="O21" s="3864"/>
      <c r="P21" s="3867"/>
      <c r="Q21" s="3918"/>
      <c r="R21" s="3884"/>
      <c r="S21" s="3867"/>
      <c r="T21" s="3867"/>
      <c r="U21" s="2238" t="s">
        <v>2053</v>
      </c>
      <c r="V21" s="2042">
        <v>7000000</v>
      </c>
      <c r="W21" s="2235">
        <v>61</v>
      </c>
      <c r="X21" s="3864"/>
      <c r="Y21" s="3864"/>
      <c r="Z21" s="3864"/>
      <c r="AA21" s="4038"/>
      <c r="AB21" s="3921"/>
      <c r="AC21" s="4041"/>
      <c r="AD21" s="3921"/>
      <c r="AE21" s="3921"/>
      <c r="AF21" s="3921"/>
      <c r="AG21" s="3921"/>
      <c r="AH21" s="3921"/>
      <c r="AI21" s="3921"/>
      <c r="AJ21" s="4041"/>
      <c r="AK21" s="3921"/>
      <c r="AL21" s="3921"/>
      <c r="AM21" s="4041"/>
      <c r="AN21" s="4041"/>
      <c r="AO21" s="3879"/>
      <c r="AP21" s="3879"/>
      <c r="AQ21" s="3881"/>
    </row>
    <row r="22" spans="1:43" s="2236" customFormat="1" ht="68.25" customHeight="1" x14ac:dyDescent="0.2">
      <c r="A22" s="2229"/>
      <c r="B22" s="2230"/>
      <c r="C22" s="2231"/>
      <c r="D22" s="2230"/>
      <c r="E22" s="2230"/>
      <c r="F22" s="2231"/>
      <c r="G22" s="2237"/>
      <c r="H22" s="2230"/>
      <c r="I22" s="2231"/>
      <c r="J22" s="3900"/>
      <c r="K22" s="3868"/>
      <c r="L22" s="3865"/>
      <c r="M22" s="3865"/>
      <c r="N22" s="3864"/>
      <c r="O22" s="3864"/>
      <c r="P22" s="3867"/>
      <c r="Q22" s="3919"/>
      <c r="R22" s="3884"/>
      <c r="S22" s="3867"/>
      <c r="T22" s="3868"/>
      <c r="U22" s="2238" t="s">
        <v>2054</v>
      </c>
      <c r="V22" s="2042">
        <v>4000000</v>
      </c>
      <c r="W22" s="2235">
        <v>61</v>
      </c>
      <c r="X22" s="3864"/>
      <c r="Y22" s="3864"/>
      <c r="Z22" s="3864"/>
      <c r="AA22" s="4038"/>
      <c r="AB22" s="3921"/>
      <c r="AC22" s="4041"/>
      <c r="AD22" s="3921"/>
      <c r="AE22" s="3921"/>
      <c r="AF22" s="3921"/>
      <c r="AG22" s="3921"/>
      <c r="AH22" s="3921"/>
      <c r="AI22" s="3921"/>
      <c r="AJ22" s="4041"/>
      <c r="AK22" s="3921"/>
      <c r="AL22" s="3921"/>
      <c r="AM22" s="4041"/>
      <c r="AN22" s="4041"/>
      <c r="AO22" s="3879"/>
      <c r="AP22" s="3879"/>
      <c r="AQ22" s="3881"/>
    </row>
    <row r="23" spans="1:43" s="2236" customFormat="1" ht="48.75" customHeight="1" x14ac:dyDescent="0.2">
      <c r="A23" s="2229"/>
      <c r="B23" s="2230"/>
      <c r="C23" s="2231"/>
      <c r="D23" s="2230"/>
      <c r="E23" s="2230"/>
      <c r="F23" s="2231"/>
      <c r="G23" s="2237"/>
      <c r="H23" s="2230"/>
      <c r="I23" s="2231"/>
      <c r="J23" s="3898">
        <v>128</v>
      </c>
      <c r="K23" s="3866" t="s">
        <v>2055</v>
      </c>
      <c r="L23" s="3863" t="s">
        <v>2040</v>
      </c>
      <c r="M23" s="3863">
        <v>1</v>
      </c>
      <c r="N23" s="3864"/>
      <c r="O23" s="3864"/>
      <c r="P23" s="3867"/>
      <c r="Q23" s="3917">
        <f>+SUM(V23:V32)/R13</f>
        <v>0.20918367346938777</v>
      </c>
      <c r="R23" s="3884"/>
      <c r="S23" s="3867"/>
      <c r="T23" s="3866" t="s">
        <v>2056</v>
      </c>
      <c r="U23" s="4021" t="s">
        <v>2057</v>
      </c>
      <c r="V23" s="2042">
        <v>5600000</v>
      </c>
      <c r="W23" s="2235">
        <v>61</v>
      </c>
      <c r="X23" s="3864"/>
      <c r="Y23" s="3864"/>
      <c r="Z23" s="3864"/>
      <c r="AA23" s="4038"/>
      <c r="AB23" s="3921"/>
      <c r="AC23" s="4041"/>
      <c r="AD23" s="3921"/>
      <c r="AE23" s="3921"/>
      <c r="AF23" s="3921"/>
      <c r="AG23" s="3921"/>
      <c r="AH23" s="3921"/>
      <c r="AI23" s="3921"/>
      <c r="AJ23" s="4041"/>
      <c r="AK23" s="3921"/>
      <c r="AL23" s="3921"/>
      <c r="AM23" s="4041"/>
      <c r="AN23" s="4041"/>
      <c r="AO23" s="3879"/>
      <c r="AP23" s="3879"/>
      <c r="AQ23" s="3881"/>
    </row>
    <row r="24" spans="1:43" s="2236" customFormat="1" ht="26.25" customHeight="1" x14ac:dyDescent="0.2">
      <c r="A24" s="2229"/>
      <c r="B24" s="2230"/>
      <c r="C24" s="2231"/>
      <c r="D24" s="2230"/>
      <c r="E24" s="2230"/>
      <c r="F24" s="2231"/>
      <c r="G24" s="2237"/>
      <c r="H24" s="2230"/>
      <c r="I24" s="2231"/>
      <c r="J24" s="3899"/>
      <c r="K24" s="3867"/>
      <c r="L24" s="3864"/>
      <c r="M24" s="3864"/>
      <c r="N24" s="3864"/>
      <c r="O24" s="3864"/>
      <c r="P24" s="3867"/>
      <c r="Q24" s="3918"/>
      <c r="R24" s="3884"/>
      <c r="S24" s="3867"/>
      <c r="T24" s="3867"/>
      <c r="U24" s="4022"/>
      <c r="V24" s="2042">
        <v>2000000</v>
      </c>
      <c r="W24" s="2235">
        <v>98</v>
      </c>
      <c r="X24" s="3864"/>
      <c r="Y24" s="3864"/>
      <c r="Z24" s="3864"/>
      <c r="AA24" s="4038"/>
      <c r="AB24" s="3921"/>
      <c r="AC24" s="4041"/>
      <c r="AD24" s="3921"/>
      <c r="AE24" s="3921"/>
      <c r="AF24" s="3921"/>
      <c r="AG24" s="3921"/>
      <c r="AH24" s="3921"/>
      <c r="AI24" s="3921"/>
      <c r="AJ24" s="4041"/>
      <c r="AK24" s="3921"/>
      <c r="AL24" s="3921"/>
      <c r="AM24" s="4041"/>
      <c r="AN24" s="4041"/>
      <c r="AO24" s="3879"/>
      <c r="AP24" s="3879"/>
      <c r="AQ24" s="3881"/>
    </row>
    <row r="25" spans="1:43" s="2236" customFormat="1" ht="50.25" customHeight="1" x14ac:dyDescent="0.2">
      <c r="A25" s="2229"/>
      <c r="B25" s="2230"/>
      <c r="C25" s="2231"/>
      <c r="D25" s="2230"/>
      <c r="E25" s="2230"/>
      <c r="F25" s="2231"/>
      <c r="G25" s="2237"/>
      <c r="H25" s="2230"/>
      <c r="I25" s="2231"/>
      <c r="J25" s="3899"/>
      <c r="K25" s="3867"/>
      <c r="L25" s="3864"/>
      <c r="M25" s="3864"/>
      <c r="N25" s="3864"/>
      <c r="O25" s="3864"/>
      <c r="P25" s="3867"/>
      <c r="Q25" s="3918"/>
      <c r="R25" s="3884"/>
      <c r="S25" s="3867"/>
      <c r="T25" s="3867"/>
      <c r="U25" s="4021" t="s">
        <v>2058</v>
      </c>
      <c r="V25" s="2042">
        <v>5600000</v>
      </c>
      <c r="W25" s="2235">
        <v>61</v>
      </c>
      <c r="X25" s="3864"/>
      <c r="Y25" s="3864"/>
      <c r="Z25" s="3864"/>
      <c r="AA25" s="4038"/>
      <c r="AB25" s="3921"/>
      <c r="AC25" s="4041"/>
      <c r="AD25" s="3921"/>
      <c r="AE25" s="3921"/>
      <c r="AF25" s="3921"/>
      <c r="AG25" s="3921"/>
      <c r="AH25" s="3921"/>
      <c r="AI25" s="3921"/>
      <c r="AJ25" s="4041"/>
      <c r="AK25" s="3921"/>
      <c r="AL25" s="3921"/>
      <c r="AM25" s="4041"/>
      <c r="AN25" s="4041"/>
      <c r="AO25" s="3879"/>
      <c r="AP25" s="3879"/>
      <c r="AQ25" s="3881"/>
    </row>
    <row r="26" spans="1:43" s="2236" customFormat="1" ht="28.5" customHeight="1" x14ac:dyDescent="0.2">
      <c r="A26" s="2229"/>
      <c r="B26" s="2230"/>
      <c r="C26" s="2231"/>
      <c r="D26" s="2230"/>
      <c r="E26" s="2230"/>
      <c r="F26" s="2231"/>
      <c r="G26" s="2237"/>
      <c r="H26" s="2230"/>
      <c r="I26" s="2231"/>
      <c r="J26" s="3899"/>
      <c r="K26" s="3867"/>
      <c r="L26" s="3864"/>
      <c r="M26" s="3864"/>
      <c r="N26" s="3864"/>
      <c r="O26" s="3864"/>
      <c r="P26" s="3867"/>
      <c r="Q26" s="3918"/>
      <c r="R26" s="3884"/>
      <c r="S26" s="3867"/>
      <c r="T26" s="3867"/>
      <c r="U26" s="4022"/>
      <c r="V26" s="2042">
        <v>2000000</v>
      </c>
      <c r="W26" s="2235">
        <v>98</v>
      </c>
      <c r="X26" s="3864"/>
      <c r="Y26" s="3864"/>
      <c r="Z26" s="3864"/>
      <c r="AA26" s="4038"/>
      <c r="AB26" s="3921"/>
      <c r="AC26" s="4041"/>
      <c r="AD26" s="3921"/>
      <c r="AE26" s="3921"/>
      <c r="AF26" s="3921"/>
      <c r="AG26" s="3921"/>
      <c r="AH26" s="3921"/>
      <c r="AI26" s="3921"/>
      <c r="AJ26" s="4041"/>
      <c r="AK26" s="3921"/>
      <c r="AL26" s="3921"/>
      <c r="AM26" s="4041"/>
      <c r="AN26" s="4041"/>
      <c r="AO26" s="3879"/>
      <c r="AP26" s="3879"/>
      <c r="AQ26" s="3881"/>
    </row>
    <row r="27" spans="1:43" s="2236" customFormat="1" ht="27.75" customHeight="1" x14ac:dyDescent="0.2">
      <c r="A27" s="2229"/>
      <c r="B27" s="2230"/>
      <c r="C27" s="2231"/>
      <c r="D27" s="2230"/>
      <c r="E27" s="2230"/>
      <c r="F27" s="2231"/>
      <c r="G27" s="2237"/>
      <c r="H27" s="2230"/>
      <c r="I27" s="2231"/>
      <c r="J27" s="3899"/>
      <c r="K27" s="3867"/>
      <c r="L27" s="3864"/>
      <c r="M27" s="3864"/>
      <c r="N27" s="3864"/>
      <c r="O27" s="3864"/>
      <c r="P27" s="3867"/>
      <c r="Q27" s="3918"/>
      <c r="R27" s="3884"/>
      <c r="S27" s="3867"/>
      <c r="T27" s="3867"/>
      <c r="U27" s="4021" t="s">
        <v>2059</v>
      </c>
      <c r="V27" s="2042">
        <v>5600000</v>
      </c>
      <c r="W27" s="2235">
        <v>61</v>
      </c>
      <c r="X27" s="3864"/>
      <c r="Y27" s="3864"/>
      <c r="Z27" s="3864"/>
      <c r="AA27" s="4038"/>
      <c r="AB27" s="3921"/>
      <c r="AC27" s="4041"/>
      <c r="AD27" s="3921"/>
      <c r="AE27" s="3921"/>
      <c r="AF27" s="3921"/>
      <c r="AG27" s="3921"/>
      <c r="AH27" s="3921"/>
      <c r="AI27" s="3921"/>
      <c r="AJ27" s="4041"/>
      <c r="AK27" s="3921"/>
      <c r="AL27" s="3921"/>
      <c r="AM27" s="4041"/>
      <c r="AN27" s="4041"/>
      <c r="AO27" s="3879"/>
      <c r="AP27" s="3879"/>
      <c r="AQ27" s="3881"/>
    </row>
    <row r="28" spans="1:43" s="2236" customFormat="1" ht="28.5" customHeight="1" x14ac:dyDescent="0.2">
      <c r="A28" s="2229"/>
      <c r="B28" s="2230"/>
      <c r="C28" s="2231"/>
      <c r="D28" s="2230"/>
      <c r="E28" s="2230"/>
      <c r="F28" s="2231"/>
      <c r="G28" s="2237"/>
      <c r="H28" s="2230"/>
      <c r="I28" s="2231"/>
      <c r="J28" s="3899"/>
      <c r="K28" s="3867"/>
      <c r="L28" s="3864"/>
      <c r="M28" s="3864"/>
      <c r="N28" s="3864"/>
      <c r="O28" s="3864"/>
      <c r="P28" s="3867"/>
      <c r="Q28" s="3918"/>
      <c r="R28" s="3884"/>
      <c r="S28" s="3867"/>
      <c r="T28" s="3867"/>
      <c r="U28" s="4022"/>
      <c r="V28" s="2042">
        <v>3000000</v>
      </c>
      <c r="W28" s="2235">
        <v>98</v>
      </c>
      <c r="X28" s="3864"/>
      <c r="Y28" s="3864"/>
      <c r="Z28" s="3864"/>
      <c r="AA28" s="4038"/>
      <c r="AB28" s="3921"/>
      <c r="AC28" s="4041"/>
      <c r="AD28" s="3921"/>
      <c r="AE28" s="3921"/>
      <c r="AF28" s="3921"/>
      <c r="AG28" s="3921"/>
      <c r="AH28" s="3921"/>
      <c r="AI28" s="3921"/>
      <c r="AJ28" s="4041"/>
      <c r="AK28" s="3921"/>
      <c r="AL28" s="3921"/>
      <c r="AM28" s="4041"/>
      <c r="AN28" s="4041"/>
      <c r="AO28" s="3879"/>
      <c r="AP28" s="3879"/>
      <c r="AQ28" s="3881"/>
    </row>
    <row r="29" spans="1:43" s="2236" customFormat="1" ht="30.75" customHeight="1" x14ac:dyDescent="0.2">
      <c r="A29" s="2229"/>
      <c r="B29" s="2230"/>
      <c r="C29" s="2231"/>
      <c r="D29" s="2230"/>
      <c r="E29" s="2230"/>
      <c r="F29" s="2231"/>
      <c r="G29" s="2237"/>
      <c r="H29" s="2230"/>
      <c r="I29" s="2231"/>
      <c r="J29" s="3899"/>
      <c r="K29" s="3867"/>
      <c r="L29" s="3864"/>
      <c r="M29" s="3864"/>
      <c r="N29" s="3864"/>
      <c r="O29" s="3864"/>
      <c r="P29" s="3867"/>
      <c r="Q29" s="3918"/>
      <c r="R29" s="3884"/>
      <c r="S29" s="3867"/>
      <c r="T29" s="3867"/>
      <c r="U29" s="4021" t="s">
        <v>2060</v>
      </c>
      <c r="V29" s="2042">
        <v>5600000</v>
      </c>
      <c r="W29" s="2235">
        <v>61</v>
      </c>
      <c r="X29" s="3864"/>
      <c r="Y29" s="3864"/>
      <c r="Z29" s="3864"/>
      <c r="AA29" s="4038"/>
      <c r="AB29" s="3921"/>
      <c r="AC29" s="4041"/>
      <c r="AD29" s="3921"/>
      <c r="AE29" s="3921"/>
      <c r="AF29" s="3921"/>
      <c r="AG29" s="3921"/>
      <c r="AH29" s="3921"/>
      <c r="AI29" s="3921"/>
      <c r="AJ29" s="4041"/>
      <c r="AK29" s="3921"/>
      <c r="AL29" s="3921"/>
      <c r="AM29" s="4041"/>
      <c r="AN29" s="4041"/>
      <c r="AO29" s="3879"/>
      <c r="AP29" s="3879"/>
      <c r="AQ29" s="3881"/>
    </row>
    <row r="30" spans="1:43" s="2236" customFormat="1" ht="28.5" customHeight="1" x14ac:dyDescent="0.2">
      <c r="A30" s="2229"/>
      <c r="B30" s="2230"/>
      <c r="C30" s="2231"/>
      <c r="D30" s="2230"/>
      <c r="E30" s="2230"/>
      <c r="F30" s="2231"/>
      <c r="G30" s="2237"/>
      <c r="H30" s="2230"/>
      <c r="I30" s="2231"/>
      <c r="J30" s="3899"/>
      <c r="K30" s="3867"/>
      <c r="L30" s="3864"/>
      <c r="M30" s="3864"/>
      <c r="N30" s="3864"/>
      <c r="O30" s="3864"/>
      <c r="P30" s="3867"/>
      <c r="Q30" s="3918"/>
      <c r="R30" s="3884"/>
      <c r="S30" s="3867"/>
      <c r="T30" s="3867"/>
      <c r="U30" s="4022"/>
      <c r="V30" s="2042">
        <v>3000000</v>
      </c>
      <c r="W30" s="2235">
        <v>98</v>
      </c>
      <c r="X30" s="3864"/>
      <c r="Y30" s="3864"/>
      <c r="Z30" s="3864"/>
      <c r="AA30" s="4038"/>
      <c r="AB30" s="3921"/>
      <c r="AC30" s="4041"/>
      <c r="AD30" s="3921"/>
      <c r="AE30" s="3921"/>
      <c r="AF30" s="3921"/>
      <c r="AG30" s="3921"/>
      <c r="AH30" s="3921"/>
      <c r="AI30" s="3921"/>
      <c r="AJ30" s="4041"/>
      <c r="AK30" s="3921"/>
      <c r="AL30" s="3921"/>
      <c r="AM30" s="4041"/>
      <c r="AN30" s="4041"/>
      <c r="AO30" s="3879"/>
      <c r="AP30" s="3879"/>
      <c r="AQ30" s="3881"/>
    </row>
    <row r="31" spans="1:43" s="2236" customFormat="1" ht="28.5" customHeight="1" x14ac:dyDescent="0.2">
      <c r="A31" s="2229"/>
      <c r="B31" s="2230"/>
      <c r="C31" s="2231"/>
      <c r="D31" s="2230"/>
      <c r="E31" s="2230"/>
      <c r="F31" s="2231"/>
      <c r="G31" s="2237"/>
      <c r="H31" s="2230"/>
      <c r="I31" s="2231"/>
      <c r="J31" s="3899"/>
      <c r="K31" s="3867"/>
      <c r="L31" s="3864"/>
      <c r="M31" s="3864"/>
      <c r="N31" s="3864"/>
      <c r="O31" s="3864"/>
      <c r="P31" s="3867"/>
      <c r="Q31" s="3918"/>
      <c r="R31" s="3884"/>
      <c r="S31" s="3867"/>
      <c r="T31" s="3867"/>
      <c r="U31" s="4021" t="s">
        <v>2061</v>
      </c>
      <c r="V31" s="2042">
        <v>5600000</v>
      </c>
      <c r="W31" s="2235">
        <v>61</v>
      </c>
      <c r="X31" s="3864"/>
      <c r="Y31" s="3864"/>
      <c r="Z31" s="3864"/>
      <c r="AA31" s="4038"/>
      <c r="AB31" s="3921"/>
      <c r="AC31" s="4041"/>
      <c r="AD31" s="3921"/>
      <c r="AE31" s="3921"/>
      <c r="AF31" s="3921"/>
      <c r="AG31" s="3921"/>
      <c r="AH31" s="3921"/>
      <c r="AI31" s="3921"/>
      <c r="AJ31" s="4041"/>
      <c r="AK31" s="3921"/>
      <c r="AL31" s="3921"/>
      <c r="AM31" s="4041"/>
      <c r="AN31" s="4041"/>
      <c r="AO31" s="3879"/>
      <c r="AP31" s="3879"/>
      <c r="AQ31" s="3881"/>
    </row>
    <row r="32" spans="1:43" s="2236" customFormat="1" ht="30.75" customHeight="1" x14ac:dyDescent="0.2">
      <c r="A32" s="2229"/>
      <c r="B32" s="2230"/>
      <c r="C32" s="2231"/>
      <c r="D32" s="2230"/>
      <c r="E32" s="2230"/>
      <c r="F32" s="2231"/>
      <c r="G32" s="2237"/>
      <c r="H32" s="2230"/>
      <c r="I32" s="2231"/>
      <c r="J32" s="3899"/>
      <c r="K32" s="3867"/>
      <c r="L32" s="3864"/>
      <c r="M32" s="3864"/>
      <c r="N32" s="3864"/>
      <c r="O32" s="3864"/>
      <c r="P32" s="3867"/>
      <c r="Q32" s="3918"/>
      <c r="R32" s="3884"/>
      <c r="S32" s="3867"/>
      <c r="T32" s="3867"/>
      <c r="U32" s="4022"/>
      <c r="V32" s="2042">
        <v>3000000</v>
      </c>
      <c r="W32" s="2235">
        <v>98</v>
      </c>
      <c r="X32" s="3864"/>
      <c r="Y32" s="3864"/>
      <c r="Z32" s="3864"/>
      <c r="AA32" s="4038"/>
      <c r="AB32" s="3921"/>
      <c r="AC32" s="4041"/>
      <c r="AD32" s="3921"/>
      <c r="AE32" s="3921"/>
      <c r="AF32" s="3921"/>
      <c r="AG32" s="3921"/>
      <c r="AH32" s="3921"/>
      <c r="AI32" s="3921"/>
      <c r="AJ32" s="4041"/>
      <c r="AK32" s="3921"/>
      <c r="AL32" s="3921"/>
      <c r="AM32" s="4041"/>
      <c r="AN32" s="4041"/>
      <c r="AO32" s="3879"/>
      <c r="AP32" s="3879"/>
      <c r="AQ32" s="3881"/>
    </row>
    <row r="33" spans="1:43" s="2236" customFormat="1" ht="42" customHeight="1" x14ac:dyDescent="0.2">
      <c r="A33" s="2229"/>
      <c r="B33" s="2230"/>
      <c r="C33" s="2231"/>
      <c r="D33" s="2230"/>
      <c r="E33" s="2230"/>
      <c r="F33" s="2231"/>
      <c r="G33" s="2237"/>
      <c r="H33" s="2230"/>
      <c r="I33" s="2231"/>
      <c r="J33" s="3956">
        <v>129</v>
      </c>
      <c r="K33" s="3866" t="s">
        <v>2062</v>
      </c>
      <c r="L33" s="3863" t="s">
        <v>2040</v>
      </c>
      <c r="M33" s="3863">
        <v>6</v>
      </c>
      <c r="N33" s="3864"/>
      <c r="O33" s="3864"/>
      <c r="P33" s="3867"/>
      <c r="Q33" s="3917">
        <f>SUM(V33:V46)/R13</f>
        <v>0.46938775510204084</v>
      </c>
      <c r="R33" s="3884"/>
      <c r="S33" s="3867"/>
      <c r="T33" s="3866" t="s">
        <v>2063</v>
      </c>
      <c r="U33" s="4021" t="s">
        <v>2064</v>
      </c>
      <c r="V33" s="2042">
        <v>6000000</v>
      </c>
      <c r="W33" s="2235">
        <v>61</v>
      </c>
      <c r="X33" s="3864"/>
      <c r="Y33" s="3864"/>
      <c r="Z33" s="3864"/>
      <c r="AA33" s="4038"/>
      <c r="AB33" s="3921"/>
      <c r="AC33" s="4041"/>
      <c r="AD33" s="3921"/>
      <c r="AE33" s="3921"/>
      <c r="AF33" s="3921"/>
      <c r="AG33" s="3921"/>
      <c r="AH33" s="3921"/>
      <c r="AI33" s="3921"/>
      <c r="AJ33" s="4041"/>
      <c r="AK33" s="3921"/>
      <c r="AL33" s="3921"/>
      <c r="AM33" s="4041"/>
      <c r="AN33" s="4041"/>
      <c r="AO33" s="3879"/>
      <c r="AP33" s="3879"/>
      <c r="AQ33" s="3881"/>
    </row>
    <row r="34" spans="1:43" s="2236" customFormat="1" ht="28.5" customHeight="1" x14ac:dyDescent="0.2">
      <c r="A34" s="2229"/>
      <c r="B34" s="2230"/>
      <c r="C34" s="2231"/>
      <c r="D34" s="2230"/>
      <c r="E34" s="2230"/>
      <c r="F34" s="2231"/>
      <c r="G34" s="2237"/>
      <c r="H34" s="2230"/>
      <c r="I34" s="2231"/>
      <c r="J34" s="3956"/>
      <c r="K34" s="3867"/>
      <c r="L34" s="3864"/>
      <c r="M34" s="3864"/>
      <c r="N34" s="3864"/>
      <c r="O34" s="3864"/>
      <c r="P34" s="3867"/>
      <c r="Q34" s="3918"/>
      <c r="R34" s="3884"/>
      <c r="S34" s="3867"/>
      <c r="T34" s="3867"/>
      <c r="U34" s="4022"/>
      <c r="V34" s="2042">
        <v>3000000</v>
      </c>
      <c r="W34" s="2235">
        <v>98</v>
      </c>
      <c r="X34" s="3864"/>
      <c r="Y34" s="3864"/>
      <c r="Z34" s="3864"/>
      <c r="AA34" s="4038"/>
      <c r="AB34" s="3921"/>
      <c r="AC34" s="4041"/>
      <c r="AD34" s="3921"/>
      <c r="AE34" s="3921"/>
      <c r="AF34" s="3921"/>
      <c r="AG34" s="3921"/>
      <c r="AH34" s="3921"/>
      <c r="AI34" s="3921"/>
      <c r="AJ34" s="4041"/>
      <c r="AK34" s="3921"/>
      <c r="AL34" s="3921"/>
      <c r="AM34" s="4041"/>
      <c r="AN34" s="4041"/>
      <c r="AO34" s="3879"/>
      <c r="AP34" s="3879"/>
      <c r="AQ34" s="3881"/>
    </row>
    <row r="35" spans="1:43" s="2236" customFormat="1" ht="33" customHeight="1" x14ac:dyDescent="0.2">
      <c r="A35" s="2229"/>
      <c r="B35" s="2230"/>
      <c r="C35" s="2231"/>
      <c r="D35" s="2230"/>
      <c r="E35" s="2230"/>
      <c r="F35" s="2231"/>
      <c r="G35" s="2237"/>
      <c r="H35" s="2230"/>
      <c r="I35" s="2231"/>
      <c r="J35" s="3956"/>
      <c r="K35" s="3867"/>
      <c r="L35" s="3864"/>
      <c r="M35" s="3864"/>
      <c r="N35" s="3864"/>
      <c r="O35" s="3864"/>
      <c r="P35" s="3867"/>
      <c r="Q35" s="3918"/>
      <c r="R35" s="3884"/>
      <c r="S35" s="3867"/>
      <c r="T35" s="3867"/>
      <c r="U35" s="4021" t="s">
        <v>2065</v>
      </c>
      <c r="V35" s="2042">
        <v>6000000</v>
      </c>
      <c r="W35" s="2235">
        <v>61</v>
      </c>
      <c r="X35" s="3864"/>
      <c r="Y35" s="3864"/>
      <c r="Z35" s="3864"/>
      <c r="AA35" s="4038"/>
      <c r="AB35" s="3921"/>
      <c r="AC35" s="4041"/>
      <c r="AD35" s="3921"/>
      <c r="AE35" s="3921"/>
      <c r="AF35" s="3921"/>
      <c r="AG35" s="3921"/>
      <c r="AH35" s="3921"/>
      <c r="AI35" s="3921"/>
      <c r="AJ35" s="4041"/>
      <c r="AK35" s="3921"/>
      <c r="AL35" s="3921"/>
      <c r="AM35" s="4041"/>
      <c r="AN35" s="4041"/>
      <c r="AO35" s="3879"/>
      <c r="AP35" s="3879"/>
      <c r="AQ35" s="3881"/>
    </row>
    <row r="36" spans="1:43" s="2236" customFormat="1" ht="22.5" customHeight="1" x14ac:dyDescent="0.2">
      <c r="A36" s="2229"/>
      <c r="B36" s="2230"/>
      <c r="C36" s="2231"/>
      <c r="D36" s="2230"/>
      <c r="E36" s="2230"/>
      <c r="F36" s="2231"/>
      <c r="G36" s="2237"/>
      <c r="H36" s="2230"/>
      <c r="I36" s="2231"/>
      <c r="J36" s="3956"/>
      <c r="K36" s="3867"/>
      <c r="L36" s="3864"/>
      <c r="M36" s="3864"/>
      <c r="N36" s="3864"/>
      <c r="O36" s="3864"/>
      <c r="P36" s="3867"/>
      <c r="Q36" s="3918"/>
      <c r="R36" s="3884"/>
      <c r="S36" s="3867"/>
      <c r="T36" s="3867"/>
      <c r="U36" s="4022"/>
      <c r="V36" s="2042">
        <v>3000000</v>
      </c>
      <c r="W36" s="2235">
        <v>98</v>
      </c>
      <c r="X36" s="3864"/>
      <c r="Y36" s="3864"/>
      <c r="Z36" s="3864"/>
      <c r="AA36" s="4038"/>
      <c r="AB36" s="3921"/>
      <c r="AC36" s="4041"/>
      <c r="AD36" s="3921"/>
      <c r="AE36" s="3921"/>
      <c r="AF36" s="3921"/>
      <c r="AG36" s="3921"/>
      <c r="AH36" s="3921"/>
      <c r="AI36" s="3921"/>
      <c r="AJ36" s="4041"/>
      <c r="AK36" s="3921"/>
      <c r="AL36" s="3921"/>
      <c r="AM36" s="4041"/>
      <c r="AN36" s="4041"/>
      <c r="AO36" s="3879"/>
      <c r="AP36" s="3879"/>
      <c r="AQ36" s="3881"/>
    </row>
    <row r="37" spans="1:43" s="2236" customFormat="1" ht="28.5" customHeight="1" x14ac:dyDescent="0.2">
      <c r="A37" s="2229"/>
      <c r="B37" s="2230"/>
      <c r="C37" s="2231"/>
      <c r="D37" s="2230"/>
      <c r="E37" s="2230"/>
      <c r="F37" s="2231"/>
      <c r="G37" s="2237"/>
      <c r="H37" s="2230"/>
      <c r="I37" s="2231"/>
      <c r="J37" s="3956"/>
      <c r="K37" s="3867"/>
      <c r="L37" s="3864"/>
      <c r="M37" s="3864"/>
      <c r="N37" s="3864"/>
      <c r="O37" s="3864"/>
      <c r="P37" s="3867"/>
      <c r="Q37" s="3918"/>
      <c r="R37" s="3884"/>
      <c r="S37" s="3867"/>
      <c r="T37" s="3867"/>
      <c r="U37" s="4021" t="s">
        <v>2066</v>
      </c>
      <c r="V37" s="2042">
        <v>6000000</v>
      </c>
      <c r="W37" s="2235">
        <v>61</v>
      </c>
      <c r="X37" s="3864"/>
      <c r="Y37" s="3864"/>
      <c r="Z37" s="3864"/>
      <c r="AA37" s="4038"/>
      <c r="AB37" s="3921"/>
      <c r="AC37" s="4041"/>
      <c r="AD37" s="3921"/>
      <c r="AE37" s="3921"/>
      <c r="AF37" s="3921"/>
      <c r="AG37" s="3921"/>
      <c r="AH37" s="3921"/>
      <c r="AI37" s="3921"/>
      <c r="AJ37" s="4041"/>
      <c r="AK37" s="3921"/>
      <c r="AL37" s="3921"/>
      <c r="AM37" s="4041"/>
      <c r="AN37" s="4041"/>
      <c r="AO37" s="3879"/>
      <c r="AP37" s="3879"/>
      <c r="AQ37" s="3881"/>
    </row>
    <row r="38" spans="1:43" s="2236" customFormat="1" ht="38.25" customHeight="1" x14ac:dyDescent="0.2">
      <c r="A38" s="2229"/>
      <c r="B38" s="2230"/>
      <c r="C38" s="2231"/>
      <c r="D38" s="2230"/>
      <c r="E38" s="2230"/>
      <c r="F38" s="2231"/>
      <c r="G38" s="2237"/>
      <c r="H38" s="2230"/>
      <c r="I38" s="2231"/>
      <c r="J38" s="3956"/>
      <c r="K38" s="3867"/>
      <c r="L38" s="3864"/>
      <c r="M38" s="3864"/>
      <c r="N38" s="3864"/>
      <c r="O38" s="3864"/>
      <c r="P38" s="3867"/>
      <c r="Q38" s="3918"/>
      <c r="R38" s="3884"/>
      <c r="S38" s="3867"/>
      <c r="T38" s="3867"/>
      <c r="U38" s="4022"/>
      <c r="V38" s="2042">
        <v>3000000</v>
      </c>
      <c r="W38" s="2235">
        <v>98</v>
      </c>
      <c r="X38" s="3864"/>
      <c r="Y38" s="3864"/>
      <c r="Z38" s="3864"/>
      <c r="AA38" s="4038"/>
      <c r="AB38" s="3921"/>
      <c r="AC38" s="4041"/>
      <c r="AD38" s="3921"/>
      <c r="AE38" s="3921"/>
      <c r="AF38" s="3921"/>
      <c r="AG38" s="3921"/>
      <c r="AH38" s="3921"/>
      <c r="AI38" s="3921"/>
      <c r="AJ38" s="4041"/>
      <c r="AK38" s="3921"/>
      <c r="AL38" s="3921"/>
      <c r="AM38" s="4041"/>
      <c r="AN38" s="4041"/>
      <c r="AO38" s="3879"/>
      <c r="AP38" s="3879"/>
      <c r="AQ38" s="3881"/>
    </row>
    <row r="39" spans="1:43" s="2236" customFormat="1" ht="39" customHeight="1" x14ac:dyDescent="0.2">
      <c r="A39" s="2229"/>
      <c r="B39" s="2230"/>
      <c r="C39" s="2231"/>
      <c r="D39" s="2230"/>
      <c r="E39" s="2230"/>
      <c r="F39" s="2231"/>
      <c r="G39" s="2237"/>
      <c r="H39" s="2230"/>
      <c r="I39" s="2231"/>
      <c r="J39" s="3956"/>
      <c r="K39" s="3867"/>
      <c r="L39" s="3864"/>
      <c r="M39" s="3864"/>
      <c r="N39" s="3864"/>
      <c r="O39" s="3864"/>
      <c r="P39" s="3867"/>
      <c r="Q39" s="3918"/>
      <c r="R39" s="3884"/>
      <c r="S39" s="3867"/>
      <c r="T39" s="3867"/>
      <c r="U39" s="4021" t="s">
        <v>2067</v>
      </c>
      <c r="V39" s="2042">
        <v>28000000</v>
      </c>
      <c r="W39" s="2235">
        <v>61</v>
      </c>
      <c r="X39" s="3864"/>
      <c r="Y39" s="3864"/>
      <c r="Z39" s="3864"/>
      <c r="AA39" s="4038"/>
      <c r="AB39" s="3921"/>
      <c r="AC39" s="4041"/>
      <c r="AD39" s="3921"/>
      <c r="AE39" s="3921"/>
      <c r="AF39" s="3921"/>
      <c r="AG39" s="3921"/>
      <c r="AH39" s="3921"/>
      <c r="AI39" s="3921"/>
      <c r="AJ39" s="4041"/>
      <c r="AK39" s="3921"/>
      <c r="AL39" s="3921"/>
      <c r="AM39" s="4041"/>
      <c r="AN39" s="4041"/>
      <c r="AO39" s="3879"/>
      <c r="AP39" s="3879"/>
      <c r="AQ39" s="3881"/>
    </row>
    <row r="40" spans="1:43" s="2236" customFormat="1" ht="36" customHeight="1" x14ac:dyDescent="0.2">
      <c r="A40" s="2229"/>
      <c r="B40" s="2230"/>
      <c r="C40" s="2231"/>
      <c r="D40" s="2230"/>
      <c r="E40" s="2230"/>
      <c r="F40" s="2231"/>
      <c r="G40" s="2237"/>
      <c r="H40" s="2230"/>
      <c r="I40" s="2231"/>
      <c r="J40" s="3956"/>
      <c r="K40" s="3867"/>
      <c r="L40" s="3864"/>
      <c r="M40" s="3864"/>
      <c r="N40" s="3864"/>
      <c r="O40" s="3864"/>
      <c r="P40" s="3867"/>
      <c r="Q40" s="3918"/>
      <c r="R40" s="3884"/>
      <c r="S40" s="3867"/>
      <c r="T40" s="3867"/>
      <c r="U40" s="4022"/>
      <c r="V40" s="2042">
        <v>3000000</v>
      </c>
      <c r="W40" s="2235">
        <v>98</v>
      </c>
      <c r="X40" s="3864"/>
      <c r="Y40" s="3864"/>
      <c r="Z40" s="3864"/>
      <c r="AA40" s="4038"/>
      <c r="AB40" s="3921"/>
      <c r="AC40" s="4041"/>
      <c r="AD40" s="3921"/>
      <c r="AE40" s="3921"/>
      <c r="AF40" s="3921"/>
      <c r="AG40" s="3921"/>
      <c r="AH40" s="3921"/>
      <c r="AI40" s="3921"/>
      <c r="AJ40" s="4041"/>
      <c r="AK40" s="3921"/>
      <c r="AL40" s="3921"/>
      <c r="AM40" s="4041"/>
      <c r="AN40" s="4041"/>
      <c r="AO40" s="3879"/>
      <c r="AP40" s="3879"/>
      <c r="AQ40" s="3881"/>
    </row>
    <row r="41" spans="1:43" s="2236" customFormat="1" ht="36" customHeight="1" x14ac:dyDescent="0.2">
      <c r="A41" s="2229"/>
      <c r="B41" s="2230"/>
      <c r="C41" s="2231"/>
      <c r="D41" s="2230"/>
      <c r="E41" s="2230"/>
      <c r="F41" s="2231"/>
      <c r="G41" s="2237"/>
      <c r="H41" s="2230"/>
      <c r="I41" s="2231"/>
      <c r="J41" s="3956"/>
      <c r="K41" s="3867"/>
      <c r="L41" s="3864"/>
      <c r="M41" s="3864"/>
      <c r="N41" s="3864"/>
      <c r="O41" s="3864"/>
      <c r="P41" s="3867"/>
      <c r="Q41" s="3918"/>
      <c r="R41" s="3884"/>
      <c r="S41" s="3867"/>
      <c r="T41" s="3867"/>
      <c r="U41" s="4021" t="s">
        <v>2068</v>
      </c>
      <c r="V41" s="2042">
        <v>6000000</v>
      </c>
      <c r="W41" s="2235">
        <v>61</v>
      </c>
      <c r="X41" s="3864"/>
      <c r="Y41" s="3864"/>
      <c r="Z41" s="3864"/>
      <c r="AA41" s="4038"/>
      <c r="AB41" s="3921"/>
      <c r="AC41" s="4041"/>
      <c r="AD41" s="3921"/>
      <c r="AE41" s="3921"/>
      <c r="AF41" s="3921"/>
      <c r="AG41" s="3921"/>
      <c r="AH41" s="3921"/>
      <c r="AI41" s="3921"/>
      <c r="AJ41" s="4041"/>
      <c r="AK41" s="3921"/>
      <c r="AL41" s="3921"/>
      <c r="AM41" s="4041"/>
      <c r="AN41" s="4041"/>
      <c r="AO41" s="3879"/>
      <c r="AP41" s="3879"/>
      <c r="AQ41" s="3881"/>
    </row>
    <row r="42" spans="1:43" s="2236" customFormat="1" ht="24" customHeight="1" x14ac:dyDescent="0.2">
      <c r="A42" s="2229"/>
      <c r="B42" s="2230"/>
      <c r="C42" s="2231"/>
      <c r="D42" s="2230"/>
      <c r="E42" s="2230"/>
      <c r="F42" s="2231"/>
      <c r="G42" s="2237"/>
      <c r="H42" s="2230"/>
      <c r="I42" s="2231"/>
      <c r="J42" s="3956"/>
      <c r="K42" s="3867"/>
      <c r="L42" s="3864"/>
      <c r="M42" s="3864"/>
      <c r="N42" s="3864"/>
      <c r="O42" s="3864"/>
      <c r="P42" s="3867"/>
      <c r="Q42" s="3918"/>
      <c r="R42" s="3884"/>
      <c r="S42" s="3867"/>
      <c r="T42" s="3867"/>
      <c r="U42" s="4022"/>
      <c r="V42" s="2042">
        <v>3500000</v>
      </c>
      <c r="W42" s="2235">
        <v>98</v>
      </c>
      <c r="X42" s="3864"/>
      <c r="Y42" s="3864"/>
      <c r="Z42" s="3864"/>
      <c r="AA42" s="4038"/>
      <c r="AB42" s="3921"/>
      <c r="AC42" s="4041"/>
      <c r="AD42" s="3921"/>
      <c r="AE42" s="3921"/>
      <c r="AF42" s="3921"/>
      <c r="AG42" s="3921"/>
      <c r="AH42" s="3921"/>
      <c r="AI42" s="3921"/>
      <c r="AJ42" s="4041"/>
      <c r="AK42" s="3921"/>
      <c r="AL42" s="3921"/>
      <c r="AM42" s="4041"/>
      <c r="AN42" s="4041"/>
      <c r="AO42" s="3879"/>
      <c r="AP42" s="3879"/>
      <c r="AQ42" s="3881"/>
    </row>
    <row r="43" spans="1:43" s="2236" customFormat="1" ht="33" customHeight="1" x14ac:dyDescent="0.2">
      <c r="A43" s="2229"/>
      <c r="B43" s="2230"/>
      <c r="C43" s="2231"/>
      <c r="D43" s="2230"/>
      <c r="E43" s="2230"/>
      <c r="F43" s="2231"/>
      <c r="G43" s="2237"/>
      <c r="H43" s="2230"/>
      <c r="I43" s="2231"/>
      <c r="J43" s="3956"/>
      <c r="K43" s="3867"/>
      <c r="L43" s="3864"/>
      <c r="M43" s="3864"/>
      <c r="N43" s="3864"/>
      <c r="O43" s="3864"/>
      <c r="P43" s="3867"/>
      <c r="Q43" s="3918"/>
      <c r="R43" s="3884"/>
      <c r="S43" s="3867"/>
      <c r="T43" s="3867"/>
      <c r="U43" s="4021" t="s">
        <v>2069</v>
      </c>
      <c r="V43" s="2042">
        <v>6000000</v>
      </c>
      <c r="W43" s="2235">
        <v>61</v>
      </c>
      <c r="X43" s="3864"/>
      <c r="Y43" s="3864"/>
      <c r="Z43" s="3864"/>
      <c r="AA43" s="4038"/>
      <c r="AB43" s="3921"/>
      <c r="AC43" s="4041"/>
      <c r="AD43" s="3921"/>
      <c r="AE43" s="3921"/>
      <c r="AF43" s="3921"/>
      <c r="AG43" s="3921"/>
      <c r="AH43" s="3921"/>
      <c r="AI43" s="3921"/>
      <c r="AJ43" s="4041"/>
      <c r="AK43" s="3921"/>
      <c r="AL43" s="3921"/>
      <c r="AM43" s="4041"/>
      <c r="AN43" s="4041"/>
      <c r="AO43" s="3879"/>
      <c r="AP43" s="3879"/>
      <c r="AQ43" s="3881"/>
    </row>
    <row r="44" spans="1:43" s="2236" customFormat="1" ht="33" customHeight="1" x14ac:dyDescent="0.2">
      <c r="A44" s="2229"/>
      <c r="B44" s="2230"/>
      <c r="C44" s="2231"/>
      <c r="D44" s="2230"/>
      <c r="E44" s="2230"/>
      <c r="F44" s="2231"/>
      <c r="G44" s="2237"/>
      <c r="H44" s="2230"/>
      <c r="I44" s="2231"/>
      <c r="J44" s="3956"/>
      <c r="K44" s="3867"/>
      <c r="L44" s="3864"/>
      <c r="M44" s="3864"/>
      <c r="N44" s="3864"/>
      <c r="O44" s="3864"/>
      <c r="P44" s="3867"/>
      <c r="Q44" s="3918"/>
      <c r="R44" s="3884"/>
      <c r="S44" s="3867"/>
      <c r="T44" s="3867"/>
      <c r="U44" s="4022"/>
      <c r="V44" s="2042">
        <v>3500000</v>
      </c>
      <c r="W44" s="2235">
        <v>98</v>
      </c>
      <c r="X44" s="3864"/>
      <c r="Y44" s="3864"/>
      <c r="Z44" s="3864"/>
      <c r="AA44" s="4038"/>
      <c r="AB44" s="3921"/>
      <c r="AC44" s="4041"/>
      <c r="AD44" s="3921"/>
      <c r="AE44" s="3921"/>
      <c r="AF44" s="3921"/>
      <c r="AG44" s="3921"/>
      <c r="AH44" s="3921"/>
      <c r="AI44" s="3921"/>
      <c r="AJ44" s="4041"/>
      <c r="AK44" s="3921"/>
      <c r="AL44" s="3921"/>
      <c r="AM44" s="4041"/>
      <c r="AN44" s="4041"/>
      <c r="AO44" s="3879"/>
      <c r="AP44" s="3879"/>
      <c r="AQ44" s="3881"/>
    </row>
    <row r="45" spans="1:43" s="2236" customFormat="1" ht="33" customHeight="1" x14ac:dyDescent="0.2">
      <c r="A45" s="2229"/>
      <c r="B45" s="2230"/>
      <c r="C45" s="2231"/>
      <c r="D45" s="2230"/>
      <c r="E45" s="2230"/>
      <c r="F45" s="2231"/>
      <c r="G45" s="2237"/>
      <c r="H45" s="2230"/>
      <c r="I45" s="2231"/>
      <c r="J45" s="3956"/>
      <c r="K45" s="3867"/>
      <c r="L45" s="3864"/>
      <c r="M45" s="3864"/>
      <c r="N45" s="3864"/>
      <c r="O45" s="3864"/>
      <c r="P45" s="3867"/>
      <c r="Q45" s="3918"/>
      <c r="R45" s="3884"/>
      <c r="S45" s="3867"/>
      <c r="T45" s="3867"/>
      <c r="U45" s="4021" t="s">
        <v>2070</v>
      </c>
      <c r="V45" s="2042">
        <v>12000000</v>
      </c>
      <c r="W45" s="2235">
        <v>61</v>
      </c>
      <c r="X45" s="3864"/>
      <c r="Y45" s="3864"/>
      <c r="Z45" s="3864"/>
      <c r="AA45" s="4038"/>
      <c r="AB45" s="3921"/>
      <c r="AC45" s="4041"/>
      <c r="AD45" s="3921"/>
      <c r="AE45" s="3921"/>
      <c r="AF45" s="3921"/>
      <c r="AG45" s="3921"/>
      <c r="AH45" s="3921"/>
      <c r="AI45" s="3921"/>
      <c r="AJ45" s="4041"/>
      <c r="AK45" s="3921"/>
      <c r="AL45" s="3921"/>
      <c r="AM45" s="4041"/>
      <c r="AN45" s="4041"/>
      <c r="AO45" s="3879"/>
      <c r="AP45" s="3879"/>
      <c r="AQ45" s="3881"/>
    </row>
    <row r="46" spans="1:43" s="2236" customFormat="1" ht="28.5" customHeight="1" x14ac:dyDescent="0.2">
      <c r="A46" s="2229"/>
      <c r="B46" s="2230"/>
      <c r="C46" s="2231"/>
      <c r="D46" s="2239"/>
      <c r="E46" s="2239"/>
      <c r="F46" s="2240"/>
      <c r="G46" s="2241"/>
      <c r="H46" s="2239"/>
      <c r="I46" s="2240"/>
      <c r="J46" s="3956"/>
      <c r="K46" s="3868"/>
      <c r="L46" s="3865"/>
      <c r="M46" s="3865"/>
      <c r="N46" s="3865"/>
      <c r="O46" s="3865"/>
      <c r="P46" s="3868"/>
      <c r="Q46" s="3919"/>
      <c r="R46" s="3904"/>
      <c r="S46" s="3868"/>
      <c r="T46" s="3868"/>
      <c r="U46" s="4022"/>
      <c r="V46" s="2042">
        <v>3000000</v>
      </c>
      <c r="W46" s="2235">
        <v>98</v>
      </c>
      <c r="X46" s="3865"/>
      <c r="Y46" s="3865"/>
      <c r="Z46" s="3865"/>
      <c r="AA46" s="4039"/>
      <c r="AB46" s="3922"/>
      <c r="AC46" s="4042"/>
      <c r="AD46" s="3922"/>
      <c r="AE46" s="3922"/>
      <c r="AF46" s="3922"/>
      <c r="AG46" s="3922"/>
      <c r="AH46" s="3922"/>
      <c r="AI46" s="3922"/>
      <c r="AJ46" s="4042"/>
      <c r="AK46" s="3922"/>
      <c r="AL46" s="3922"/>
      <c r="AM46" s="4042"/>
      <c r="AN46" s="4042"/>
      <c r="AO46" s="3901"/>
      <c r="AP46" s="3901"/>
      <c r="AQ46" s="3887"/>
    </row>
    <row r="47" spans="1:43" ht="36" customHeight="1" x14ac:dyDescent="0.2">
      <c r="A47" s="2215"/>
      <c r="C47" s="2242"/>
      <c r="D47" s="2243">
        <v>12</v>
      </c>
      <c r="E47" s="2244" t="s">
        <v>2071</v>
      </c>
      <c r="F47" s="2245"/>
      <c r="G47" s="2207"/>
      <c r="H47" s="2207"/>
      <c r="I47" s="2207"/>
      <c r="J47" s="2207"/>
      <c r="K47" s="2208"/>
      <c r="L47" s="2207"/>
      <c r="M47" s="2207"/>
      <c r="N47" s="2209"/>
      <c r="O47" s="2207"/>
      <c r="P47" s="2208"/>
      <c r="Q47" s="2207"/>
      <c r="R47" s="2246"/>
      <c r="S47" s="2208"/>
      <c r="T47" s="2208"/>
      <c r="U47" s="2208"/>
      <c r="V47" s="2247"/>
      <c r="W47" s="2248"/>
      <c r="X47" s="2209"/>
      <c r="Y47" s="2209"/>
      <c r="Z47" s="2209"/>
      <c r="AA47" s="2209"/>
      <c r="AB47" s="2209"/>
      <c r="AC47" s="2209"/>
      <c r="AD47" s="2209"/>
      <c r="AE47" s="2209"/>
      <c r="AF47" s="2209"/>
      <c r="AG47" s="2209"/>
      <c r="AH47" s="2209"/>
      <c r="AI47" s="2209"/>
      <c r="AJ47" s="2209"/>
      <c r="AK47" s="2209"/>
      <c r="AL47" s="2209"/>
      <c r="AM47" s="2209"/>
      <c r="AN47" s="2209"/>
      <c r="AO47" s="2207"/>
      <c r="AP47" s="2207"/>
      <c r="AQ47" s="2214"/>
    </row>
    <row r="48" spans="1:43" ht="36" customHeight="1" x14ac:dyDescent="0.2">
      <c r="A48" s="2215"/>
      <c r="B48" s="2216"/>
      <c r="C48" s="2217"/>
      <c r="D48" s="2218"/>
      <c r="E48" s="2218"/>
      <c r="F48" s="2219"/>
      <c r="G48" s="2249">
        <v>36</v>
      </c>
      <c r="H48" s="2221" t="s">
        <v>2072</v>
      </c>
      <c r="I48" s="2221"/>
      <c r="J48" s="2221"/>
      <c r="K48" s="2222"/>
      <c r="L48" s="2221"/>
      <c r="M48" s="2221"/>
      <c r="N48" s="2223"/>
      <c r="O48" s="2221"/>
      <c r="P48" s="2222"/>
      <c r="Q48" s="2221"/>
      <c r="R48" s="2250"/>
      <c r="S48" s="2222"/>
      <c r="T48" s="2222"/>
      <c r="U48" s="2222"/>
      <c r="V48" s="2251"/>
      <c r="W48" s="2252"/>
      <c r="X48" s="2223"/>
      <c r="Y48" s="2223"/>
      <c r="Z48" s="2223"/>
      <c r="AA48" s="2223"/>
      <c r="AB48" s="2223"/>
      <c r="AC48" s="2223"/>
      <c r="AD48" s="2223"/>
      <c r="AE48" s="2223"/>
      <c r="AF48" s="2223"/>
      <c r="AG48" s="2223"/>
      <c r="AH48" s="2223"/>
      <c r="AI48" s="2223"/>
      <c r="AJ48" s="2223"/>
      <c r="AK48" s="2223"/>
      <c r="AL48" s="2223"/>
      <c r="AM48" s="2223"/>
      <c r="AN48" s="2223"/>
      <c r="AO48" s="2221"/>
      <c r="AP48" s="2221"/>
      <c r="AQ48" s="2228"/>
    </row>
    <row r="49" spans="1:43" s="2236" customFormat="1" ht="68.25" customHeight="1" x14ac:dyDescent="0.2">
      <c r="A49" s="2229"/>
      <c r="B49" s="2230"/>
      <c r="C49" s="2231"/>
      <c r="D49" s="2230"/>
      <c r="E49" s="2230"/>
      <c r="F49" s="2231"/>
      <c r="G49" s="2232"/>
      <c r="H49" s="2233"/>
      <c r="I49" s="2234"/>
      <c r="J49" s="3898">
        <v>130</v>
      </c>
      <c r="K49" s="3866" t="s">
        <v>2073</v>
      </c>
      <c r="L49" s="3863" t="s">
        <v>2040</v>
      </c>
      <c r="M49" s="3863">
        <v>1</v>
      </c>
      <c r="N49" s="3863" t="s">
        <v>2074</v>
      </c>
      <c r="O49" s="3863" t="s">
        <v>2075</v>
      </c>
      <c r="P49" s="3866" t="s">
        <v>2076</v>
      </c>
      <c r="Q49" s="3917">
        <f>(V49+V50)/R49</f>
        <v>0.40517241379310343</v>
      </c>
      <c r="R49" s="3883">
        <f>SUM(V49:V54)</f>
        <v>232000000</v>
      </c>
      <c r="S49" s="3866" t="s">
        <v>2077</v>
      </c>
      <c r="T49" s="3866" t="s">
        <v>2078</v>
      </c>
      <c r="U49" s="4021" t="s">
        <v>2079</v>
      </c>
      <c r="V49" s="2042">
        <f>60000000+24000000</f>
        <v>84000000</v>
      </c>
      <c r="W49" s="2235">
        <v>61</v>
      </c>
      <c r="X49" s="3863" t="s">
        <v>2080</v>
      </c>
      <c r="Y49" s="4037">
        <v>292684</v>
      </c>
      <c r="Z49" s="4037">
        <v>282326</v>
      </c>
      <c r="AA49" s="4037">
        <v>135912</v>
      </c>
      <c r="AB49" s="4037">
        <v>45122</v>
      </c>
      <c r="AC49" s="4037">
        <v>307101</v>
      </c>
      <c r="AD49" s="4037">
        <v>86875</v>
      </c>
      <c r="AE49" s="4037">
        <v>2145</v>
      </c>
      <c r="AF49" s="4037">
        <v>12718</v>
      </c>
      <c r="AG49" s="4037">
        <v>26</v>
      </c>
      <c r="AH49" s="4037">
        <v>37</v>
      </c>
      <c r="AI49" s="4037">
        <v>16897</v>
      </c>
      <c r="AJ49" s="4037" t="s">
        <v>2047</v>
      </c>
      <c r="AK49" s="4037">
        <v>53164</v>
      </c>
      <c r="AL49" s="4037">
        <v>16982</v>
      </c>
      <c r="AM49" s="4037">
        <v>60013</v>
      </c>
      <c r="AN49" s="4037">
        <v>575010</v>
      </c>
      <c r="AO49" s="3878">
        <v>43467</v>
      </c>
      <c r="AP49" s="3878">
        <v>43830</v>
      </c>
      <c r="AQ49" s="3880" t="s">
        <v>2048</v>
      </c>
    </row>
    <row r="50" spans="1:43" s="2236" customFormat="1" ht="51.75" customHeight="1" x14ac:dyDescent="0.2">
      <c r="A50" s="2229"/>
      <c r="B50" s="2230"/>
      <c r="C50" s="2231"/>
      <c r="D50" s="2230"/>
      <c r="E50" s="2230"/>
      <c r="F50" s="2231"/>
      <c r="G50" s="2237"/>
      <c r="H50" s="2230"/>
      <c r="I50" s="2231"/>
      <c r="J50" s="3900"/>
      <c r="K50" s="3868"/>
      <c r="L50" s="3865"/>
      <c r="M50" s="3865"/>
      <c r="N50" s="3864"/>
      <c r="O50" s="3864"/>
      <c r="P50" s="3867"/>
      <c r="Q50" s="3919"/>
      <c r="R50" s="3884"/>
      <c r="S50" s="3867"/>
      <c r="T50" s="3868"/>
      <c r="U50" s="4022"/>
      <c r="V50" s="2042">
        <v>10000000</v>
      </c>
      <c r="W50" s="2235">
        <v>98</v>
      </c>
      <c r="X50" s="3864"/>
      <c r="Y50" s="4038"/>
      <c r="Z50" s="4038"/>
      <c r="AA50" s="4038"/>
      <c r="AB50" s="4038"/>
      <c r="AC50" s="4038"/>
      <c r="AD50" s="4038"/>
      <c r="AE50" s="4038"/>
      <c r="AF50" s="4038"/>
      <c r="AG50" s="4038"/>
      <c r="AH50" s="4038"/>
      <c r="AI50" s="4038"/>
      <c r="AJ50" s="4038"/>
      <c r="AK50" s="4038"/>
      <c r="AL50" s="4038"/>
      <c r="AM50" s="4038"/>
      <c r="AN50" s="4038"/>
      <c r="AO50" s="3879"/>
      <c r="AP50" s="3879"/>
      <c r="AQ50" s="3881"/>
    </row>
    <row r="51" spans="1:43" s="2236" customFormat="1" ht="69" customHeight="1" x14ac:dyDescent="0.2">
      <c r="A51" s="2229"/>
      <c r="B51" s="2230"/>
      <c r="C51" s="2231"/>
      <c r="D51" s="2230"/>
      <c r="E51" s="2230"/>
      <c r="F51" s="2231"/>
      <c r="G51" s="2237"/>
      <c r="H51" s="2230"/>
      <c r="I51" s="2231"/>
      <c r="J51" s="3898">
        <v>131</v>
      </c>
      <c r="K51" s="3866" t="s">
        <v>2081</v>
      </c>
      <c r="L51" s="3863" t="s">
        <v>2040</v>
      </c>
      <c r="M51" s="3863">
        <v>5</v>
      </c>
      <c r="N51" s="3864"/>
      <c r="O51" s="3864"/>
      <c r="P51" s="3867"/>
      <c r="Q51" s="3917">
        <f>SUM(V51:V54)/R49</f>
        <v>0.59482758620689657</v>
      </c>
      <c r="R51" s="3884"/>
      <c r="S51" s="3867"/>
      <c r="T51" s="3866" t="s">
        <v>2082</v>
      </c>
      <c r="U51" s="2238" t="s">
        <v>2083</v>
      </c>
      <c r="V51" s="2042">
        <v>28000000</v>
      </c>
      <c r="W51" s="2235">
        <v>61</v>
      </c>
      <c r="X51" s="3864"/>
      <c r="Y51" s="4038"/>
      <c r="Z51" s="4038"/>
      <c r="AA51" s="4038"/>
      <c r="AB51" s="4038"/>
      <c r="AC51" s="4038"/>
      <c r="AD51" s="4038"/>
      <c r="AE51" s="4038"/>
      <c r="AF51" s="4038"/>
      <c r="AG51" s="4038"/>
      <c r="AH51" s="4038"/>
      <c r="AI51" s="4038"/>
      <c r="AJ51" s="4038"/>
      <c r="AK51" s="4038"/>
      <c r="AL51" s="4038"/>
      <c r="AM51" s="4038"/>
      <c r="AN51" s="4038"/>
      <c r="AO51" s="3879"/>
      <c r="AP51" s="3879"/>
      <c r="AQ51" s="3881"/>
    </row>
    <row r="52" spans="1:43" s="2236" customFormat="1" ht="40.5" customHeight="1" x14ac:dyDescent="0.2">
      <c r="A52" s="2229"/>
      <c r="B52" s="2230"/>
      <c r="C52" s="2231"/>
      <c r="D52" s="2230"/>
      <c r="E52" s="2230"/>
      <c r="F52" s="2231"/>
      <c r="G52" s="2237"/>
      <c r="H52" s="2230"/>
      <c r="I52" s="2231"/>
      <c r="J52" s="3899"/>
      <c r="K52" s="3867"/>
      <c r="L52" s="3864"/>
      <c r="M52" s="3864"/>
      <c r="N52" s="3864"/>
      <c r="O52" s="3864"/>
      <c r="P52" s="3867"/>
      <c r="Q52" s="3918"/>
      <c r="R52" s="3884"/>
      <c r="S52" s="3867"/>
      <c r="T52" s="3867"/>
      <c r="U52" s="4021" t="s">
        <v>2084</v>
      </c>
      <c r="V52" s="2042">
        <v>40000000</v>
      </c>
      <c r="W52" s="2235">
        <v>61</v>
      </c>
      <c r="X52" s="3864"/>
      <c r="Y52" s="4038"/>
      <c r="Z52" s="4038"/>
      <c r="AA52" s="4038"/>
      <c r="AB52" s="4038"/>
      <c r="AC52" s="4038"/>
      <c r="AD52" s="4038"/>
      <c r="AE52" s="4038"/>
      <c r="AF52" s="4038"/>
      <c r="AG52" s="4038"/>
      <c r="AH52" s="4038"/>
      <c r="AI52" s="4038"/>
      <c r="AJ52" s="4038"/>
      <c r="AK52" s="4038"/>
      <c r="AL52" s="4038"/>
      <c r="AM52" s="4038"/>
      <c r="AN52" s="4038"/>
      <c r="AO52" s="3879"/>
      <c r="AP52" s="3879"/>
      <c r="AQ52" s="3881"/>
    </row>
    <row r="53" spans="1:43" s="2236" customFormat="1" ht="37.5" customHeight="1" x14ac:dyDescent="0.2">
      <c r="A53" s="2229"/>
      <c r="B53" s="2230"/>
      <c r="C53" s="2231"/>
      <c r="D53" s="2230"/>
      <c r="E53" s="2230"/>
      <c r="F53" s="2231"/>
      <c r="G53" s="2237"/>
      <c r="H53" s="2230"/>
      <c r="I53" s="2231"/>
      <c r="J53" s="3899"/>
      <c r="K53" s="3867"/>
      <c r="L53" s="3864"/>
      <c r="M53" s="3864"/>
      <c r="N53" s="3864"/>
      <c r="O53" s="3864"/>
      <c r="P53" s="3867"/>
      <c r="Q53" s="3918"/>
      <c r="R53" s="3884"/>
      <c r="S53" s="3867"/>
      <c r="T53" s="3867"/>
      <c r="U53" s="4022"/>
      <c r="V53" s="2042">
        <v>10000000</v>
      </c>
      <c r="W53" s="2235">
        <v>98</v>
      </c>
      <c r="X53" s="3864"/>
      <c r="Y53" s="4038"/>
      <c r="Z53" s="4038"/>
      <c r="AA53" s="4038"/>
      <c r="AB53" s="4038"/>
      <c r="AC53" s="4038"/>
      <c r="AD53" s="4038"/>
      <c r="AE53" s="4038"/>
      <c r="AF53" s="4038"/>
      <c r="AG53" s="4038"/>
      <c r="AH53" s="4038"/>
      <c r="AI53" s="4038"/>
      <c r="AJ53" s="4038"/>
      <c r="AK53" s="4038"/>
      <c r="AL53" s="4038"/>
      <c r="AM53" s="4038"/>
      <c r="AN53" s="4038"/>
      <c r="AO53" s="3879"/>
      <c r="AP53" s="3879"/>
      <c r="AQ53" s="3881"/>
    </row>
    <row r="54" spans="1:43" s="2236" customFormat="1" ht="57" x14ac:dyDescent="0.2">
      <c r="A54" s="2229"/>
      <c r="B54" s="2230"/>
      <c r="C54" s="2231"/>
      <c r="D54" s="2230"/>
      <c r="E54" s="2230"/>
      <c r="F54" s="2231"/>
      <c r="G54" s="2241"/>
      <c r="H54" s="2239"/>
      <c r="I54" s="2240"/>
      <c r="J54" s="3900"/>
      <c r="K54" s="3868"/>
      <c r="L54" s="3865"/>
      <c r="M54" s="3865"/>
      <c r="N54" s="3865"/>
      <c r="O54" s="3865"/>
      <c r="P54" s="3868"/>
      <c r="Q54" s="3919"/>
      <c r="R54" s="3904"/>
      <c r="S54" s="3868"/>
      <c r="T54" s="3868"/>
      <c r="U54" s="2238" t="s">
        <v>2085</v>
      </c>
      <c r="V54" s="2042">
        <v>60000000</v>
      </c>
      <c r="W54" s="2235">
        <v>61</v>
      </c>
      <c r="X54" s="3865"/>
      <c r="Y54" s="4039"/>
      <c r="Z54" s="4039"/>
      <c r="AA54" s="4039"/>
      <c r="AB54" s="4039"/>
      <c r="AC54" s="4039"/>
      <c r="AD54" s="4039"/>
      <c r="AE54" s="4039"/>
      <c r="AF54" s="4039"/>
      <c r="AG54" s="4039"/>
      <c r="AH54" s="4039"/>
      <c r="AI54" s="4039"/>
      <c r="AJ54" s="4039"/>
      <c r="AK54" s="4039"/>
      <c r="AL54" s="4039"/>
      <c r="AM54" s="4039"/>
      <c r="AN54" s="4039"/>
      <c r="AO54" s="3901"/>
      <c r="AP54" s="3901"/>
      <c r="AQ54" s="3887"/>
    </row>
    <row r="55" spans="1:43" ht="36" customHeight="1" x14ac:dyDescent="0.2">
      <c r="A55" s="2215"/>
      <c r="B55" s="2216"/>
      <c r="C55" s="2217"/>
      <c r="D55" s="2216"/>
      <c r="E55" s="2216"/>
      <c r="F55" s="2217"/>
      <c r="G55" s="2249">
        <v>37</v>
      </c>
      <c r="H55" s="2221" t="s">
        <v>2086</v>
      </c>
      <c r="I55" s="2221"/>
      <c r="J55" s="2221"/>
      <c r="K55" s="2222"/>
      <c r="L55" s="2221"/>
      <c r="M55" s="2221"/>
      <c r="N55" s="2223"/>
      <c r="O55" s="2221"/>
      <c r="P55" s="2222"/>
      <c r="Q55" s="2221"/>
      <c r="R55" s="2250"/>
      <c r="S55" s="2222"/>
      <c r="T55" s="2222"/>
      <c r="U55" s="2222"/>
      <c r="V55" s="2253"/>
      <c r="W55" s="2252"/>
      <c r="X55" s="2223"/>
      <c r="Y55" s="2223"/>
      <c r="Z55" s="2223"/>
      <c r="AA55" s="2223"/>
      <c r="AB55" s="2223"/>
      <c r="AC55" s="2223"/>
      <c r="AD55" s="2223"/>
      <c r="AE55" s="2223"/>
      <c r="AF55" s="2223"/>
      <c r="AG55" s="2223"/>
      <c r="AH55" s="2223"/>
      <c r="AI55" s="2223"/>
      <c r="AJ55" s="2223"/>
      <c r="AK55" s="2223"/>
      <c r="AL55" s="2223"/>
      <c r="AM55" s="2223"/>
      <c r="AN55" s="2223"/>
      <c r="AO55" s="2221"/>
      <c r="AP55" s="2221"/>
      <c r="AQ55" s="2228"/>
    </row>
    <row r="56" spans="1:43" s="2236" customFormat="1" ht="42" customHeight="1" x14ac:dyDescent="0.2">
      <c r="A56" s="2254"/>
      <c r="B56" s="2255"/>
      <c r="C56" s="2256"/>
      <c r="D56" s="2255"/>
      <c r="E56" s="2255"/>
      <c r="F56" s="2256"/>
      <c r="G56" s="2257"/>
      <c r="H56" s="2258"/>
      <c r="I56" s="2259"/>
      <c r="J56" s="3898">
        <v>132</v>
      </c>
      <c r="K56" s="3866" t="s">
        <v>2087</v>
      </c>
      <c r="L56" s="3863" t="s">
        <v>2040</v>
      </c>
      <c r="M56" s="3863">
        <v>8</v>
      </c>
      <c r="N56" s="3863" t="s">
        <v>2088</v>
      </c>
      <c r="O56" s="3863" t="s">
        <v>2089</v>
      </c>
      <c r="P56" s="3866" t="s">
        <v>2090</v>
      </c>
      <c r="Q56" s="3917">
        <f>SUM(V56:V61)/R56</f>
        <v>0.25</v>
      </c>
      <c r="R56" s="3883">
        <f>SUM(V56:V83)</f>
        <v>168000000</v>
      </c>
      <c r="S56" s="3866" t="s">
        <v>2091</v>
      </c>
      <c r="T56" s="3866" t="s">
        <v>2092</v>
      </c>
      <c r="U56" s="4021" t="s">
        <v>2093</v>
      </c>
      <c r="V56" s="1831">
        <v>10000000</v>
      </c>
      <c r="W56" s="2235">
        <v>61</v>
      </c>
      <c r="X56" s="3863" t="s">
        <v>2094</v>
      </c>
      <c r="Y56" s="3863">
        <v>292684</v>
      </c>
      <c r="Z56" s="3863">
        <v>282326</v>
      </c>
      <c r="AA56" s="3863">
        <v>135912</v>
      </c>
      <c r="AB56" s="3863">
        <v>45122</v>
      </c>
      <c r="AC56" s="3863">
        <f>SUM(AC49)</f>
        <v>307101</v>
      </c>
      <c r="AD56" s="3863">
        <f>SUM(AD49)</f>
        <v>86875</v>
      </c>
      <c r="AE56" s="3863">
        <v>2145</v>
      </c>
      <c r="AF56" s="3863">
        <v>12718</v>
      </c>
      <c r="AG56" s="3863">
        <v>1908</v>
      </c>
      <c r="AH56" s="3863">
        <v>37</v>
      </c>
      <c r="AI56" s="3863" t="s">
        <v>2047</v>
      </c>
      <c r="AJ56" s="3863" t="s">
        <v>2047</v>
      </c>
      <c r="AK56" s="3863">
        <v>53164</v>
      </c>
      <c r="AL56" s="3863">
        <v>16982</v>
      </c>
      <c r="AM56" s="3863">
        <v>60013</v>
      </c>
      <c r="AN56" s="3863">
        <v>575010</v>
      </c>
      <c r="AO56" s="3878">
        <v>43467</v>
      </c>
      <c r="AP56" s="3878">
        <v>43830</v>
      </c>
      <c r="AQ56" s="3880" t="s">
        <v>2048</v>
      </c>
    </row>
    <row r="57" spans="1:43" s="2236" customFormat="1" ht="39.75" customHeight="1" x14ac:dyDescent="0.2">
      <c r="A57" s="2254"/>
      <c r="B57" s="2255"/>
      <c r="C57" s="2256"/>
      <c r="D57" s="2255"/>
      <c r="E57" s="2255"/>
      <c r="F57" s="2256"/>
      <c r="G57" s="2260"/>
      <c r="H57" s="2255"/>
      <c r="I57" s="2256"/>
      <c r="J57" s="3899"/>
      <c r="K57" s="3867"/>
      <c r="L57" s="3864"/>
      <c r="M57" s="3864"/>
      <c r="N57" s="3864"/>
      <c r="O57" s="3864"/>
      <c r="P57" s="3867"/>
      <c r="Q57" s="3918"/>
      <c r="R57" s="3884"/>
      <c r="S57" s="3867"/>
      <c r="T57" s="3867"/>
      <c r="U57" s="4022"/>
      <c r="V57" s="1831">
        <v>7000000</v>
      </c>
      <c r="W57" s="2235">
        <v>98</v>
      </c>
      <c r="X57" s="3864"/>
      <c r="Y57" s="3864"/>
      <c r="Z57" s="3864"/>
      <c r="AA57" s="3864"/>
      <c r="AB57" s="3864"/>
      <c r="AC57" s="3864"/>
      <c r="AD57" s="3864"/>
      <c r="AE57" s="3864"/>
      <c r="AF57" s="3864"/>
      <c r="AG57" s="3864"/>
      <c r="AH57" s="3864"/>
      <c r="AI57" s="3864"/>
      <c r="AJ57" s="3864"/>
      <c r="AK57" s="3864"/>
      <c r="AL57" s="3864"/>
      <c r="AM57" s="3864"/>
      <c r="AN57" s="3864"/>
      <c r="AO57" s="3879"/>
      <c r="AP57" s="3879"/>
      <c r="AQ57" s="3881"/>
    </row>
    <row r="58" spans="1:43" s="2236" customFormat="1" ht="29.25" customHeight="1" x14ac:dyDescent="0.2">
      <c r="A58" s="2254"/>
      <c r="B58" s="2255"/>
      <c r="C58" s="2256"/>
      <c r="D58" s="2255"/>
      <c r="E58" s="2255"/>
      <c r="F58" s="2256"/>
      <c r="G58" s="2260"/>
      <c r="H58" s="2255"/>
      <c r="I58" s="2256"/>
      <c r="J58" s="3899"/>
      <c r="K58" s="3867"/>
      <c r="L58" s="3864"/>
      <c r="M58" s="3864"/>
      <c r="N58" s="3864"/>
      <c r="O58" s="3864"/>
      <c r="P58" s="3867"/>
      <c r="Q58" s="3918"/>
      <c r="R58" s="3884"/>
      <c r="S58" s="3867"/>
      <c r="T58" s="3867"/>
      <c r="U58" s="4021" t="s">
        <v>2095</v>
      </c>
      <c r="V58" s="1831">
        <v>10000000</v>
      </c>
      <c r="W58" s="2235">
        <v>61</v>
      </c>
      <c r="X58" s="3864"/>
      <c r="Y58" s="3864"/>
      <c r="Z58" s="3864"/>
      <c r="AA58" s="3864"/>
      <c r="AB58" s="3864"/>
      <c r="AC58" s="3864"/>
      <c r="AD58" s="3864"/>
      <c r="AE58" s="3864"/>
      <c r="AF58" s="3864"/>
      <c r="AG58" s="3864"/>
      <c r="AH58" s="3864"/>
      <c r="AI58" s="3864"/>
      <c r="AJ58" s="3864"/>
      <c r="AK58" s="3864"/>
      <c r="AL58" s="3864"/>
      <c r="AM58" s="3864"/>
      <c r="AN58" s="3864"/>
      <c r="AO58" s="3879"/>
      <c r="AP58" s="3879"/>
      <c r="AQ58" s="3881"/>
    </row>
    <row r="59" spans="1:43" s="2236" customFormat="1" ht="33" customHeight="1" x14ac:dyDescent="0.2">
      <c r="A59" s="2254"/>
      <c r="B59" s="2255"/>
      <c r="C59" s="2256"/>
      <c r="D59" s="2255"/>
      <c r="E59" s="2255"/>
      <c r="F59" s="2256"/>
      <c r="G59" s="2260"/>
      <c r="H59" s="2255"/>
      <c r="I59" s="2256"/>
      <c r="J59" s="3899"/>
      <c r="K59" s="3867"/>
      <c r="L59" s="3864"/>
      <c r="M59" s="3864"/>
      <c r="N59" s="3864"/>
      <c r="O59" s="3864"/>
      <c r="P59" s="3867"/>
      <c r="Q59" s="3918"/>
      <c r="R59" s="3884"/>
      <c r="S59" s="3867"/>
      <c r="T59" s="3867"/>
      <c r="U59" s="4022"/>
      <c r="V59" s="1831">
        <v>7000000</v>
      </c>
      <c r="W59" s="2235">
        <v>98</v>
      </c>
      <c r="X59" s="3864"/>
      <c r="Y59" s="3864"/>
      <c r="Z59" s="3864"/>
      <c r="AA59" s="3864"/>
      <c r="AB59" s="3864"/>
      <c r="AC59" s="3864"/>
      <c r="AD59" s="3864"/>
      <c r="AE59" s="3864"/>
      <c r="AF59" s="3864"/>
      <c r="AG59" s="3864"/>
      <c r="AH59" s="3864"/>
      <c r="AI59" s="3864"/>
      <c r="AJ59" s="3864"/>
      <c r="AK59" s="3864"/>
      <c r="AL59" s="3864"/>
      <c r="AM59" s="3864"/>
      <c r="AN59" s="3864"/>
      <c r="AO59" s="3879"/>
      <c r="AP59" s="3879"/>
      <c r="AQ59" s="3881"/>
    </row>
    <row r="60" spans="1:43" s="2236" customFormat="1" ht="84.75" customHeight="1" x14ac:dyDescent="0.2">
      <c r="A60" s="2254"/>
      <c r="B60" s="2255"/>
      <c r="C60" s="2256"/>
      <c r="D60" s="2255"/>
      <c r="E60" s="2255"/>
      <c r="F60" s="2256"/>
      <c r="G60" s="2260"/>
      <c r="H60" s="2255"/>
      <c r="I60" s="2256"/>
      <c r="J60" s="3899"/>
      <c r="K60" s="3867"/>
      <c r="L60" s="3864"/>
      <c r="M60" s="3864"/>
      <c r="N60" s="3864"/>
      <c r="O60" s="3864"/>
      <c r="P60" s="3867"/>
      <c r="Q60" s="3918"/>
      <c r="R60" s="3884"/>
      <c r="S60" s="3867"/>
      <c r="T60" s="3867"/>
      <c r="U60" s="2238" t="s">
        <v>2096</v>
      </c>
      <c r="V60" s="1831">
        <v>2000000</v>
      </c>
      <c r="W60" s="2235">
        <v>61</v>
      </c>
      <c r="X60" s="3864"/>
      <c r="Y60" s="3864"/>
      <c r="Z60" s="3864"/>
      <c r="AA60" s="3864"/>
      <c r="AB60" s="3864"/>
      <c r="AC60" s="3864"/>
      <c r="AD60" s="3864"/>
      <c r="AE60" s="3864"/>
      <c r="AF60" s="3864"/>
      <c r="AG60" s="3864"/>
      <c r="AH60" s="3864"/>
      <c r="AI60" s="3864"/>
      <c r="AJ60" s="3864"/>
      <c r="AK60" s="3864"/>
      <c r="AL60" s="3864"/>
      <c r="AM60" s="3864"/>
      <c r="AN60" s="3864"/>
      <c r="AO60" s="3879"/>
      <c r="AP60" s="3879"/>
      <c r="AQ60" s="3881"/>
    </row>
    <row r="61" spans="1:43" s="2236" customFormat="1" ht="86.25" customHeight="1" x14ac:dyDescent="0.2">
      <c r="A61" s="2254"/>
      <c r="B61" s="2255"/>
      <c r="C61" s="2256"/>
      <c r="D61" s="2255"/>
      <c r="E61" s="2255"/>
      <c r="F61" s="2256"/>
      <c r="G61" s="2260"/>
      <c r="H61" s="2255"/>
      <c r="I61" s="2256"/>
      <c r="J61" s="3900"/>
      <c r="K61" s="3868"/>
      <c r="L61" s="3865"/>
      <c r="M61" s="3865"/>
      <c r="N61" s="3864"/>
      <c r="O61" s="3864"/>
      <c r="P61" s="3867"/>
      <c r="Q61" s="3919"/>
      <c r="R61" s="3884"/>
      <c r="S61" s="3867"/>
      <c r="T61" s="3867"/>
      <c r="U61" s="2238" t="s">
        <v>2097</v>
      </c>
      <c r="V61" s="1831">
        <v>6000000</v>
      </c>
      <c r="W61" s="2235">
        <v>61</v>
      </c>
      <c r="X61" s="3864"/>
      <c r="Y61" s="3864"/>
      <c r="Z61" s="3864"/>
      <c r="AA61" s="3864"/>
      <c r="AB61" s="3864"/>
      <c r="AC61" s="3864"/>
      <c r="AD61" s="3864"/>
      <c r="AE61" s="3864"/>
      <c r="AF61" s="3864"/>
      <c r="AG61" s="3864"/>
      <c r="AH61" s="3864"/>
      <c r="AI61" s="3864"/>
      <c r="AJ61" s="3864"/>
      <c r="AK61" s="3864"/>
      <c r="AL61" s="3864"/>
      <c r="AM61" s="3864"/>
      <c r="AN61" s="3864"/>
      <c r="AO61" s="3879"/>
      <c r="AP61" s="3879"/>
      <c r="AQ61" s="3881"/>
    </row>
    <row r="62" spans="1:43" s="2236" customFormat="1" ht="63.75" customHeight="1" x14ac:dyDescent="0.2">
      <c r="A62" s="2254"/>
      <c r="B62" s="2255"/>
      <c r="C62" s="2256"/>
      <c r="D62" s="2255"/>
      <c r="E62" s="2255"/>
      <c r="F62" s="2256"/>
      <c r="G62" s="2260"/>
      <c r="H62" s="2255"/>
      <c r="I62" s="2256"/>
      <c r="J62" s="3899">
        <v>133</v>
      </c>
      <c r="K62" s="3867" t="s">
        <v>2098</v>
      </c>
      <c r="L62" s="3864" t="s">
        <v>947</v>
      </c>
      <c r="M62" s="3864">
        <v>12</v>
      </c>
      <c r="N62" s="3864"/>
      <c r="O62" s="3864"/>
      <c r="P62" s="3867"/>
      <c r="Q62" s="3869">
        <f>SUM(V62:V66)/R56</f>
        <v>0.16666666666666666</v>
      </c>
      <c r="R62" s="3884"/>
      <c r="S62" s="3867"/>
      <c r="T62" s="3867"/>
      <c r="U62" s="2238" t="s">
        <v>2099</v>
      </c>
      <c r="V62" s="1831">
        <v>8000000</v>
      </c>
      <c r="W62" s="2235">
        <v>61</v>
      </c>
      <c r="X62" s="3864"/>
      <c r="Y62" s="3864"/>
      <c r="Z62" s="3864"/>
      <c r="AA62" s="3864"/>
      <c r="AB62" s="3864"/>
      <c r="AC62" s="3864"/>
      <c r="AD62" s="3864"/>
      <c r="AE62" s="3864"/>
      <c r="AF62" s="3864"/>
      <c r="AG62" s="3864"/>
      <c r="AH62" s="3864"/>
      <c r="AI62" s="3864"/>
      <c r="AJ62" s="3864"/>
      <c r="AK62" s="3864"/>
      <c r="AL62" s="3864"/>
      <c r="AM62" s="3864"/>
      <c r="AN62" s="3864"/>
      <c r="AO62" s="3879"/>
      <c r="AP62" s="3879"/>
      <c r="AQ62" s="3881"/>
    </row>
    <row r="63" spans="1:43" s="2236" customFormat="1" ht="76.5" customHeight="1" x14ac:dyDescent="0.2">
      <c r="A63" s="2254"/>
      <c r="B63" s="2255"/>
      <c r="C63" s="2256"/>
      <c r="D63" s="2255"/>
      <c r="E63" s="2255"/>
      <c r="F63" s="2256"/>
      <c r="G63" s="2260"/>
      <c r="H63" s="2255"/>
      <c r="I63" s="2256"/>
      <c r="J63" s="3899"/>
      <c r="K63" s="3867"/>
      <c r="L63" s="3864"/>
      <c r="M63" s="3864"/>
      <c r="N63" s="3864"/>
      <c r="O63" s="3864"/>
      <c r="P63" s="3867"/>
      <c r="Q63" s="3870"/>
      <c r="R63" s="3884"/>
      <c r="S63" s="3867"/>
      <c r="T63" s="3867"/>
      <c r="U63" s="2238" t="s">
        <v>2100</v>
      </c>
      <c r="V63" s="1831">
        <v>10000000</v>
      </c>
      <c r="W63" s="2235">
        <v>61</v>
      </c>
      <c r="X63" s="3864"/>
      <c r="Y63" s="3864"/>
      <c r="Z63" s="3864"/>
      <c r="AA63" s="3864"/>
      <c r="AB63" s="3864"/>
      <c r="AC63" s="3864"/>
      <c r="AD63" s="3864"/>
      <c r="AE63" s="3864"/>
      <c r="AF63" s="3864"/>
      <c r="AG63" s="3864"/>
      <c r="AH63" s="3864"/>
      <c r="AI63" s="3864"/>
      <c r="AJ63" s="3864"/>
      <c r="AK63" s="3864"/>
      <c r="AL63" s="3864"/>
      <c r="AM63" s="3864"/>
      <c r="AN63" s="3864"/>
      <c r="AO63" s="3879"/>
      <c r="AP63" s="3879"/>
      <c r="AQ63" s="3881"/>
    </row>
    <row r="64" spans="1:43" s="2236" customFormat="1" ht="118.5" customHeight="1" x14ac:dyDescent="0.2">
      <c r="A64" s="2254"/>
      <c r="B64" s="2255"/>
      <c r="C64" s="2256"/>
      <c r="D64" s="2255"/>
      <c r="E64" s="2255"/>
      <c r="F64" s="2256"/>
      <c r="G64" s="2260"/>
      <c r="H64" s="2255"/>
      <c r="I64" s="2256"/>
      <c r="J64" s="3899"/>
      <c r="K64" s="3867"/>
      <c r="L64" s="3864"/>
      <c r="M64" s="3864"/>
      <c r="N64" s="3864"/>
      <c r="O64" s="3864"/>
      <c r="P64" s="3867"/>
      <c r="Q64" s="3870"/>
      <c r="R64" s="3884"/>
      <c r="S64" s="3867"/>
      <c r="T64" s="3867"/>
      <c r="U64" s="2238" t="s">
        <v>2101</v>
      </c>
      <c r="V64" s="1831">
        <v>2000000</v>
      </c>
      <c r="W64" s="2235">
        <v>61</v>
      </c>
      <c r="X64" s="3864"/>
      <c r="Y64" s="3864"/>
      <c r="Z64" s="3864"/>
      <c r="AA64" s="3864"/>
      <c r="AB64" s="3864"/>
      <c r="AC64" s="3864"/>
      <c r="AD64" s="3864"/>
      <c r="AE64" s="3864"/>
      <c r="AF64" s="3864"/>
      <c r="AG64" s="3864"/>
      <c r="AH64" s="3864"/>
      <c r="AI64" s="3864"/>
      <c r="AJ64" s="3864"/>
      <c r="AK64" s="3864"/>
      <c r="AL64" s="3864"/>
      <c r="AM64" s="3864"/>
      <c r="AN64" s="3864"/>
      <c r="AO64" s="3879"/>
      <c r="AP64" s="3879"/>
      <c r="AQ64" s="3881"/>
    </row>
    <row r="65" spans="1:43" s="2236" customFormat="1" ht="57" x14ac:dyDescent="0.2">
      <c r="A65" s="2254"/>
      <c r="B65" s="2255"/>
      <c r="C65" s="2256"/>
      <c r="D65" s="2255"/>
      <c r="E65" s="2255"/>
      <c r="F65" s="2256"/>
      <c r="G65" s="2260"/>
      <c r="H65" s="2255"/>
      <c r="I65" s="2256"/>
      <c r="J65" s="3899"/>
      <c r="K65" s="3867"/>
      <c r="L65" s="3864"/>
      <c r="M65" s="3864"/>
      <c r="N65" s="3864"/>
      <c r="O65" s="3864"/>
      <c r="P65" s="3867"/>
      <c r="Q65" s="3870"/>
      <c r="R65" s="3884"/>
      <c r="S65" s="3867"/>
      <c r="T65" s="3867"/>
      <c r="U65" s="2238" t="s">
        <v>2102</v>
      </c>
      <c r="V65" s="1831">
        <v>4000000</v>
      </c>
      <c r="W65" s="2235">
        <v>61</v>
      </c>
      <c r="X65" s="3864"/>
      <c r="Y65" s="3864"/>
      <c r="Z65" s="3864"/>
      <c r="AA65" s="3864"/>
      <c r="AB65" s="3864"/>
      <c r="AC65" s="3864"/>
      <c r="AD65" s="3864"/>
      <c r="AE65" s="3864"/>
      <c r="AF65" s="3864"/>
      <c r="AG65" s="3864"/>
      <c r="AH65" s="3864"/>
      <c r="AI65" s="3864"/>
      <c r="AJ65" s="3864"/>
      <c r="AK65" s="3864"/>
      <c r="AL65" s="3864"/>
      <c r="AM65" s="3864"/>
      <c r="AN65" s="3864"/>
      <c r="AO65" s="3879"/>
      <c r="AP65" s="3879"/>
      <c r="AQ65" s="3881"/>
    </row>
    <row r="66" spans="1:43" s="2236" customFormat="1" ht="75" customHeight="1" x14ac:dyDescent="0.2">
      <c r="A66" s="2254"/>
      <c r="B66" s="2255"/>
      <c r="C66" s="2256"/>
      <c r="D66" s="2255"/>
      <c r="E66" s="2255"/>
      <c r="F66" s="2256"/>
      <c r="G66" s="2260"/>
      <c r="H66" s="2255"/>
      <c r="I66" s="2256"/>
      <c r="J66" s="3900"/>
      <c r="K66" s="3868"/>
      <c r="L66" s="3865"/>
      <c r="M66" s="3865"/>
      <c r="N66" s="3864"/>
      <c r="O66" s="3864"/>
      <c r="P66" s="3867"/>
      <c r="Q66" s="3871"/>
      <c r="R66" s="3884"/>
      <c r="S66" s="3867"/>
      <c r="T66" s="3868"/>
      <c r="U66" s="2238" t="s">
        <v>2103</v>
      </c>
      <c r="V66" s="1831">
        <v>4000000</v>
      </c>
      <c r="W66" s="2235">
        <v>61</v>
      </c>
      <c r="X66" s="3864"/>
      <c r="Y66" s="3864"/>
      <c r="Z66" s="3864"/>
      <c r="AA66" s="3864"/>
      <c r="AB66" s="3864"/>
      <c r="AC66" s="3864"/>
      <c r="AD66" s="3864"/>
      <c r="AE66" s="3864"/>
      <c r="AF66" s="3864"/>
      <c r="AG66" s="3864"/>
      <c r="AH66" s="3864"/>
      <c r="AI66" s="3864"/>
      <c r="AJ66" s="3864"/>
      <c r="AK66" s="3864"/>
      <c r="AL66" s="3864"/>
      <c r="AM66" s="3864"/>
      <c r="AN66" s="3864"/>
      <c r="AO66" s="3879"/>
      <c r="AP66" s="3879"/>
      <c r="AQ66" s="3881"/>
    </row>
    <row r="67" spans="1:43" s="2236" customFormat="1" ht="69.75" customHeight="1" x14ac:dyDescent="0.2">
      <c r="A67" s="2254"/>
      <c r="B67" s="2255"/>
      <c r="C67" s="2256"/>
      <c r="D67" s="2255"/>
      <c r="E67" s="2255"/>
      <c r="F67" s="2256"/>
      <c r="G67" s="2260"/>
      <c r="H67" s="2255"/>
      <c r="I67" s="2256"/>
      <c r="J67" s="3898">
        <v>134</v>
      </c>
      <c r="K67" s="3866" t="s">
        <v>2104</v>
      </c>
      <c r="L67" s="3863" t="s">
        <v>2040</v>
      </c>
      <c r="M67" s="3863">
        <v>4800</v>
      </c>
      <c r="N67" s="3864"/>
      <c r="O67" s="3864"/>
      <c r="P67" s="3867"/>
      <c r="Q67" s="3917">
        <f>SUM(V67:V78)/R56</f>
        <v>0.39285714285714285</v>
      </c>
      <c r="R67" s="3884"/>
      <c r="S67" s="3867"/>
      <c r="T67" s="3866" t="s">
        <v>2105</v>
      </c>
      <c r="U67" s="2238" t="s">
        <v>2106</v>
      </c>
      <c r="V67" s="1831">
        <v>5000000</v>
      </c>
      <c r="W67" s="2235">
        <v>61</v>
      </c>
      <c r="X67" s="3864"/>
      <c r="Y67" s="3864"/>
      <c r="Z67" s="3864"/>
      <c r="AA67" s="3864"/>
      <c r="AB67" s="3864"/>
      <c r="AC67" s="3864"/>
      <c r="AD67" s="3864"/>
      <c r="AE67" s="3864"/>
      <c r="AF67" s="3864"/>
      <c r="AG67" s="3864"/>
      <c r="AH67" s="3864"/>
      <c r="AI67" s="3864"/>
      <c r="AJ67" s="3864"/>
      <c r="AK67" s="3864"/>
      <c r="AL67" s="3864"/>
      <c r="AM67" s="3864"/>
      <c r="AN67" s="3864"/>
      <c r="AO67" s="3879"/>
      <c r="AP67" s="3879"/>
      <c r="AQ67" s="3881"/>
    </row>
    <row r="68" spans="1:43" s="2236" customFormat="1" ht="54.75" customHeight="1" x14ac:dyDescent="0.2">
      <c r="A68" s="2254"/>
      <c r="B68" s="2255"/>
      <c r="C68" s="2256"/>
      <c r="D68" s="2255"/>
      <c r="E68" s="2255"/>
      <c r="F68" s="2256"/>
      <c r="G68" s="2260"/>
      <c r="H68" s="2255"/>
      <c r="I68" s="2256"/>
      <c r="J68" s="3899"/>
      <c r="K68" s="3867"/>
      <c r="L68" s="3864"/>
      <c r="M68" s="3864"/>
      <c r="N68" s="3864"/>
      <c r="O68" s="3864"/>
      <c r="P68" s="3867"/>
      <c r="Q68" s="3918"/>
      <c r="R68" s="3884"/>
      <c r="S68" s="3867"/>
      <c r="T68" s="3867"/>
      <c r="U68" s="2238" t="s">
        <v>2107</v>
      </c>
      <c r="V68" s="1831">
        <v>5000000</v>
      </c>
      <c r="W68" s="2235">
        <v>61</v>
      </c>
      <c r="X68" s="3864"/>
      <c r="Y68" s="3864"/>
      <c r="Z68" s="3864"/>
      <c r="AA68" s="3864"/>
      <c r="AB68" s="3864"/>
      <c r="AC68" s="3864"/>
      <c r="AD68" s="3864"/>
      <c r="AE68" s="3864"/>
      <c r="AF68" s="3864"/>
      <c r="AG68" s="3864"/>
      <c r="AH68" s="3864"/>
      <c r="AI68" s="3864"/>
      <c r="AJ68" s="3864"/>
      <c r="AK68" s="3864"/>
      <c r="AL68" s="3864"/>
      <c r="AM68" s="3864"/>
      <c r="AN68" s="3864"/>
      <c r="AO68" s="3879"/>
      <c r="AP68" s="3879"/>
      <c r="AQ68" s="3881"/>
    </row>
    <row r="69" spans="1:43" s="2236" customFormat="1" ht="84.75" customHeight="1" x14ac:dyDescent="0.2">
      <c r="A69" s="2254"/>
      <c r="B69" s="2255"/>
      <c r="C69" s="2256"/>
      <c r="D69" s="2255"/>
      <c r="E69" s="2255"/>
      <c r="F69" s="2256"/>
      <c r="G69" s="2260"/>
      <c r="H69" s="2255"/>
      <c r="I69" s="2256"/>
      <c r="J69" s="3899"/>
      <c r="K69" s="3867"/>
      <c r="L69" s="3864"/>
      <c r="M69" s="3864"/>
      <c r="N69" s="3864"/>
      <c r="O69" s="3864"/>
      <c r="P69" s="3867"/>
      <c r="Q69" s="3918"/>
      <c r="R69" s="3884"/>
      <c r="S69" s="3867"/>
      <c r="T69" s="3867"/>
      <c r="U69" s="2238" t="s">
        <v>2108</v>
      </c>
      <c r="V69" s="1831">
        <v>5000000</v>
      </c>
      <c r="W69" s="2235">
        <v>61</v>
      </c>
      <c r="X69" s="3864"/>
      <c r="Y69" s="3864"/>
      <c r="Z69" s="3864"/>
      <c r="AA69" s="3864"/>
      <c r="AB69" s="3864"/>
      <c r="AC69" s="3864"/>
      <c r="AD69" s="3864"/>
      <c r="AE69" s="3864"/>
      <c r="AF69" s="3864"/>
      <c r="AG69" s="3864"/>
      <c r="AH69" s="3864"/>
      <c r="AI69" s="3864"/>
      <c r="AJ69" s="3864"/>
      <c r="AK69" s="3864"/>
      <c r="AL69" s="3864"/>
      <c r="AM69" s="3864"/>
      <c r="AN69" s="3864"/>
      <c r="AO69" s="3879"/>
      <c r="AP69" s="3879"/>
      <c r="AQ69" s="3881"/>
    </row>
    <row r="70" spans="1:43" s="2236" customFormat="1" ht="67.5" customHeight="1" x14ac:dyDescent="0.2">
      <c r="A70" s="2254"/>
      <c r="B70" s="2255"/>
      <c r="C70" s="2256"/>
      <c r="D70" s="2255"/>
      <c r="E70" s="2255"/>
      <c r="F70" s="2256"/>
      <c r="G70" s="2260"/>
      <c r="H70" s="2255"/>
      <c r="I70" s="2256"/>
      <c r="J70" s="3899"/>
      <c r="K70" s="3867"/>
      <c r="L70" s="3864"/>
      <c r="M70" s="3864"/>
      <c r="N70" s="3864"/>
      <c r="O70" s="3864"/>
      <c r="P70" s="3867"/>
      <c r="Q70" s="3918"/>
      <c r="R70" s="3884"/>
      <c r="S70" s="3867"/>
      <c r="T70" s="3867"/>
      <c r="U70" s="2238" t="s">
        <v>2109</v>
      </c>
      <c r="V70" s="1831">
        <v>5000000</v>
      </c>
      <c r="W70" s="2235">
        <v>61</v>
      </c>
      <c r="X70" s="3864"/>
      <c r="Y70" s="3864"/>
      <c r="Z70" s="3864"/>
      <c r="AA70" s="3864"/>
      <c r="AB70" s="3864"/>
      <c r="AC70" s="3864"/>
      <c r="AD70" s="3864"/>
      <c r="AE70" s="3864"/>
      <c r="AF70" s="3864"/>
      <c r="AG70" s="3864"/>
      <c r="AH70" s="3864"/>
      <c r="AI70" s="3864"/>
      <c r="AJ70" s="3864"/>
      <c r="AK70" s="3864"/>
      <c r="AL70" s="3864"/>
      <c r="AM70" s="3864"/>
      <c r="AN70" s="3864"/>
      <c r="AO70" s="3879"/>
      <c r="AP70" s="3879"/>
      <c r="AQ70" s="3881"/>
    </row>
    <row r="71" spans="1:43" s="2236" customFormat="1" ht="57" x14ac:dyDescent="0.2">
      <c r="A71" s="2254"/>
      <c r="B71" s="2255"/>
      <c r="C71" s="2256"/>
      <c r="D71" s="2255"/>
      <c r="E71" s="2255"/>
      <c r="F71" s="2256"/>
      <c r="G71" s="2260"/>
      <c r="H71" s="2255"/>
      <c r="I71" s="2256"/>
      <c r="J71" s="3899"/>
      <c r="K71" s="3867"/>
      <c r="L71" s="3864"/>
      <c r="M71" s="3864"/>
      <c r="N71" s="3864"/>
      <c r="O71" s="3864"/>
      <c r="P71" s="3867"/>
      <c r="Q71" s="3918"/>
      <c r="R71" s="3884"/>
      <c r="S71" s="3867"/>
      <c r="T71" s="3867"/>
      <c r="U71" s="2238" t="s">
        <v>2110</v>
      </c>
      <c r="V71" s="1831">
        <v>5000000</v>
      </c>
      <c r="W71" s="2235">
        <v>61</v>
      </c>
      <c r="X71" s="3864"/>
      <c r="Y71" s="3864"/>
      <c r="Z71" s="3864"/>
      <c r="AA71" s="3864"/>
      <c r="AB71" s="3864"/>
      <c r="AC71" s="3864"/>
      <c r="AD71" s="3864"/>
      <c r="AE71" s="3864"/>
      <c r="AF71" s="3864"/>
      <c r="AG71" s="3864"/>
      <c r="AH71" s="3864"/>
      <c r="AI71" s="3864"/>
      <c r="AJ71" s="3864"/>
      <c r="AK71" s="3864"/>
      <c r="AL71" s="3864"/>
      <c r="AM71" s="3864"/>
      <c r="AN71" s="3864"/>
      <c r="AO71" s="3879"/>
      <c r="AP71" s="3879"/>
      <c r="AQ71" s="3881"/>
    </row>
    <row r="72" spans="1:43" s="2236" customFormat="1" ht="59.25" customHeight="1" x14ac:dyDescent="0.2">
      <c r="A72" s="2254"/>
      <c r="B72" s="2255"/>
      <c r="C72" s="2256"/>
      <c r="D72" s="2255"/>
      <c r="E72" s="2255"/>
      <c r="F72" s="2256"/>
      <c r="G72" s="2260"/>
      <c r="H72" s="2255"/>
      <c r="I72" s="2256"/>
      <c r="J72" s="3899"/>
      <c r="K72" s="3867"/>
      <c r="L72" s="3864"/>
      <c r="M72" s="3864"/>
      <c r="N72" s="3864"/>
      <c r="O72" s="3864"/>
      <c r="P72" s="3867"/>
      <c r="Q72" s="3918"/>
      <c r="R72" s="3884"/>
      <c r="S72" s="3867"/>
      <c r="T72" s="3867"/>
      <c r="U72" s="2238" t="s">
        <v>2111</v>
      </c>
      <c r="V72" s="1831">
        <v>5000000</v>
      </c>
      <c r="W72" s="2235">
        <v>61</v>
      </c>
      <c r="X72" s="3864"/>
      <c r="Y72" s="3864"/>
      <c r="Z72" s="3864"/>
      <c r="AA72" s="3864"/>
      <c r="AB72" s="3864"/>
      <c r="AC72" s="3864"/>
      <c r="AD72" s="3864"/>
      <c r="AE72" s="3864"/>
      <c r="AF72" s="3864"/>
      <c r="AG72" s="3864"/>
      <c r="AH72" s="3864"/>
      <c r="AI72" s="3864"/>
      <c r="AJ72" s="3864"/>
      <c r="AK72" s="3864"/>
      <c r="AL72" s="3864"/>
      <c r="AM72" s="3864"/>
      <c r="AN72" s="3864"/>
      <c r="AO72" s="3879"/>
      <c r="AP72" s="3879"/>
      <c r="AQ72" s="3881"/>
    </row>
    <row r="73" spans="1:43" s="2236" customFormat="1" ht="68.25" customHeight="1" x14ac:dyDescent="0.2">
      <c r="A73" s="2254"/>
      <c r="B73" s="2255"/>
      <c r="C73" s="2256"/>
      <c r="D73" s="2255"/>
      <c r="E73" s="2255"/>
      <c r="F73" s="2256"/>
      <c r="G73" s="2260"/>
      <c r="H73" s="2255"/>
      <c r="I73" s="2256"/>
      <c r="J73" s="3899"/>
      <c r="K73" s="3867"/>
      <c r="L73" s="3864"/>
      <c r="M73" s="3864"/>
      <c r="N73" s="3864"/>
      <c r="O73" s="3864"/>
      <c r="P73" s="3867"/>
      <c r="Q73" s="3918"/>
      <c r="R73" s="3884"/>
      <c r="S73" s="3867"/>
      <c r="T73" s="3867"/>
      <c r="U73" s="2238" t="s">
        <v>2112</v>
      </c>
      <c r="V73" s="1831">
        <v>5000000</v>
      </c>
      <c r="W73" s="2235">
        <v>61</v>
      </c>
      <c r="X73" s="3864"/>
      <c r="Y73" s="3864"/>
      <c r="Z73" s="3864"/>
      <c r="AA73" s="3864"/>
      <c r="AB73" s="3864"/>
      <c r="AC73" s="3864"/>
      <c r="AD73" s="3864"/>
      <c r="AE73" s="3864"/>
      <c r="AF73" s="3864"/>
      <c r="AG73" s="3864"/>
      <c r="AH73" s="3864"/>
      <c r="AI73" s="3864"/>
      <c r="AJ73" s="3864"/>
      <c r="AK73" s="3864"/>
      <c r="AL73" s="3864"/>
      <c r="AM73" s="3864"/>
      <c r="AN73" s="3864"/>
      <c r="AO73" s="3879"/>
      <c r="AP73" s="3879"/>
      <c r="AQ73" s="3881"/>
    </row>
    <row r="74" spans="1:43" s="2236" customFormat="1" ht="52.5" customHeight="1" x14ac:dyDescent="0.2">
      <c r="A74" s="2254"/>
      <c r="B74" s="2255"/>
      <c r="C74" s="2256"/>
      <c r="D74" s="2255"/>
      <c r="E74" s="2255"/>
      <c r="F74" s="2256"/>
      <c r="G74" s="2260"/>
      <c r="H74" s="2255"/>
      <c r="I74" s="2256"/>
      <c r="J74" s="3899"/>
      <c r="K74" s="3867"/>
      <c r="L74" s="3864"/>
      <c r="M74" s="3864"/>
      <c r="N74" s="3864"/>
      <c r="O74" s="3864"/>
      <c r="P74" s="3867"/>
      <c r="Q74" s="3918"/>
      <c r="R74" s="3884"/>
      <c r="S74" s="3867"/>
      <c r="T74" s="3867"/>
      <c r="U74" s="2238" t="s">
        <v>2113</v>
      </c>
      <c r="V74" s="1831">
        <v>5000000</v>
      </c>
      <c r="W74" s="2235">
        <v>61</v>
      </c>
      <c r="X74" s="3864"/>
      <c r="Y74" s="3864"/>
      <c r="Z74" s="3864"/>
      <c r="AA74" s="3864"/>
      <c r="AB74" s="3864"/>
      <c r="AC74" s="3864"/>
      <c r="AD74" s="3864"/>
      <c r="AE74" s="3864"/>
      <c r="AF74" s="3864"/>
      <c r="AG74" s="3864"/>
      <c r="AH74" s="3864"/>
      <c r="AI74" s="3864"/>
      <c r="AJ74" s="3864"/>
      <c r="AK74" s="3864"/>
      <c r="AL74" s="3864"/>
      <c r="AM74" s="3864"/>
      <c r="AN74" s="3864"/>
      <c r="AO74" s="3879"/>
      <c r="AP74" s="3879"/>
      <c r="AQ74" s="3881"/>
    </row>
    <row r="75" spans="1:43" s="2236" customFormat="1" ht="60" customHeight="1" x14ac:dyDescent="0.2">
      <c r="A75" s="2254"/>
      <c r="B75" s="2255"/>
      <c r="C75" s="2256"/>
      <c r="D75" s="2255"/>
      <c r="E75" s="2255"/>
      <c r="F75" s="2256"/>
      <c r="G75" s="2260"/>
      <c r="H75" s="2255"/>
      <c r="I75" s="2256"/>
      <c r="J75" s="3899"/>
      <c r="K75" s="3867"/>
      <c r="L75" s="3864"/>
      <c r="M75" s="3864"/>
      <c r="N75" s="3864"/>
      <c r="O75" s="3864"/>
      <c r="P75" s="3867"/>
      <c r="Q75" s="3918"/>
      <c r="R75" s="3884"/>
      <c r="S75" s="3867"/>
      <c r="T75" s="3867"/>
      <c r="U75" s="2238" t="s">
        <v>2114</v>
      </c>
      <c r="V75" s="1831">
        <v>5000000</v>
      </c>
      <c r="W75" s="2235">
        <v>61</v>
      </c>
      <c r="X75" s="3864"/>
      <c r="Y75" s="3864"/>
      <c r="Z75" s="3864"/>
      <c r="AA75" s="3864"/>
      <c r="AB75" s="3864"/>
      <c r="AC75" s="3864"/>
      <c r="AD75" s="3864"/>
      <c r="AE75" s="3864"/>
      <c r="AF75" s="3864"/>
      <c r="AG75" s="3864"/>
      <c r="AH75" s="3864"/>
      <c r="AI75" s="3864"/>
      <c r="AJ75" s="3864"/>
      <c r="AK75" s="3864"/>
      <c r="AL75" s="3864"/>
      <c r="AM75" s="3864"/>
      <c r="AN75" s="3864"/>
      <c r="AO75" s="3879"/>
      <c r="AP75" s="3879"/>
      <c r="AQ75" s="3881"/>
    </row>
    <row r="76" spans="1:43" s="2236" customFormat="1" ht="57" x14ac:dyDescent="0.2">
      <c r="A76" s="2254"/>
      <c r="B76" s="2255"/>
      <c r="C76" s="2256"/>
      <c r="D76" s="2255"/>
      <c r="E76" s="2255"/>
      <c r="F76" s="2256"/>
      <c r="G76" s="2260"/>
      <c r="H76" s="2255"/>
      <c r="I76" s="2256"/>
      <c r="J76" s="3899"/>
      <c r="K76" s="3867"/>
      <c r="L76" s="3864"/>
      <c r="M76" s="3864"/>
      <c r="N76" s="3864"/>
      <c r="O76" s="3864"/>
      <c r="P76" s="3867"/>
      <c r="Q76" s="3918"/>
      <c r="R76" s="3884"/>
      <c r="S76" s="3867"/>
      <c r="T76" s="3867"/>
      <c r="U76" s="2238" t="s">
        <v>2108</v>
      </c>
      <c r="V76" s="1831">
        <v>5000000</v>
      </c>
      <c r="W76" s="2235">
        <v>61</v>
      </c>
      <c r="X76" s="3864"/>
      <c r="Y76" s="3864"/>
      <c r="Z76" s="3864"/>
      <c r="AA76" s="3864"/>
      <c r="AB76" s="3864"/>
      <c r="AC76" s="3864"/>
      <c r="AD76" s="3864"/>
      <c r="AE76" s="3864"/>
      <c r="AF76" s="3864"/>
      <c r="AG76" s="3864"/>
      <c r="AH76" s="3864"/>
      <c r="AI76" s="3864"/>
      <c r="AJ76" s="3864"/>
      <c r="AK76" s="3864"/>
      <c r="AL76" s="3864"/>
      <c r="AM76" s="3864"/>
      <c r="AN76" s="3864"/>
      <c r="AO76" s="3879"/>
      <c r="AP76" s="3879"/>
      <c r="AQ76" s="3881"/>
    </row>
    <row r="77" spans="1:43" s="2236" customFormat="1" ht="57" customHeight="1" x14ac:dyDescent="0.2">
      <c r="A77" s="2254"/>
      <c r="B77" s="2255"/>
      <c r="C77" s="2256"/>
      <c r="D77" s="2255"/>
      <c r="E77" s="2255"/>
      <c r="F77" s="2256"/>
      <c r="G77" s="2260"/>
      <c r="H77" s="2255"/>
      <c r="I77" s="2256"/>
      <c r="J77" s="3899"/>
      <c r="K77" s="3867"/>
      <c r="L77" s="3864"/>
      <c r="M77" s="3864"/>
      <c r="N77" s="3864"/>
      <c r="O77" s="3864"/>
      <c r="P77" s="3867"/>
      <c r="Q77" s="3918"/>
      <c r="R77" s="3884"/>
      <c r="S77" s="3867"/>
      <c r="T77" s="3867"/>
      <c r="U77" s="2238" t="s">
        <v>2107</v>
      </c>
      <c r="V77" s="1831">
        <v>5000000</v>
      </c>
      <c r="W77" s="2235">
        <v>61</v>
      </c>
      <c r="X77" s="3864"/>
      <c r="Y77" s="3864"/>
      <c r="Z77" s="3864"/>
      <c r="AA77" s="3864"/>
      <c r="AB77" s="3864"/>
      <c r="AC77" s="3864"/>
      <c r="AD77" s="3864"/>
      <c r="AE77" s="3864"/>
      <c r="AF77" s="3864"/>
      <c r="AG77" s="3864"/>
      <c r="AH77" s="3864"/>
      <c r="AI77" s="3864"/>
      <c r="AJ77" s="3864"/>
      <c r="AK77" s="3864"/>
      <c r="AL77" s="3864"/>
      <c r="AM77" s="3864"/>
      <c r="AN77" s="3864"/>
      <c r="AO77" s="3879"/>
      <c r="AP77" s="3879"/>
      <c r="AQ77" s="3881"/>
    </row>
    <row r="78" spans="1:43" s="2236" customFormat="1" ht="57" customHeight="1" x14ac:dyDescent="0.2">
      <c r="A78" s="2254"/>
      <c r="B78" s="2255"/>
      <c r="C78" s="2256"/>
      <c r="D78" s="2255"/>
      <c r="E78" s="2255"/>
      <c r="F78" s="2256"/>
      <c r="G78" s="2260"/>
      <c r="H78" s="2255"/>
      <c r="I78" s="2256"/>
      <c r="J78" s="3900"/>
      <c r="K78" s="3868"/>
      <c r="L78" s="3865"/>
      <c r="M78" s="3865"/>
      <c r="N78" s="3864"/>
      <c r="O78" s="3864"/>
      <c r="P78" s="3867"/>
      <c r="Q78" s="3919"/>
      <c r="R78" s="3884"/>
      <c r="S78" s="3867"/>
      <c r="T78" s="3867"/>
      <c r="U78" s="2238" t="s">
        <v>2115</v>
      </c>
      <c r="V78" s="1831">
        <f>5000000+6000000</f>
        <v>11000000</v>
      </c>
      <c r="W78" s="2235">
        <v>61</v>
      </c>
      <c r="X78" s="3864"/>
      <c r="Y78" s="3864"/>
      <c r="Z78" s="3864"/>
      <c r="AA78" s="3864"/>
      <c r="AB78" s="3864"/>
      <c r="AC78" s="3864"/>
      <c r="AD78" s="3864"/>
      <c r="AE78" s="3864"/>
      <c r="AF78" s="3864"/>
      <c r="AG78" s="3864"/>
      <c r="AH78" s="3864"/>
      <c r="AI78" s="3864"/>
      <c r="AJ78" s="3864"/>
      <c r="AK78" s="3864"/>
      <c r="AL78" s="3864"/>
      <c r="AM78" s="3864"/>
      <c r="AN78" s="3864"/>
      <c r="AO78" s="3879"/>
      <c r="AP78" s="3879"/>
      <c r="AQ78" s="3881"/>
    </row>
    <row r="79" spans="1:43" s="2236" customFormat="1" ht="103.5" customHeight="1" x14ac:dyDescent="0.2">
      <c r="A79" s="2254"/>
      <c r="B79" s="2255"/>
      <c r="C79" s="2256"/>
      <c r="D79" s="2255"/>
      <c r="E79" s="2255"/>
      <c r="F79" s="2256"/>
      <c r="G79" s="2260"/>
      <c r="H79" s="2255"/>
      <c r="I79" s="2256"/>
      <c r="J79" s="3898">
        <v>135</v>
      </c>
      <c r="K79" s="3866" t="s">
        <v>2116</v>
      </c>
      <c r="L79" s="3863" t="s">
        <v>2040</v>
      </c>
      <c r="M79" s="3863">
        <v>12</v>
      </c>
      <c r="N79" s="3864"/>
      <c r="O79" s="3864"/>
      <c r="P79" s="3867"/>
      <c r="Q79" s="3917">
        <f>SUM(V79:V83)/R56</f>
        <v>0.19047619047619047</v>
      </c>
      <c r="R79" s="3884"/>
      <c r="S79" s="3867"/>
      <c r="T79" s="3867"/>
      <c r="U79" s="2238" t="s">
        <v>2117</v>
      </c>
      <c r="V79" s="1831">
        <v>8000000</v>
      </c>
      <c r="W79" s="2235">
        <v>61</v>
      </c>
      <c r="X79" s="3864"/>
      <c r="Y79" s="3864"/>
      <c r="Z79" s="3864"/>
      <c r="AA79" s="3864"/>
      <c r="AB79" s="3864"/>
      <c r="AC79" s="3864"/>
      <c r="AD79" s="3864"/>
      <c r="AE79" s="3864"/>
      <c r="AF79" s="3864"/>
      <c r="AG79" s="3864"/>
      <c r="AH79" s="3864"/>
      <c r="AI79" s="3864"/>
      <c r="AJ79" s="3864"/>
      <c r="AK79" s="3864"/>
      <c r="AL79" s="3864"/>
      <c r="AM79" s="3864"/>
      <c r="AN79" s="3864"/>
      <c r="AO79" s="3879"/>
      <c r="AP79" s="3879"/>
      <c r="AQ79" s="3881"/>
    </row>
    <row r="80" spans="1:43" s="2236" customFormat="1" ht="96" customHeight="1" x14ac:dyDescent="0.2">
      <c r="A80" s="2254"/>
      <c r="B80" s="2255"/>
      <c r="C80" s="2256"/>
      <c r="D80" s="2255"/>
      <c r="E80" s="2255"/>
      <c r="F80" s="2256"/>
      <c r="G80" s="2260"/>
      <c r="H80" s="2255"/>
      <c r="I80" s="2256"/>
      <c r="J80" s="3899"/>
      <c r="K80" s="3867"/>
      <c r="L80" s="3864"/>
      <c r="M80" s="3864"/>
      <c r="N80" s="3864"/>
      <c r="O80" s="3864"/>
      <c r="P80" s="3867"/>
      <c r="Q80" s="3918"/>
      <c r="R80" s="3884"/>
      <c r="S80" s="3867"/>
      <c r="T80" s="3867"/>
      <c r="U80" s="2238" t="s">
        <v>2118</v>
      </c>
      <c r="V80" s="1831">
        <v>10000000</v>
      </c>
      <c r="W80" s="2235">
        <v>61</v>
      </c>
      <c r="X80" s="3864"/>
      <c r="Y80" s="3864"/>
      <c r="Z80" s="3864"/>
      <c r="AA80" s="3864"/>
      <c r="AB80" s="3864"/>
      <c r="AC80" s="3864"/>
      <c r="AD80" s="3864"/>
      <c r="AE80" s="3864"/>
      <c r="AF80" s="3864"/>
      <c r="AG80" s="3864"/>
      <c r="AH80" s="3864"/>
      <c r="AI80" s="3864"/>
      <c r="AJ80" s="3864"/>
      <c r="AK80" s="3864"/>
      <c r="AL80" s="3864"/>
      <c r="AM80" s="3864"/>
      <c r="AN80" s="3864"/>
      <c r="AO80" s="3879"/>
      <c r="AP80" s="3879"/>
      <c r="AQ80" s="3881"/>
    </row>
    <row r="81" spans="1:43" s="2236" customFormat="1" ht="72" customHeight="1" x14ac:dyDescent="0.2">
      <c r="A81" s="2254"/>
      <c r="B81" s="2255"/>
      <c r="C81" s="2256"/>
      <c r="D81" s="2255"/>
      <c r="E81" s="2255"/>
      <c r="F81" s="2256"/>
      <c r="G81" s="2260"/>
      <c r="H81" s="2255"/>
      <c r="I81" s="2256"/>
      <c r="J81" s="3899"/>
      <c r="K81" s="3867"/>
      <c r="L81" s="3864"/>
      <c r="M81" s="3864"/>
      <c r="N81" s="3864"/>
      <c r="O81" s="3864"/>
      <c r="P81" s="3867"/>
      <c r="Q81" s="3918"/>
      <c r="R81" s="3884"/>
      <c r="S81" s="3867"/>
      <c r="T81" s="3867"/>
      <c r="U81" s="2238" t="s">
        <v>2119</v>
      </c>
      <c r="V81" s="1831">
        <v>4000000</v>
      </c>
      <c r="W81" s="2235">
        <v>61</v>
      </c>
      <c r="X81" s="3864"/>
      <c r="Y81" s="3864"/>
      <c r="Z81" s="3864"/>
      <c r="AA81" s="3864"/>
      <c r="AB81" s="3864"/>
      <c r="AC81" s="3864"/>
      <c r="AD81" s="3864"/>
      <c r="AE81" s="3864"/>
      <c r="AF81" s="3864"/>
      <c r="AG81" s="3864"/>
      <c r="AH81" s="3864"/>
      <c r="AI81" s="3864"/>
      <c r="AJ81" s="3864"/>
      <c r="AK81" s="3864"/>
      <c r="AL81" s="3864"/>
      <c r="AM81" s="3864"/>
      <c r="AN81" s="3864"/>
      <c r="AO81" s="3879"/>
      <c r="AP81" s="3879"/>
      <c r="AQ81" s="3881"/>
    </row>
    <row r="82" spans="1:43" s="2236" customFormat="1" ht="70.5" customHeight="1" x14ac:dyDescent="0.2">
      <c r="A82" s="2254"/>
      <c r="B82" s="2255"/>
      <c r="C82" s="2256"/>
      <c r="D82" s="2255"/>
      <c r="E82" s="2255"/>
      <c r="F82" s="2256"/>
      <c r="G82" s="2260"/>
      <c r="H82" s="2255"/>
      <c r="I82" s="2256"/>
      <c r="J82" s="3899"/>
      <c r="K82" s="3867"/>
      <c r="L82" s="3864"/>
      <c r="M82" s="3864"/>
      <c r="N82" s="3864"/>
      <c r="O82" s="3864"/>
      <c r="P82" s="3867"/>
      <c r="Q82" s="3918"/>
      <c r="R82" s="3884"/>
      <c r="S82" s="3867"/>
      <c r="T82" s="3867"/>
      <c r="U82" s="2238" t="s">
        <v>2120</v>
      </c>
      <c r="V82" s="1831">
        <v>6000000</v>
      </c>
      <c r="W82" s="2235">
        <v>61</v>
      </c>
      <c r="X82" s="3864"/>
      <c r="Y82" s="3864"/>
      <c r="Z82" s="3864"/>
      <c r="AA82" s="3864"/>
      <c r="AB82" s="3864"/>
      <c r="AC82" s="3864"/>
      <c r="AD82" s="3864"/>
      <c r="AE82" s="3864"/>
      <c r="AF82" s="3864"/>
      <c r="AG82" s="3864"/>
      <c r="AH82" s="3864"/>
      <c r="AI82" s="3864"/>
      <c r="AJ82" s="3864"/>
      <c r="AK82" s="3864"/>
      <c r="AL82" s="3864"/>
      <c r="AM82" s="3864"/>
      <c r="AN82" s="3864"/>
      <c r="AO82" s="3879"/>
      <c r="AP82" s="3879"/>
      <c r="AQ82" s="3881"/>
    </row>
    <row r="83" spans="1:43" s="2236" customFormat="1" ht="67.5" customHeight="1" x14ac:dyDescent="0.2">
      <c r="A83" s="2254"/>
      <c r="B83" s="2255"/>
      <c r="C83" s="2256"/>
      <c r="D83" s="2255"/>
      <c r="E83" s="2255"/>
      <c r="F83" s="2256"/>
      <c r="G83" s="2261"/>
      <c r="H83" s="2262"/>
      <c r="I83" s="2263"/>
      <c r="J83" s="3900"/>
      <c r="K83" s="3868"/>
      <c r="L83" s="3865"/>
      <c r="M83" s="3865"/>
      <c r="N83" s="3865"/>
      <c r="O83" s="3865"/>
      <c r="P83" s="3868"/>
      <c r="Q83" s="3919"/>
      <c r="R83" s="3904"/>
      <c r="S83" s="3868"/>
      <c r="T83" s="3868"/>
      <c r="U83" s="2238" t="s">
        <v>2121</v>
      </c>
      <c r="V83" s="1831">
        <v>4000000</v>
      </c>
      <c r="W83" s="2235">
        <v>61</v>
      </c>
      <c r="X83" s="3865"/>
      <c r="Y83" s="3865"/>
      <c r="Z83" s="3865"/>
      <c r="AA83" s="3865"/>
      <c r="AB83" s="3865"/>
      <c r="AC83" s="3865"/>
      <c r="AD83" s="3865"/>
      <c r="AE83" s="3865"/>
      <c r="AF83" s="3865"/>
      <c r="AG83" s="3865"/>
      <c r="AH83" s="3865"/>
      <c r="AI83" s="3865"/>
      <c r="AJ83" s="3865"/>
      <c r="AK83" s="3865"/>
      <c r="AL83" s="3865"/>
      <c r="AM83" s="3865"/>
      <c r="AN83" s="3865"/>
      <c r="AO83" s="3901"/>
      <c r="AP83" s="3901"/>
      <c r="AQ83" s="3887"/>
    </row>
    <row r="84" spans="1:43" ht="33" customHeight="1" x14ac:dyDescent="0.2">
      <c r="A84" s="2215"/>
      <c r="B84" s="2216"/>
      <c r="C84" s="2217"/>
      <c r="D84" s="2216"/>
      <c r="E84" s="2216"/>
      <c r="F84" s="2217"/>
      <c r="G84" s="2249">
        <v>38</v>
      </c>
      <c r="H84" s="2221" t="s">
        <v>2122</v>
      </c>
      <c r="I84" s="2221"/>
      <c r="J84" s="2221"/>
      <c r="K84" s="2222"/>
      <c r="L84" s="2221"/>
      <c r="M84" s="2221"/>
      <c r="N84" s="2223"/>
      <c r="O84" s="2221"/>
      <c r="P84" s="2222"/>
      <c r="Q84" s="2221"/>
      <c r="R84" s="2250"/>
      <c r="S84" s="2221"/>
      <c r="T84" s="2222"/>
      <c r="U84" s="2222"/>
      <c r="V84" s="2253"/>
      <c r="W84" s="2252"/>
      <c r="X84" s="2223"/>
      <c r="Y84" s="2223"/>
      <c r="Z84" s="2223"/>
      <c r="AA84" s="2223"/>
      <c r="AB84" s="2223"/>
      <c r="AC84" s="2223"/>
      <c r="AD84" s="2223"/>
      <c r="AE84" s="2223"/>
      <c r="AF84" s="2223"/>
      <c r="AG84" s="2223"/>
      <c r="AH84" s="2223"/>
      <c r="AI84" s="2223"/>
      <c r="AJ84" s="2223"/>
      <c r="AK84" s="2223"/>
      <c r="AL84" s="2223"/>
      <c r="AM84" s="2223"/>
      <c r="AN84" s="2223"/>
      <c r="AO84" s="2221"/>
      <c r="AP84" s="2221"/>
      <c r="AQ84" s="2228"/>
    </row>
    <row r="85" spans="1:43" s="2236" customFormat="1" ht="34.5" customHeight="1" x14ac:dyDescent="0.2">
      <c r="A85" s="2229"/>
      <c r="B85" s="2230"/>
      <c r="C85" s="2231"/>
      <c r="D85" s="2230"/>
      <c r="E85" s="2230"/>
      <c r="F85" s="2231"/>
      <c r="G85" s="2232"/>
      <c r="H85" s="2233"/>
      <c r="I85" s="2234"/>
      <c r="J85" s="3898">
        <v>136</v>
      </c>
      <c r="K85" s="3866" t="s">
        <v>2123</v>
      </c>
      <c r="L85" s="3863" t="s">
        <v>2040</v>
      </c>
      <c r="M85" s="3863">
        <v>12</v>
      </c>
      <c r="N85" s="3863" t="s">
        <v>2124</v>
      </c>
      <c r="O85" s="3863" t="s">
        <v>2125</v>
      </c>
      <c r="P85" s="3866" t="s">
        <v>2126</v>
      </c>
      <c r="Q85" s="3917">
        <f>SUM(V85:V95)/R85</f>
        <v>0.39130434782608697</v>
      </c>
      <c r="R85" s="3883">
        <f>SUM(V85:V105)</f>
        <v>138000000</v>
      </c>
      <c r="S85" s="3866" t="s">
        <v>2127</v>
      </c>
      <c r="T85" s="3866" t="s">
        <v>2128</v>
      </c>
      <c r="U85" s="3866" t="s">
        <v>2129</v>
      </c>
      <c r="V85" s="1831">
        <v>3000000</v>
      </c>
      <c r="W85" s="2235">
        <v>61</v>
      </c>
      <c r="X85" s="3863" t="s">
        <v>2094</v>
      </c>
      <c r="Y85" s="3863">
        <v>292684</v>
      </c>
      <c r="Z85" s="3863">
        <v>282326</v>
      </c>
      <c r="AA85" s="3863">
        <v>135912</v>
      </c>
      <c r="AB85" s="3863">
        <v>45122</v>
      </c>
      <c r="AC85" s="3863">
        <f>SUM(AC56)</f>
        <v>307101</v>
      </c>
      <c r="AD85" s="3863">
        <f>SUM(AD56)</f>
        <v>86875</v>
      </c>
      <c r="AE85" s="3863">
        <f>SUM(AE56)</f>
        <v>2145</v>
      </c>
      <c r="AF85" s="3863">
        <v>12718</v>
      </c>
      <c r="AG85" s="3863">
        <v>26</v>
      </c>
      <c r="AH85" s="3863">
        <v>37</v>
      </c>
      <c r="AI85" s="3863" t="s">
        <v>2047</v>
      </c>
      <c r="AJ85" s="3863" t="s">
        <v>2047</v>
      </c>
      <c r="AK85" s="3863">
        <v>53164</v>
      </c>
      <c r="AL85" s="3863">
        <v>16982</v>
      </c>
      <c r="AM85" s="3863">
        <v>60013</v>
      </c>
      <c r="AN85" s="3863">
        <f>+Y85+Z85+AA85+AB85+AC85+AD85+AE85+AF85+AG85+AH85+AK85+AL85+AM85</f>
        <v>1295105</v>
      </c>
      <c r="AO85" s="3878">
        <v>43467</v>
      </c>
      <c r="AP85" s="3878">
        <v>43830</v>
      </c>
      <c r="AQ85" s="3880" t="s">
        <v>2048</v>
      </c>
    </row>
    <row r="86" spans="1:43" s="2236" customFormat="1" ht="39" customHeight="1" x14ac:dyDescent="0.2">
      <c r="A86" s="2229"/>
      <c r="B86" s="2230"/>
      <c r="C86" s="2231"/>
      <c r="D86" s="2230"/>
      <c r="E86" s="2230"/>
      <c r="F86" s="2231"/>
      <c r="G86" s="2237"/>
      <c r="H86" s="2230"/>
      <c r="I86" s="2231"/>
      <c r="J86" s="3899"/>
      <c r="K86" s="3867"/>
      <c r="L86" s="3864"/>
      <c r="M86" s="3864"/>
      <c r="N86" s="3864"/>
      <c r="O86" s="3864"/>
      <c r="P86" s="3867"/>
      <c r="Q86" s="3918"/>
      <c r="R86" s="3884"/>
      <c r="S86" s="3867"/>
      <c r="T86" s="3867"/>
      <c r="U86" s="3868"/>
      <c r="V86" s="1831">
        <v>13000000</v>
      </c>
      <c r="W86" s="2235">
        <v>98</v>
      </c>
      <c r="X86" s="3864"/>
      <c r="Y86" s="3864"/>
      <c r="Z86" s="3864"/>
      <c r="AA86" s="3864"/>
      <c r="AB86" s="3864"/>
      <c r="AC86" s="3864"/>
      <c r="AD86" s="3864"/>
      <c r="AE86" s="3864"/>
      <c r="AF86" s="3864"/>
      <c r="AG86" s="3864"/>
      <c r="AH86" s="3864"/>
      <c r="AI86" s="3864"/>
      <c r="AJ86" s="3864"/>
      <c r="AK86" s="3864"/>
      <c r="AL86" s="3864"/>
      <c r="AM86" s="3864"/>
      <c r="AN86" s="3864"/>
      <c r="AO86" s="3879"/>
      <c r="AP86" s="3879"/>
      <c r="AQ86" s="3881"/>
    </row>
    <row r="87" spans="1:43" s="2236" customFormat="1" ht="32.25" customHeight="1" x14ac:dyDescent="0.2">
      <c r="A87" s="2229"/>
      <c r="B87" s="2230"/>
      <c r="C87" s="2231"/>
      <c r="D87" s="2230"/>
      <c r="E87" s="2230"/>
      <c r="F87" s="2231"/>
      <c r="G87" s="2237"/>
      <c r="H87" s="2230"/>
      <c r="I87" s="2231"/>
      <c r="J87" s="3899"/>
      <c r="K87" s="3867"/>
      <c r="L87" s="3864"/>
      <c r="M87" s="3864"/>
      <c r="N87" s="3864"/>
      <c r="O87" s="3864"/>
      <c r="P87" s="3867"/>
      <c r="Q87" s="3918"/>
      <c r="R87" s="3884"/>
      <c r="S87" s="3867"/>
      <c r="T87" s="3867"/>
      <c r="U87" s="4035" t="s">
        <v>2130</v>
      </c>
      <c r="V87" s="1831">
        <v>3000000</v>
      </c>
      <c r="W87" s="2235">
        <v>61</v>
      </c>
      <c r="X87" s="3864"/>
      <c r="Y87" s="3864"/>
      <c r="Z87" s="3864"/>
      <c r="AA87" s="3864"/>
      <c r="AB87" s="3864"/>
      <c r="AC87" s="3864"/>
      <c r="AD87" s="3864"/>
      <c r="AE87" s="3864"/>
      <c r="AF87" s="3864"/>
      <c r="AG87" s="3864"/>
      <c r="AH87" s="3864"/>
      <c r="AI87" s="3864"/>
      <c r="AJ87" s="3864"/>
      <c r="AK87" s="3864"/>
      <c r="AL87" s="3864"/>
      <c r="AM87" s="3864"/>
      <c r="AN87" s="3864"/>
      <c r="AO87" s="3879"/>
      <c r="AP87" s="3879"/>
      <c r="AQ87" s="3881"/>
    </row>
    <row r="88" spans="1:43" s="2236" customFormat="1" ht="44.25" customHeight="1" x14ac:dyDescent="0.2">
      <c r="A88" s="2229"/>
      <c r="B88" s="2230"/>
      <c r="C88" s="2231"/>
      <c r="D88" s="2230"/>
      <c r="E88" s="2230"/>
      <c r="F88" s="2231"/>
      <c r="G88" s="2237"/>
      <c r="H88" s="2230"/>
      <c r="I88" s="2231"/>
      <c r="J88" s="3899"/>
      <c r="K88" s="3867"/>
      <c r="L88" s="3864"/>
      <c r="M88" s="3864"/>
      <c r="N88" s="3864"/>
      <c r="O88" s="3864"/>
      <c r="P88" s="3867"/>
      <c r="Q88" s="3918"/>
      <c r="R88" s="3884"/>
      <c r="S88" s="3867"/>
      <c r="T88" s="3867"/>
      <c r="U88" s="4036"/>
      <c r="V88" s="1831">
        <v>13000000</v>
      </c>
      <c r="W88" s="2235">
        <v>98</v>
      </c>
      <c r="X88" s="3864"/>
      <c r="Y88" s="3864"/>
      <c r="Z88" s="3864"/>
      <c r="AA88" s="3864"/>
      <c r="AB88" s="3864"/>
      <c r="AC88" s="3864"/>
      <c r="AD88" s="3864"/>
      <c r="AE88" s="3864"/>
      <c r="AF88" s="3864"/>
      <c r="AG88" s="3864"/>
      <c r="AH88" s="3864"/>
      <c r="AI88" s="3864"/>
      <c r="AJ88" s="3864"/>
      <c r="AK88" s="3864"/>
      <c r="AL88" s="3864"/>
      <c r="AM88" s="3864"/>
      <c r="AN88" s="3864"/>
      <c r="AO88" s="3879"/>
      <c r="AP88" s="3879"/>
      <c r="AQ88" s="3881"/>
    </row>
    <row r="89" spans="1:43" s="2236" customFormat="1" ht="64.5" customHeight="1" x14ac:dyDescent="0.2">
      <c r="A89" s="2229"/>
      <c r="B89" s="2230"/>
      <c r="C89" s="2231"/>
      <c r="D89" s="2230"/>
      <c r="E89" s="2230"/>
      <c r="F89" s="2231"/>
      <c r="G89" s="2237"/>
      <c r="H89" s="2230"/>
      <c r="I89" s="2231"/>
      <c r="J89" s="3899"/>
      <c r="K89" s="3867"/>
      <c r="L89" s="3864"/>
      <c r="M89" s="3864"/>
      <c r="N89" s="3864"/>
      <c r="O89" s="3864"/>
      <c r="P89" s="3867"/>
      <c r="Q89" s="3918"/>
      <c r="R89" s="3884"/>
      <c r="S89" s="3867"/>
      <c r="T89" s="3867"/>
      <c r="U89" s="2264" t="s">
        <v>2131</v>
      </c>
      <c r="V89" s="1831">
        <v>3000000</v>
      </c>
      <c r="W89" s="2235">
        <v>61</v>
      </c>
      <c r="X89" s="3864"/>
      <c r="Y89" s="3864"/>
      <c r="Z89" s="3864"/>
      <c r="AA89" s="3864"/>
      <c r="AB89" s="3864"/>
      <c r="AC89" s="3864"/>
      <c r="AD89" s="3864"/>
      <c r="AE89" s="3864"/>
      <c r="AF89" s="3864"/>
      <c r="AG89" s="3864"/>
      <c r="AH89" s="3864"/>
      <c r="AI89" s="3864"/>
      <c r="AJ89" s="3864"/>
      <c r="AK89" s="3864"/>
      <c r="AL89" s="3864"/>
      <c r="AM89" s="3864"/>
      <c r="AN89" s="3864"/>
      <c r="AO89" s="3879"/>
      <c r="AP89" s="3879"/>
      <c r="AQ89" s="3881"/>
    </row>
    <row r="90" spans="1:43" s="2236" customFormat="1" ht="61.5" customHeight="1" x14ac:dyDescent="0.2">
      <c r="A90" s="2229"/>
      <c r="B90" s="2230"/>
      <c r="C90" s="2231"/>
      <c r="D90" s="2230"/>
      <c r="E90" s="2230"/>
      <c r="F90" s="2231"/>
      <c r="G90" s="2237"/>
      <c r="H90" s="2230"/>
      <c r="I90" s="2231"/>
      <c r="J90" s="3899"/>
      <c r="K90" s="3867"/>
      <c r="L90" s="3864"/>
      <c r="M90" s="3864"/>
      <c r="N90" s="3864"/>
      <c r="O90" s="3864"/>
      <c r="P90" s="3867"/>
      <c r="Q90" s="3918"/>
      <c r="R90" s="3884"/>
      <c r="S90" s="3867"/>
      <c r="T90" s="3867"/>
      <c r="U90" s="2264" t="s">
        <v>2132</v>
      </c>
      <c r="V90" s="1831">
        <v>3000000</v>
      </c>
      <c r="W90" s="2235">
        <v>61</v>
      </c>
      <c r="X90" s="3864"/>
      <c r="Y90" s="3864"/>
      <c r="Z90" s="3864"/>
      <c r="AA90" s="3864"/>
      <c r="AB90" s="3864"/>
      <c r="AC90" s="3864"/>
      <c r="AD90" s="3864"/>
      <c r="AE90" s="3864"/>
      <c r="AF90" s="3864"/>
      <c r="AG90" s="3864"/>
      <c r="AH90" s="3864"/>
      <c r="AI90" s="3864"/>
      <c r="AJ90" s="3864"/>
      <c r="AK90" s="3864"/>
      <c r="AL90" s="3864"/>
      <c r="AM90" s="3864"/>
      <c r="AN90" s="3864"/>
      <c r="AO90" s="3879"/>
      <c r="AP90" s="3879"/>
      <c r="AQ90" s="3881"/>
    </row>
    <row r="91" spans="1:43" s="2236" customFormat="1" ht="110.25" customHeight="1" x14ac:dyDescent="0.2">
      <c r="A91" s="2229"/>
      <c r="B91" s="2230"/>
      <c r="C91" s="2231"/>
      <c r="D91" s="2230"/>
      <c r="E91" s="2230"/>
      <c r="F91" s="2231"/>
      <c r="G91" s="2237"/>
      <c r="H91" s="2230"/>
      <c r="I91" s="2231"/>
      <c r="J91" s="3899"/>
      <c r="K91" s="3867"/>
      <c r="L91" s="3864"/>
      <c r="M91" s="3864"/>
      <c r="N91" s="3864"/>
      <c r="O91" s="3864"/>
      <c r="P91" s="3867"/>
      <c r="Q91" s="3918"/>
      <c r="R91" s="3884"/>
      <c r="S91" s="3867"/>
      <c r="T91" s="3867"/>
      <c r="U91" s="2264" t="s">
        <v>2133</v>
      </c>
      <c r="V91" s="1831">
        <v>3000000</v>
      </c>
      <c r="W91" s="2235">
        <v>61</v>
      </c>
      <c r="X91" s="3864"/>
      <c r="Y91" s="3864"/>
      <c r="Z91" s="3864"/>
      <c r="AA91" s="3864"/>
      <c r="AB91" s="3864"/>
      <c r="AC91" s="3864"/>
      <c r="AD91" s="3864"/>
      <c r="AE91" s="3864"/>
      <c r="AF91" s="3864"/>
      <c r="AG91" s="3864"/>
      <c r="AH91" s="3864"/>
      <c r="AI91" s="3864"/>
      <c r="AJ91" s="3864"/>
      <c r="AK91" s="3864"/>
      <c r="AL91" s="3864"/>
      <c r="AM91" s="3864"/>
      <c r="AN91" s="3864"/>
      <c r="AO91" s="3879"/>
      <c r="AP91" s="3879"/>
      <c r="AQ91" s="3881"/>
    </row>
    <row r="92" spans="1:43" s="2236" customFormat="1" ht="123" customHeight="1" x14ac:dyDescent="0.2">
      <c r="A92" s="2229"/>
      <c r="B92" s="2230"/>
      <c r="C92" s="2231"/>
      <c r="D92" s="2230"/>
      <c r="E92" s="2230"/>
      <c r="F92" s="2231"/>
      <c r="G92" s="2237"/>
      <c r="H92" s="2230"/>
      <c r="I92" s="2231"/>
      <c r="J92" s="3899"/>
      <c r="K92" s="3867"/>
      <c r="L92" s="3864"/>
      <c r="M92" s="3864"/>
      <c r="N92" s="3864"/>
      <c r="O92" s="3864"/>
      <c r="P92" s="3867"/>
      <c r="Q92" s="3918"/>
      <c r="R92" s="3884"/>
      <c r="S92" s="3867"/>
      <c r="T92" s="3867"/>
      <c r="U92" s="2264" t="s">
        <v>2134</v>
      </c>
      <c r="V92" s="1831">
        <v>3000000</v>
      </c>
      <c r="W92" s="2235">
        <v>61</v>
      </c>
      <c r="X92" s="3864"/>
      <c r="Y92" s="3864"/>
      <c r="Z92" s="3864"/>
      <c r="AA92" s="3864"/>
      <c r="AB92" s="3864"/>
      <c r="AC92" s="3864"/>
      <c r="AD92" s="3864"/>
      <c r="AE92" s="3864"/>
      <c r="AF92" s="3864"/>
      <c r="AG92" s="3864"/>
      <c r="AH92" s="3864"/>
      <c r="AI92" s="3864"/>
      <c r="AJ92" s="3864"/>
      <c r="AK92" s="3864"/>
      <c r="AL92" s="3864"/>
      <c r="AM92" s="3864"/>
      <c r="AN92" s="3864"/>
      <c r="AO92" s="3879"/>
      <c r="AP92" s="3879"/>
      <c r="AQ92" s="3881"/>
    </row>
    <row r="93" spans="1:43" s="2236" customFormat="1" ht="57" x14ac:dyDescent="0.2">
      <c r="A93" s="2229"/>
      <c r="B93" s="2230"/>
      <c r="C93" s="2231"/>
      <c r="D93" s="2230"/>
      <c r="E93" s="2230"/>
      <c r="F93" s="2231"/>
      <c r="G93" s="2237"/>
      <c r="H93" s="2230"/>
      <c r="I93" s="2231"/>
      <c r="J93" s="3899"/>
      <c r="K93" s="3867"/>
      <c r="L93" s="3864"/>
      <c r="M93" s="3864"/>
      <c r="N93" s="3864"/>
      <c r="O93" s="3864"/>
      <c r="P93" s="3867"/>
      <c r="Q93" s="3918"/>
      <c r="R93" s="3884"/>
      <c r="S93" s="3867"/>
      <c r="T93" s="3867"/>
      <c r="U93" s="2264" t="s">
        <v>2135</v>
      </c>
      <c r="V93" s="1831">
        <v>3000000</v>
      </c>
      <c r="W93" s="2235">
        <v>61</v>
      </c>
      <c r="X93" s="3864"/>
      <c r="Y93" s="3864"/>
      <c r="Z93" s="3864"/>
      <c r="AA93" s="3864"/>
      <c r="AB93" s="3864"/>
      <c r="AC93" s="3864"/>
      <c r="AD93" s="3864"/>
      <c r="AE93" s="3864"/>
      <c r="AF93" s="3864"/>
      <c r="AG93" s="3864"/>
      <c r="AH93" s="3864"/>
      <c r="AI93" s="3864"/>
      <c r="AJ93" s="3864"/>
      <c r="AK93" s="3864"/>
      <c r="AL93" s="3864"/>
      <c r="AM93" s="3864"/>
      <c r="AN93" s="3864"/>
      <c r="AO93" s="3879"/>
      <c r="AP93" s="3879"/>
      <c r="AQ93" s="3881"/>
    </row>
    <row r="94" spans="1:43" s="2236" customFormat="1" ht="55.5" customHeight="1" x14ac:dyDescent="0.2">
      <c r="A94" s="2229"/>
      <c r="B94" s="2230"/>
      <c r="C94" s="2231"/>
      <c r="D94" s="2230"/>
      <c r="E94" s="2230"/>
      <c r="F94" s="2231"/>
      <c r="G94" s="2237"/>
      <c r="H94" s="2230"/>
      <c r="I94" s="2231"/>
      <c r="J94" s="3899"/>
      <c r="K94" s="3867"/>
      <c r="L94" s="3864"/>
      <c r="M94" s="3864"/>
      <c r="N94" s="3864"/>
      <c r="O94" s="3864"/>
      <c r="P94" s="3867"/>
      <c r="Q94" s="3918"/>
      <c r="R94" s="3884"/>
      <c r="S94" s="3867"/>
      <c r="T94" s="3867"/>
      <c r="U94" s="2264" t="s">
        <v>2136</v>
      </c>
      <c r="V94" s="1831">
        <v>3000000</v>
      </c>
      <c r="W94" s="2235">
        <v>61</v>
      </c>
      <c r="X94" s="3864"/>
      <c r="Y94" s="3864"/>
      <c r="Z94" s="3864"/>
      <c r="AA94" s="3864"/>
      <c r="AB94" s="3864"/>
      <c r="AC94" s="3864"/>
      <c r="AD94" s="3864"/>
      <c r="AE94" s="3864"/>
      <c r="AF94" s="3864"/>
      <c r="AG94" s="3864"/>
      <c r="AH94" s="3864"/>
      <c r="AI94" s="3864"/>
      <c r="AJ94" s="3864"/>
      <c r="AK94" s="3864"/>
      <c r="AL94" s="3864"/>
      <c r="AM94" s="3864"/>
      <c r="AN94" s="3864"/>
      <c r="AO94" s="3879"/>
      <c r="AP94" s="3879"/>
      <c r="AQ94" s="3881"/>
    </row>
    <row r="95" spans="1:43" s="2236" customFormat="1" ht="107.25" customHeight="1" x14ac:dyDescent="0.2">
      <c r="A95" s="2229"/>
      <c r="B95" s="2230"/>
      <c r="C95" s="2231"/>
      <c r="D95" s="2230"/>
      <c r="E95" s="2230"/>
      <c r="F95" s="2231"/>
      <c r="G95" s="2237"/>
      <c r="H95" s="2230"/>
      <c r="I95" s="2231"/>
      <c r="J95" s="3900"/>
      <c r="K95" s="3868"/>
      <c r="L95" s="3865"/>
      <c r="M95" s="3865"/>
      <c r="N95" s="3864"/>
      <c r="O95" s="3864"/>
      <c r="P95" s="3867"/>
      <c r="Q95" s="3919"/>
      <c r="R95" s="3884"/>
      <c r="S95" s="3867"/>
      <c r="T95" s="3868"/>
      <c r="U95" s="2264" t="s">
        <v>2137</v>
      </c>
      <c r="V95" s="1831">
        <v>4000000</v>
      </c>
      <c r="W95" s="2235">
        <v>61</v>
      </c>
      <c r="X95" s="3864"/>
      <c r="Y95" s="3864"/>
      <c r="Z95" s="3864"/>
      <c r="AA95" s="3864"/>
      <c r="AB95" s="3864"/>
      <c r="AC95" s="3864"/>
      <c r="AD95" s="3864"/>
      <c r="AE95" s="3864"/>
      <c r="AF95" s="3864"/>
      <c r="AG95" s="3864"/>
      <c r="AH95" s="3864"/>
      <c r="AI95" s="3864"/>
      <c r="AJ95" s="3864"/>
      <c r="AK95" s="3864"/>
      <c r="AL95" s="3864"/>
      <c r="AM95" s="3864"/>
      <c r="AN95" s="3864"/>
      <c r="AO95" s="3879"/>
      <c r="AP95" s="3879"/>
      <c r="AQ95" s="3881"/>
    </row>
    <row r="96" spans="1:43" s="2236" customFormat="1" ht="55.5" customHeight="1" x14ac:dyDescent="0.2">
      <c r="A96" s="2229"/>
      <c r="B96" s="2230"/>
      <c r="C96" s="2231"/>
      <c r="D96" s="2230"/>
      <c r="E96" s="2230"/>
      <c r="F96" s="2231"/>
      <c r="G96" s="2237"/>
      <c r="H96" s="2230"/>
      <c r="I96" s="2231"/>
      <c r="J96" s="3898">
        <v>137</v>
      </c>
      <c r="K96" s="3866" t="s">
        <v>2138</v>
      </c>
      <c r="L96" s="3863" t="s">
        <v>2040</v>
      </c>
      <c r="M96" s="3863">
        <v>12</v>
      </c>
      <c r="N96" s="3864"/>
      <c r="O96" s="3864"/>
      <c r="P96" s="3867"/>
      <c r="Q96" s="3917">
        <f>SUM(V96:V100)/R85</f>
        <v>0.40579710144927539</v>
      </c>
      <c r="R96" s="3884"/>
      <c r="S96" s="3867"/>
      <c r="T96" s="3866" t="s">
        <v>2139</v>
      </c>
      <c r="U96" s="2264" t="s">
        <v>2140</v>
      </c>
      <c r="V96" s="1831">
        <v>11000000</v>
      </c>
      <c r="W96" s="2235">
        <v>61</v>
      </c>
      <c r="X96" s="3864"/>
      <c r="Y96" s="3864"/>
      <c r="Z96" s="3864"/>
      <c r="AA96" s="3864"/>
      <c r="AB96" s="3864"/>
      <c r="AC96" s="3864"/>
      <c r="AD96" s="3864"/>
      <c r="AE96" s="3864"/>
      <c r="AF96" s="3864"/>
      <c r="AG96" s="3864"/>
      <c r="AH96" s="3864"/>
      <c r="AI96" s="3864"/>
      <c r="AJ96" s="3864"/>
      <c r="AK96" s="3864"/>
      <c r="AL96" s="3864"/>
      <c r="AM96" s="3864"/>
      <c r="AN96" s="3864"/>
      <c r="AO96" s="3879"/>
      <c r="AP96" s="3879"/>
      <c r="AQ96" s="3881"/>
    </row>
    <row r="97" spans="1:285" s="2236" customFormat="1" ht="96" customHeight="1" x14ac:dyDescent="0.2">
      <c r="A97" s="2229"/>
      <c r="B97" s="2230"/>
      <c r="C97" s="2231"/>
      <c r="D97" s="2230"/>
      <c r="E97" s="2230"/>
      <c r="F97" s="2231"/>
      <c r="G97" s="2237"/>
      <c r="H97" s="2230"/>
      <c r="I97" s="2231"/>
      <c r="J97" s="3899"/>
      <c r="K97" s="3867"/>
      <c r="L97" s="3864"/>
      <c r="M97" s="3864"/>
      <c r="N97" s="3864"/>
      <c r="O97" s="3864"/>
      <c r="P97" s="3867"/>
      <c r="Q97" s="3918"/>
      <c r="R97" s="3884"/>
      <c r="S97" s="3867"/>
      <c r="T97" s="3867"/>
      <c r="U97" s="2264" t="s">
        <v>2141</v>
      </c>
      <c r="V97" s="1831">
        <v>11000000</v>
      </c>
      <c r="W97" s="2235">
        <v>61</v>
      </c>
      <c r="X97" s="3864"/>
      <c r="Y97" s="3864"/>
      <c r="Z97" s="3864"/>
      <c r="AA97" s="3864"/>
      <c r="AB97" s="3864"/>
      <c r="AC97" s="3864"/>
      <c r="AD97" s="3864"/>
      <c r="AE97" s="3864"/>
      <c r="AF97" s="3864"/>
      <c r="AG97" s="3864"/>
      <c r="AH97" s="3864"/>
      <c r="AI97" s="3864"/>
      <c r="AJ97" s="3864"/>
      <c r="AK97" s="3864"/>
      <c r="AL97" s="3864"/>
      <c r="AM97" s="3864"/>
      <c r="AN97" s="3864"/>
      <c r="AO97" s="3879"/>
      <c r="AP97" s="3879"/>
      <c r="AQ97" s="3881"/>
    </row>
    <row r="98" spans="1:285" s="2236" customFormat="1" ht="66.75" customHeight="1" x14ac:dyDescent="0.2">
      <c r="A98" s="2229"/>
      <c r="B98" s="2230"/>
      <c r="C98" s="2231"/>
      <c r="D98" s="2230"/>
      <c r="E98" s="2230"/>
      <c r="F98" s="2231"/>
      <c r="G98" s="2237"/>
      <c r="H98" s="2230"/>
      <c r="I98" s="2231"/>
      <c r="J98" s="3899"/>
      <c r="K98" s="3867"/>
      <c r="L98" s="3864"/>
      <c r="M98" s="3864"/>
      <c r="N98" s="3864"/>
      <c r="O98" s="3864"/>
      <c r="P98" s="3867"/>
      <c r="Q98" s="3918"/>
      <c r="R98" s="3884"/>
      <c r="S98" s="3867"/>
      <c r="T98" s="3867"/>
      <c r="U98" s="2264" t="s">
        <v>2142</v>
      </c>
      <c r="V98" s="1831">
        <v>11000000</v>
      </c>
      <c r="W98" s="2235">
        <v>61</v>
      </c>
      <c r="X98" s="3864"/>
      <c r="Y98" s="3864"/>
      <c r="Z98" s="3864"/>
      <c r="AA98" s="3864"/>
      <c r="AB98" s="3864"/>
      <c r="AC98" s="3864"/>
      <c r="AD98" s="3864"/>
      <c r="AE98" s="3864"/>
      <c r="AF98" s="3864"/>
      <c r="AG98" s="3864"/>
      <c r="AH98" s="3864"/>
      <c r="AI98" s="3864"/>
      <c r="AJ98" s="3864"/>
      <c r="AK98" s="3864"/>
      <c r="AL98" s="3864"/>
      <c r="AM98" s="3864"/>
      <c r="AN98" s="3864"/>
      <c r="AO98" s="3879"/>
      <c r="AP98" s="3879"/>
      <c r="AQ98" s="3881"/>
    </row>
    <row r="99" spans="1:285" s="2236" customFormat="1" ht="84" customHeight="1" x14ac:dyDescent="0.2">
      <c r="A99" s="2229"/>
      <c r="B99" s="2230"/>
      <c r="C99" s="2231"/>
      <c r="D99" s="2230"/>
      <c r="E99" s="2230"/>
      <c r="F99" s="2231"/>
      <c r="G99" s="2237"/>
      <c r="H99" s="2230"/>
      <c r="I99" s="2231"/>
      <c r="J99" s="3899"/>
      <c r="K99" s="3867"/>
      <c r="L99" s="3864"/>
      <c r="M99" s="3864"/>
      <c r="N99" s="3864"/>
      <c r="O99" s="3864"/>
      <c r="P99" s="3867"/>
      <c r="Q99" s="3918"/>
      <c r="R99" s="3884"/>
      <c r="S99" s="3867"/>
      <c r="T99" s="3867"/>
      <c r="U99" s="2264" t="s">
        <v>2143</v>
      </c>
      <c r="V99" s="1831">
        <v>11000000</v>
      </c>
      <c r="W99" s="2235">
        <v>61</v>
      </c>
      <c r="X99" s="3864"/>
      <c r="Y99" s="3864"/>
      <c r="Z99" s="3864"/>
      <c r="AA99" s="3864"/>
      <c r="AB99" s="3864"/>
      <c r="AC99" s="3864"/>
      <c r="AD99" s="3864"/>
      <c r="AE99" s="3864"/>
      <c r="AF99" s="3864"/>
      <c r="AG99" s="3864"/>
      <c r="AH99" s="3864"/>
      <c r="AI99" s="3864"/>
      <c r="AJ99" s="3864"/>
      <c r="AK99" s="3864"/>
      <c r="AL99" s="3864"/>
      <c r="AM99" s="3864"/>
      <c r="AN99" s="3864"/>
      <c r="AO99" s="3879"/>
      <c r="AP99" s="3879"/>
      <c r="AQ99" s="3881"/>
    </row>
    <row r="100" spans="1:285" s="2236" customFormat="1" ht="75" customHeight="1" x14ac:dyDescent="0.2">
      <c r="A100" s="2229"/>
      <c r="B100" s="2230"/>
      <c r="C100" s="2231"/>
      <c r="D100" s="2230"/>
      <c r="E100" s="2230"/>
      <c r="F100" s="2231"/>
      <c r="G100" s="2237"/>
      <c r="H100" s="2230"/>
      <c r="I100" s="2231"/>
      <c r="J100" s="3900"/>
      <c r="K100" s="3868"/>
      <c r="L100" s="3865"/>
      <c r="M100" s="3865"/>
      <c r="N100" s="3864"/>
      <c r="O100" s="3864"/>
      <c r="P100" s="3867"/>
      <c r="Q100" s="3919"/>
      <c r="R100" s="3884"/>
      <c r="S100" s="3867"/>
      <c r="T100" s="3868"/>
      <c r="U100" s="2264" t="s">
        <v>2144</v>
      </c>
      <c r="V100" s="1831">
        <v>12000000</v>
      </c>
      <c r="W100" s="2235">
        <v>61</v>
      </c>
      <c r="X100" s="3864"/>
      <c r="Y100" s="3864"/>
      <c r="Z100" s="3864"/>
      <c r="AA100" s="3864"/>
      <c r="AB100" s="3864"/>
      <c r="AC100" s="3864"/>
      <c r="AD100" s="3864"/>
      <c r="AE100" s="3864"/>
      <c r="AF100" s="3864"/>
      <c r="AG100" s="3864"/>
      <c r="AH100" s="3864"/>
      <c r="AI100" s="3864"/>
      <c r="AJ100" s="3864"/>
      <c r="AK100" s="3864"/>
      <c r="AL100" s="3864"/>
      <c r="AM100" s="3864"/>
      <c r="AN100" s="3864"/>
      <c r="AO100" s="3879"/>
      <c r="AP100" s="3879"/>
      <c r="AQ100" s="3881"/>
    </row>
    <row r="101" spans="1:285" s="2236" customFormat="1" ht="75.75" customHeight="1" x14ac:dyDescent="0.2">
      <c r="A101" s="2229"/>
      <c r="B101" s="2230"/>
      <c r="C101" s="2231"/>
      <c r="D101" s="2230"/>
      <c r="E101" s="2230"/>
      <c r="F101" s="2231"/>
      <c r="G101" s="2237"/>
      <c r="H101" s="2230"/>
      <c r="I101" s="2231"/>
      <c r="J101" s="3898">
        <v>138</v>
      </c>
      <c r="K101" s="3866" t="s">
        <v>2145</v>
      </c>
      <c r="L101" s="3863" t="s">
        <v>2040</v>
      </c>
      <c r="M101" s="3863">
        <v>12</v>
      </c>
      <c r="N101" s="3864"/>
      <c r="O101" s="3864"/>
      <c r="P101" s="3867"/>
      <c r="Q101" s="3917">
        <f>SUM(V101:V105)/R85</f>
        <v>0.20289855072463769</v>
      </c>
      <c r="R101" s="3884"/>
      <c r="S101" s="3867"/>
      <c r="T101" s="3866" t="s">
        <v>2146</v>
      </c>
      <c r="U101" s="2265" t="s">
        <v>2147</v>
      </c>
      <c r="V101" s="1831">
        <v>5000000</v>
      </c>
      <c r="W101" s="2235">
        <v>61</v>
      </c>
      <c r="X101" s="3864"/>
      <c r="Y101" s="3864"/>
      <c r="Z101" s="3864"/>
      <c r="AA101" s="3864"/>
      <c r="AB101" s="3864"/>
      <c r="AC101" s="3864"/>
      <c r="AD101" s="3864"/>
      <c r="AE101" s="3864"/>
      <c r="AF101" s="3864"/>
      <c r="AG101" s="3864"/>
      <c r="AH101" s="3864"/>
      <c r="AI101" s="3864"/>
      <c r="AJ101" s="3864"/>
      <c r="AK101" s="3864"/>
      <c r="AL101" s="3864"/>
      <c r="AM101" s="3864"/>
      <c r="AN101" s="3864"/>
      <c r="AO101" s="3879"/>
      <c r="AP101" s="3879"/>
      <c r="AQ101" s="3881"/>
    </row>
    <row r="102" spans="1:285" s="2236" customFormat="1" ht="60" customHeight="1" x14ac:dyDescent="0.2">
      <c r="A102" s="2229"/>
      <c r="B102" s="2230"/>
      <c r="C102" s="2231"/>
      <c r="D102" s="2230"/>
      <c r="E102" s="2230"/>
      <c r="F102" s="2231"/>
      <c r="G102" s="2237"/>
      <c r="H102" s="2230"/>
      <c r="I102" s="2231"/>
      <c r="J102" s="3899"/>
      <c r="K102" s="3867"/>
      <c r="L102" s="3864"/>
      <c r="M102" s="3864"/>
      <c r="N102" s="3864"/>
      <c r="O102" s="3864"/>
      <c r="P102" s="3867"/>
      <c r="Q102" s="3918"/>
      <c r="R102" s="3884"/>
      <c r="S102" s="3867"/>
      <c r="T102" s="3867"/>
      <c r="U102" s="2238" t="s">
        <v>2148</v>
      </c>
      <c r="V102" s="1831">
        <v>5000000</v>
      </c>
      <c r="W102" s="2235">
        <v>61</v>
      </c>
      <c r="X102" s="3864"/>
      <c r="Y102" s="3864"/>
      <c r="Z102" s="3864"/>
      <c r="AA102" s="3864"/>
      <c r="AB102" s="3864"/>
      <c r="AC102" s="3864"/>
      <c r="AD102" s="3864"/>
      <c r="AE102" s="3864"/>
      <c r="AF102" s="3864"/>
      <c r="AG102" s="3864"/>
      <c r="AH102" s="3864"/>
      <c r="AI102" s="3864"/>
      <c r="AJ102" s="3864"/>
      <c r="AK102" s="3864"/>
      <c r="AL102" s="3864"/>
      <c r="AM102" s="3864"/>
      <c r="AN102" s="3864"/>
      <c r="AO102" s="3879"/>
      <c r="AP102" s="3879"/>
      <c r="AQ102" s="3881"/>
    </row>
    <row r="103" spans="1:285" s="2236" customFormat="1" ht="49.5" customHeight="1" x14ac:dyDescent="0.2">
      <c r="A103" s="2229"/>
      <c r="B103" s="2230"/>
      <c r="C103" s="2231"/>
      <c r="D103" s="2230"/>
      <c r="E103" s="2230"/>
      <c r="F103" s="2231"/>
      <c r="G103" s="2237"/>
      <c r="H103" s="2230"/>
      <c r="I103" s="2231"/>
      <c r="J103" s="3899"/>
      <c r="K103" s="3867"/>
      <c r="L103" s="3864"/>
      <c r="M103" s="3864"/>
      <c r="N103" s="3864"/>
      <c r="O103" s="3864"/>
      <c r="P103" s="3867"/>
      <c r="Q103" s="3918"/>
      <c r="R103" s="3884"/>
      <c r="S103" s="3867"/>
      <c r="T103" s="3867"/>
      <c r="U103" s="2265" t="s">
        <v>2149</v>
      </c>
      <c r="V103" s="1831">
        <v>5000000</v>
      </c>
      <c r="W103" s="2235">
        <v>61</v>
      </c>
      <c r="X103" s="3864"/>
      <c r="Y103" s="3864"/>
      <c r="Z103" s="3864"/>
      <c r="AA103" s="3864"/>
      <c r="AB103" s="3864"/>
      <c r="AC103" s="3864"/>
      <c r="AD103" s="3864"/>
      <c r="AE103" s="3864"/>
      <c r="AF103" s="3864"/>
      <c r="AG103" s="3864"/>
      <c r="AH103" s="3864"/>
      <c r="AI103" s="3864"/>
      <c r="AJ103" s="3864"/>
      <c r="AK103" s="3864"/>
      <c r="AL103" s="3864"/>
      <c r="AM103" s="3864"/>
      <c r="AN103" s="3864"/>
      <c r="AO103" s="3879"/>
      <c r="AP103" s="3879"/>
      <c r="AQ103" s="3881"/>
    </row>
    <row r="104" spans="1:285" s="2236" customFormat="1" ht="87" customHeight="1" x14ac:dyDescent="0.2">
      <c r="A104" s="2229"/>
      <c r="B104" s="2230"/>
      <c r="C104" s="2231"/>
      <c r="D104" s="2230"/>
      <c r="E104" s="2230"/>
      <c r="F104" s="2231"/>
      <c r="G104" s="2237"/>
      <c r="H104" s="2230"/>
      <c r="I104" s="2231"/>
      <c r="J104" s="3899"/>
      <c r="K104" s="3867"/>
      <c r="L104" s="3864"/>
      <c r="M104" s="3864"/>
      <c r="N104" s="3864"/>
      <c r="O104" s="3864"/>
      <c r="P104" s="3867"/>
      <c r="Q104" s="3918"/>
      <c r="R104" s="3884"/>
      <c r="S104" s="3867"/>
      <c r="T104" s="3867"/>
      <c r="U104" s="2265" t="s">
        <v>2150</v>
      </c>
      <c r="V104" s="1831">
        <v>5000000</v>
      </c>
      <c r="W104" s="2235">
        <v>61</v>
      </c>
      <c r="X104" s="3864"/>
      <c r="Y104" s="3864"/>
      <c r="Z104" s="3864"/>
      <c r="AA104" s="3864"/>
      <c r="AB104" s="3864"/>
      <c r="AC104" s="3864"/>
      <c r="AD104" s="3864"/>
      <c r="AE104" s="3864"/>
      <c r="AF104" s="3864"/>
      <c r="AG104" s="3864"/>
      <c r="AH104" s="3864"/>
      <c r="AI104" s="3864"/>
      <c r="AJ104" s="3864"/>
      <c r="AK104" s="3864"/>
      <c r="AL104" s="3864"/>
      <c r="AM104" s="3864"/>
      <c r="AN104" s="3864"/>
      <c r="AO104" s="3879"/>
      <c r="AP104" s="3879"/>
      <c r="AQ104" s="3881"/>
    </row>
    <row r="105" spans="1:285" s="2266" customFormat="1" ht="93.75" customHeight="1" x14ac:dyDescent="0.2">
      <c r="A105" s="2229"/>
      <c r="B105" s="2230"/>
      <c r="C105" s="2231"/>
      <c r="D105" s="2230"/>
      <c r="E105" s="2230"/>
      <c r="F105" s="2231"/>
      <c r="G105" s="2241"/>
      <c r="H105" s="2239"/>
      <c r="I105" s="2240"/>
      <c r="J105" s="3900"/>
      <c r="K105" s="3868"/>
      <c r="L105" s="3865"/>
      <c r="M105" s="3865"/>
      <c r="N105" s="3864"/>
      <c r="O105" s="3865"/>
      <c r="P105" s="3868"/>
      <c r="Q105" s="3919"/>
      <c r="R105" s="3904"/>
      <c r="S105" s="3868"/>
      <c r="T105" s="3868"/>
      <c r="U105" s="2265" t="s">
        <v>2151</v>
      </c>
      <c r="V105" s="1831">
        <v>8000000</v>
      </c>
      <c r="W105" s="2235">
        <v>61</v>
      </c>
      <c r="X105" s="3865"/>
      <c r="Y105" s="3865"/>
      <c r="Z105" s="3865"/>
      <c r="AA105" s="3865"/>
      <c r="AB105" s="3865"/>
      <c r="AC105" s="3865"/>
      <c r="AD105" s="3865"/>
      <c r="AE105" s="3865"/>
      <c r="AF105" s="3865"/>
      <c r="AG105" s="3865"/>
      <c r="AH105" s="3865"/>
      <c r="AI105" s="3865"/>
      <c r="AJ105" s="3865"/>
      <c r="AK105" s="3865"/>
      <c r="AL105" s="3865"/>
      <c r="AM105" s="3865"/>
      <c r="AN105" s="3865"/>
      <c r="AO105" s="3901"/>
      <c r="AP105" s="3901"/>
      <c r="AQ105" s="3887"/>
      <c r="AR105" s="2236"/>
      <c r="AS105" s="2236"/>
      <c r="AT105" s="2236"/>
      <c r="AU105" s="2236"/>
      <c r="AV105" s="2236"/>
      <c r="AW105" s="2236"/>
      <c r="AX105" s="2236"/>
      <c r="AY105" s="2236"/>
      <c r="AZ105" s="2236"/>
      <c r="BA105" s="2236"/>
      <c r="BB105" s="2236"/>
      <c r="BC105" s="2236"/>
      <c r="BD105" s="2236"/>
      <c r="BE105" s="2236"/>
      <c r="BF105" s="2236"/>
      <c r="BG105" s="2236"/>
      <c r="BH105" s="2236"/>
      <c r="BI105" s="2236"/>
      <c r="BJ105" s="2236"/>
      <c r="BK105" s="2236"/>
      <c r="BL105" s="2236"/>
      <c r="BM105" s="2236"/>
      <c r="BN105" s="2236"/>
      <c r="BO105" s="2236"/>
      <c r="BP105" s="2236"/>
      <c r="BQ105" s="2236"/>
      <c r="BR105" s="2236"/>
      <c r="BS105" s="2236"/>
      <c r="BT105" s="2236"/>
      <c r="BU105" s="2236"/>
      <c r="BV105" s="2236"/>
      <c r="BW105" s="2236"/>
      <c r="BX105" s="2236"/>
      <c r="BY105" s="2236"/>
      <c r="BZ105" s="2236"/>
      <c r="CA105" s="2236"/>
      <c r="CB105" s="2236"/>
      <c r="CC105" s="2236"/>
      <c r="CD105" s="2236"/>
      <c r="CE105" s="2236"/>
      <c r="CF105" s="2236"/>
      <c r="CG105" s="2236"/>
      <c r="CH105" s="2236"/>
      <c r="CI105" s="2236"/>
      <c r="CJ105" s="2236"/>
      <c r="CK105" s="2236"/>
      <c r="CL105" s="2236"/>
      <c r="CM105" s="2236"/>
      <c r="CN105" s="2236"/>
      <c r="CO105" s="2236"/>
      <c r="CP105" s="2236"/>
      <c r="CQ105" s="2236"/>
      <c r="CR105" s="2236"/>
      <c r="CS105" s="2236"/>
      <c r="CT105" s="2236"/>
      <c r="CU105" s="2236"/>
      <c r="CV105" s="2236"/>
      <c r="CW105" s="2236"/>
      <c r="CX105" s="2236"/>
      <c r="CY105" s="2236"/>
      <c r="CZ105" s="2236"/>
      <c r="DA105" s="2236"/>
      <c r="DB105" s="2236"/>
      <c r="DC105" s="2236"/>
      <c r="DD105" s="2236"/>
      <c r="DE105" s="2236"/>
      <c r="DF105" s="2236"/>
      <c r="DG105" s="2236"/>
      <c r="DH105" s="2236"/>
      <c r="DI105" s="2236"/>
      <c r="DJ105" s="2236"/>
      <c r="DK105" s="2236"/>
      <c r="DL105" s="2236"/>
      <c r="DM105" s="2236"/>
      <c r="DN105" s="2236"/>
      <c r="DO105" s="2236"/>
      <c r="DP105" s="2236"/>
      <c r="DQ105" s="2236"/>
      <c r="DR105" s="2236"/>
      <c r="DS105" s="2236"/>
      <c r="DT105" s="2236"/>
      <c r="DU105" s="2236"/>
      <c r="DV105" s="2236"/>
      <c r="DW105" s="2236"/>
      <c r="DX105" s="2236"/>
      <c r="DY105" s="2236"/>
      <c r="DZ105" s="2236"/>
      <c r="EA105" s="2236"/>
      <c r="EB105" s="2236"/>
      <c r="EC105" s="2236"/>
      <c r="ED105" s="2236"/>
      <c r="EE105" s="2236"/>
      <c r="EF105" s="2236"/>
      <c r="EG105" s="2236"/>
      <c r="EH105" s="2236"/>
      <c r="EI105" s="2236"/>
      <c r="EJ105" s="2236"/>
      <c r="EK105" s="2236"/>
      <c r="EL105" s="2236"/>
      <c r="EM105" s="2236"/>
      <c r="EN105" s="2236"/>
      <c r="EO105" s="2236"/>
      <c r="EP105" s="2236"/>
      <c r="EQ105" s="2236"/>
      <c r="ER105" s="2236"/>
      <c r="ES105" s="2236"/>
      <c r="ET105" s="2236"/>
      <c r="EU105" s="2236"/>
      <c r="EV105" s="2236"/>
      <c r="EW105" s="2236"/>
      <c r="EX105" s="2236"/>
      <c r="EY105" s="2236"/>
      <c r="EZ105" s="2236"/>
      <c r="FA105" s="2236"/>
      <c r="FB105" s="2236"/>
      <c r="FC105" s="2236"/>
      <c r="FD105" s="2236"/>
      <c r="FE105" s="2236"/>
      <c r="FF105" s="2236"/>
      <c r="FG105" s="2236"/>
      <c r="FH105" s="2236"/>
      <c r="FI105" s="2236"/>
      <c r="FJ105" s="2236"/>
      <c r="FK105" s="2236"/>
      <c r="FL105" s="2236"/>
      <c r="FM105" s="2236"/>
      <c r="FN105" s="2236"/>
      <c r="FO105" s="2236"/>
      <c r="FP105" s="2236"/>
      <c r="FQ105" s="2236"/>
      <c r="FR105" s="2236"/>
      <c r="FS105" s="2236"/>
      <c r="FT105" s="2236"/>
      <c r="FU105" s="2236"/>
      <c r="FV105" s="2236"/>
      <c r="FW105" s="2236"/>
      <c r="FX105" s="2236"/>
      <c r="FY105" s="2236"/>
      <c r="FZ105" s="2236"/>
      <c r="GA105" s="2236"/>
      <c r="GB105" s="2236"/>
      <c r="GC105" s="2236"/>
      <c r="GD105" s="2236"/>
      <c r="GE105" s="2236"/>
      <c r="GF105" s="2236"/>
      <c r="GG105" s="2236"/>
      <c r="GH105" s="2236"/>
      <c r="GI105" s="2236"/>
      <c r="GJ105" s="2236"/>
      <c r="GK105" s="2236"/>
      <c r="GL105" s="2236"/>
      <c r="GM105" s="2236"/>
      <c r="GN105" s="2236"/>
      <c r="GO105" s="2236"/>
      <c r="GP105" s="2236"/>
      <c r="GQ105" s="2236"/>
      <c r="GR105" s="2236"/>
      <c r="GS105" s="2236"/>
      <c r="GT105" s="2236"/>
      <c r="GU105" s="2236"/>
      <c r="GV105" s="2236"/>
      <c r="GW105" s="2236"/>
      <c r="GX105" s="2236"/>
      <c r="GY105" s="2236"/>
      <c r="GZ105" s="2236"/>
      <c r="HA105" s="2236"/>
      <c r="HB105" s="2236"/>
      <c r="HC105" s="2236"/>
      <c r="HD105" s="2236"/>
      <c r="HE105" s="2236"/>
      <c r="HF105" s="2236"/>
      <c r="HG105" s="2236"/>
      <c r="HH105" s="2236"/>
      <c r="HI105" s="2236"/>
      <c r="HJ105" s="2236"/>
      <c r="HK105" s="2236"/>
      <c r="HL105" s="2236"/>
      <c r="HM105" s="2236"/>
      <c r="HN105" s="2236"/>
      <c r="HO105" s="2236"/>
      <c r="HP105" s="2236"/>
      <c r="HQ105" s="2236"/>
      <c r="HR105" s="2236"/>
      <c r="HS105" s="2236"/>
      <c r="HT105" s="2236"/>
      <c r="HU105" s="2236"/>
      <c r="HV105" s="2236"/>
      <c r="HW105" s="2236"/>
      <c r="HX105" s="2236"/>
      <c r="HY105" s="2236"/>
      <c r="HZ105" s="2236"/>
      <c r="IA105" s="2236"/>
      <c r="IB105" s="2236"/>
      <c r="IC105" s="2236"/>
      <c r="ID105" s="2236"/>
      <c r="IE105" s="2236"/>
      <c r="IF105" s="2236"/>
      <c r="IG105" s="2236"/>
      <c r="IH105" s="2236"/>
      <c r="II105" s="2236"/>
      <c r="IJ105" s="2236"/>
      <c r="IK105" s="2236"/>
      <c r="IL105" s="2236"/>
      <c r="IM105" s="2236"/>
      <c r="IN105" s="2236"/>
      <c r="IO105" s="2236"/>
      <c r="IP105" s="2236"/>
      <c r="IQ105" s="2236"/>
      <c r="IR105" s="2236"/>
      <c r="IS105" s="2236"/>
      <c r="IT105" s="2236"/>
      <c r="IU105" s="2236"/>
      <c r="IV105" s="2236"/>
      <c r="IW105" s="2236"/>
      <c r="IX105" s="2236"/>
      <c r="IY105" s="2236"/>
      <c r="IZ105" s="2236"/>
      <c r="JA105" s="2236"/>
      <c r="JB105" s="2236"/>
      <c r="JC105" s="2236"/>
      <c r="JD105" s="2236"/>
      <c r="JE105" s="2236"/>
      <c r="JF105" s="2236"/>
      <c r="JG105" s="2236"/>
      <c r="JH105" s="2236"/>
      <c r="JI105" s="2236"/>
      <c r="JJ105" s="2236"/>
      <c r="JK105" s="2236"/>
      <c r="JL105" s="2236"/>
      <c r="JM105" s="2236"/>
      <c r="JN105" s="2236"/>
      <c r="JO105" s="2236"/>
      <c r="JP105" s="2236"/>
      <c r="JQ105" s="2236"/>
      <c r="JR105" s="2236"/>
      <c r="JS105" s="2236"/>
      <c r="JT105" s="2236"/>
      <c r="JU105" s="2236"/>
      <c r="JV105" s="2236"/>
      <c r="JW105" s="2236"/>
      <c r="JX105" s="2236"/>
      <c r="JY105" s="2236"/>
    </row>
    <row r="106" spans="1:285" ht="36" customHeight="1" x14ac:dyDescent="0.2">
      <c r="A106" s="2215"/>
      <c r="B106" s="2216"/>
      <c r="C106" s="2217"/>
      <c r="D106" s="2216"/>
      <c r="E106" s="2216"/>
      <c r="F106" s="2217"/>
      <c r="G106" s="2249">
        <v>39</v>
      </c>
      <c r="H106" s="2221" t="s">
        <v>2152</v>
      </c>
      <c r="I106" s="2221"/>
      <c r="J106" s="2221"/>
      <c r="K106" s="2222"/>
      <c r="L106" s="2221"/>
      <c r="M106" s="2221"/>
      <c r="N106" s="2223"/>
      <c r="O106" s="2221"/>
      <c r="P106" s="2222"/>
      <c r="Q106" s="2221"/>
      <c r="R106" s="2250"/>
      <c r="S106" s="2222"/>
      <c r="T106" s="2222"/>
      <c r="U106" s="2222"/>
      <c r="V106" s="2251"/>
      <c r="W106" s="2252"/>
      <c r="X106" s="2223"/>
      <c r="Y106" s="2223"/>
      <c r="Z106" s="2223"/>
      <c r="AA106" s="2223"/>
      <c r="AB106" s="2223"/>
      <c r="AC106" s="2223"/>
      <c r="AD106" s="2223"/>
      <c r="AE106" s="2223"/>
      <c r="AF106" s="2223"/>
      <c r="AG106" s="2223"/>
      <c r="AH106" s="2223"/>
      <c r="AI106" s="2223"/>
      <c r="AJ106" s="2223"/>
      <c r="AK106" s="2223"/>
      <c r="AL106" s="2223"/>
      <c r="AM106" s="2223"/>
      <c r="AN106" s="2223"/>
      <c r="AO106" s="2223"/>
      <c r="AP106" s="2221"/>
      <c r="AQ106" s="2228"/>
    </row>
    <row r="107" spans="1:285" s="2236" customFormat="1" ht="113.25" customHeight="1" x14ac:dyDescent="0.2">
      <c r="A107" s="2229"/>
      <c r="B107" s="2230"/>
      <c r="C107" s="2231"/>
      <c r="D107" s="2230"/>
      <c r="E107" s="2230"/>
      <c r="F107" s="2231"/>
      <c r="G107" s="2232"/>
      <c r="H107" s="2233"/>
      <c r="I107" s="2234"/>
      <c r="J107" s="3898">
        <v>139</v>
      </c>
      <c r="K107" s="3866" t="s">
        <v>2153</v>
      </c>
      <c r="L107" s="3863" t="s">
        <v>2040</v>
      </c>
      <c r="M107" s="3863">
        <v>1</v>
      </c>
      <c r="N107" s="3863" t="s">
        <v>2154</v>
      </c>
      <c r="O107" s="3863" t="s">
        <v>2155</v>
      </c>
      <c r="P107" s="3866" t="s">
        <v>2156</v>
      </c>
      <c r="Q107" s="3917">
        <f>SUM(V107:V111)/R107</f>
        <v>0.65300546448087426</v>
      </c>
      <c r="R107" s="3883">
        <f>SUM(V107:V119)</f>
        <v>183000000</v>
      </c>
      <c r="S107" s="3866" t="s">
        <v>2157</v>
      </c>
      <c r="T107" s="3866" t="s">
        <v>2158</v>
      </c>
      <c r="U107" s="2238" t="s">
        <v>2159</v>
      </c>
      <c r="V107" s="1831">
        <v>28000000</v>
      </c>
      <c r="W107" s="2235">
        <v>61</v>
      </c>
      <c r="X107" s="3863" t="s">
        <v>2094</v>
      </c>
      <c r="Y107" s="3863">
        <v>292684</v>
      </c>
      <c r="Z107" s="3863">
        <v>282326</v>
      </c>
      <c r="AA107" s="3863">
        <v>135912</v>
      </c>
      <c r="AB107" s="3863">
        <v>45122</v>
      </c>
      <c r="AC107" s="3863">
        <f>SUM(AC85)</f>
        <v>307101</v>
      </c>
      <c r="AD107" s="3863">
        <f>SUM(AD85)</f>
        <v>86875</v>
      </c>
      <c r="AE107" s="3863">
        <f>SUM(AE85)</f>
        <v>2145</v>
      </c>
      <c r="AF107" s="3863">
        <v>12718</v>
      </c>
      <c r="AG107" s="3863">
        <v>26</v>
      </c>
      <c r="AH107" s="3863">
        <v>37</v>
      </c>
      <c r="AI107" s="3863" t="s">
        <v>2047</v>
      </c>
      <c r="AJ107" s="3863" t="s">
        <v>2047</v>
      </c>
      <c r="AK107" s="3863">
        <v>53164</v>
      </c>
      <c r="AL107" s="3863">
        <v>16982</v>
      </c>
      <c r="AM107" s="3863">
        <v>60013</v>
      </c>
      <c r="AN107" s="3863">
        <v>575010</v>
      </c>
      <c r="AO107" s="3878">
        <v>43467</v>
      </c>
      <c r="AP107" s="3878">
        <v>43830</v>
      </c>
      <c r="AQ107" s="3880" t="s">
        <v>2048</v>
      </c>
    </row>
    <row r="108" spans="1:285" s="2236" customFormat="1" ht="40.5" customHeight="1" x14ac:dyDescent="0.2">
      <c r="A108" s="2229"/>
      <c r="B108" s="2230"/>
      <c r="C108" s="2231"/>
      <c r="D108" s="2230"/>
      <c r="E108" s="2230"/>
      <c r="F108" s="2231"/>
      <c r="G108" s="2237"/>
      <c r="H108" s="2230"/>
      <c r="I108" s="2231"/>
      <c r="J108" s="3899"/>
      <c r="K108" s="3867"/>
      <c r="L108" s="3864"/>
      <c r="M108" s="3864"/>
      <c r="N108" s="3864"/>
      <c r="O108" s="3864"/>
      <c r="P108" s="3867"/>
      <c r="Q108" s="3918"/>
      <c r="R108" s="3884"/>
      <c r="S108" s="3867"/>
      <c r="T108" s="3867"/>
      <c r="U108" s="4021" t="s">
        <v>2160</v>
      </c>
      <c r="V108" s="1831">
        <v>28000000</v>
      </c>
      <c r="W108" s="2235">
        <v>61</v>
      </c>
      <c r="X108" s="3864"/>
      <c r="Y108" s="3864"/>
      <c r="Z108" s="3864"/>
      <c r="AA108" s="3864"/>
      <c r="AB108" s="3864"/>
      <c r="AC108" s="3864"/>
      <c r="AD108" s="3864"/>
      <c r="AE108" s="3864"/>
      <c r="AF108" s="3864"/>
      <c r="AG108" s="3864"/>
      <c r="AH108" s="3864"/>
      <c r="AI108" s="3864"/>
      <c r="AJ108" s="3864"/>
      <c r="AK108" s="3864"/>
      <c r="AL108" s="3864"/>
      <c r="AM108" s="3864"/>
      <c r="AN108" s="3864"/>
      <c r="AO108" s="3879"/>
      <c r="AP108" s="3879"/>
      <c r="AQ108" s="3881"/>
    </row>
    <row r="109" spans="1:285" s="2236" customFormat="1" ht="38.25" customHeight="1" x14ac:dyDescent="0.2">
      <c r="A109" s="2229"/>
      <c r="B109" s="2230"/>
      <c r="C109" s="2231"/>
      <c r="D109" s="2230"/>
      <c r="E109" s="2230"/>
      <c r="F109" s="2231"/>
      <c r="G109" s="2237"/>
      <c r="H109" s="2230"/>
      <c r="I109" s="2231"/>
      <c r="J109" s="3899"/>
      <c r="K109" s="3867"/>
      <c r="L109" s="3864"/>
      <c r="M109" s="3864"/>
      <c r="N109" s="3864"/>
      <c r="O109" s="3864"/>
      <c r="P109" s="3867"/>
      <c r="Q109" s="3918"/>
      <c r="R109" s="3884"/>
      <c r="S109" s="3867"/>
      <c r="T109" s="3867"/>
      <c r="U109" s="4022"/>
      <c r="V109" s="1831">
        <v>7500000</v>
      </c>
      <c r="W109" s="2267">
        <v>98</v>
      </c>
      <c r="X109" s="3864"/>
      <c r="Y109" s="3864"/>
      <c r="Z109" s="3864"/>
      <c r="AA109" s="3864"/>
      <c r="AB109" s="3864"/>
      <c r="AC109" s="3864"/>
      <c r="AD109" s="3864"/>
      <c r="AE109" s="3864"/>
      <c r="AF109" s="3864"/>
      <c r="AG109" s="3864"/>
      <c r="AH109" s="3864"/>
      <c r="AI109" s="3864"/>
      <c r="AJ109" s="3864"/>
      <c r="AK109" s="3864"/>
      <c r="AL109" s="3864"/>
      <c r="AM109" s="3864"/>
      <c r="AN109" s="3864"/>
      <c r="AO109" s="3879"/>
      <c r="AP109" s="3879"/>
      <c r="AQ109" s="3881"/>
    </row>
    <row r="110" spans="1:285" s="2236" customFormat="1" ht="75.75" customHeight="1" x14ac:dyDescent="0.2">
      <c r="A110" s="2229"/>
      <c r="B110" s="2230"/>
      <c r="C110" s="2231"/>
      <c r="D110" s="2230"/>
      <c r="E110" s="2230"/>
      <c r="F110" s="2231"/>
      <c r="G110" s="2237"/>
      <c r="H110" s="2230"/>
      <c r="I110" s="2231"/>
      <c r="J110" s="3899"/>
      <c r="K110" s="3867"/>
      <c r="L110" s="3864"/>
      <c r="M110" s="3864"/>
      <c r="N110" s="3864"/>
      <c r="O110" s="3864"/>
      <c r="P110" s="3867"/>
      <c r="Q110" s="3918"/>
      <c r="R110" s="3884"/>
      <c r="S110" s="3867"/>
      <c r="T110" s="3867"/>
      <c r="U110" s="2238" t="s">
        <v>2161</v>
      </c>
      <c r="V110" s="1831">
        <v>28000000</v>
      </c>
      <c r="W110" s="2235">
        <v>61</v>
      </c>
      <c r="X110" s="3864"/>
      <c r="Y110" s="3864"/>
      <c r="Z110" s="3864"/>
      <c r="AA110" s="3864"/>
      <c r="AB110" s="3864"/>
      <c r="AC110" s="3864"/>
      <c r="AD110" s="3864"/>
      <c r="AE110" s="3864"/>
      <c r="AF110" s="3864"/>
      <c r="AG110" s="3864"/>
      <c r="AH110" s="3864"/>
      <c r="AI110" s="3864"/>
      <c r="AJ110" s="3864"/>
      <c r="AK110" s="3864"/>
      <c r="AL110" s="3864"/>
      <c r="AM110" s="3864"/>
      <c r="AN110" s="3864"/>
      <c r="AO110" s="3879"/>
      <c r="AP110" s="3879"/>
      <c r="AQ110" s="3881"/>
    </row>
    <row r="111" spans="1:285" s="2236" customFormat="1" ht="86.25" customHeight="1" x14ac:dyDescent="0.2">
      <c r="A111" s="2229"/>
      <c r="B111" s="2230"/>
      <c r="C111" s="2231"/>
      <c r="D111" s="2230"/>
      <c r="E111" s="2230"/>
      <c r="F111" s="2231"/>
      <c r="G111" s="2237"/>
      <c r="H111" s="2230"/>
      <c r="I111" s="2231"/>
      <c r="J111" s="3900"/>
      <c r="K111" s="3868"/>
      <c r="L111" s="3865"/>
      <c r="M111" s="3865"/>
      <c r="N111" s="3864"/>
      <c r="O111" s="3864"/>
      <c r="P111" s="3867"/>
      <c r="Q111" s="3919"/>
      <c r="R111" s="3884"/>
      <c r="S111" s="3867"/>
      <c r="T111" s="3868"/>
      <c r="U111" s="2238" t="s">
        <v>2162</v>
      </c>
      <c r="V111" s="1831">
        <v>28000000</v>
      </c>
      <c r="W111" s="2235">
        <v>61</v>
      </c>
      <c r="X111" s="3864"/>
      <c r="Y111" s="3864"/>
      <c r="Z111" s="3864"/>
      <c r="AA111" s="3864"/>
      <c r="AB111" s="3864"/>
      <c r="AC111" s="3864"/>
      <c r="AD111" s="3864"/>
      <c r="AE111" s="3864"/>
      <c r="AF111" s="3864"/>
      <c r="AG111" s="3864"/>
      <c r="AH111" s="3864"/>
      <c r="AI111" s="3864"/>
      <c r="AJ111" s="3864"/>
      <c r="AK111" s="3864"/>
      <c r="AL111" s="3864"/>
      <c r="AM111" s="3864"/>
      <c r="AN111" s="3864"/>
      <c r="AO111" s="3879"/>
      <c r="AP111" s="3879"/>
      <c r="AQ111" s="3881"/>
    </row>
    <row r="112" spans="1:285" s="2236" customFormat="1" ht="70.5" customHeight="1" x14ac:dyDescent="0.2">
      <c r="A112" s="2229"/>
      <c r="B112" s="2230"/>
      <c r="C112" s="2231"/>
      <c r="D112" s="2230"/>
      <c r="E112" s="2230"/>
      <c r="F112" s="2231"/>
      <c r="G112" s="2237"/>
      <c r="H112" s="2230"/>
      <c r="I112" s="2231"/>
      <c r="J112" s="4032">
        <v>140</v>
      </c>
      <c r="K112" s="3866" t="s">
        <v>2163</v>
      </c>
      <c r="L112" s="3863" t="s">
        <v>2040</v>
      </c>
      <c r="M112" s="3863">
        <v>1</v>
      </c>
      <c r="N112" s="3864"/>
      <c r="O112" s="3864"/>
      <c r="P112" s="3867"/>
      <c r="Q112" s="3917">
        <f>SUM(V112:V115)/R107</f>
        <v>0.15300546448087432</v>
      </c>
      <c r="R112" s="3884"/>
      <c r="S112" s="3867"/>
      <c r="T112" s="3866" t="s">
        <v>2164</v>
      </c>
      <c r="U112" s="2238" t="s">
        <v>2165</v>
      </c>
      <c r="V112" s="1831">
        <v>7000000</v>
      </c>
      <c r="W112" s="2235">
        <v>61</v>
      </c>
      <c r="X112" s="3864"/>
      <c r="Y112" s="3864"/>
      <c r="Z112" s="3864"/>
      <c r="AA112" s="3864"/>
      <c r="AB112" s="3864"/>
      <c r="AC112" s="3864"/>
      <c r="AD112" s="3864"/>
      <c r="AE112" s="3864"/>
      <c r="AF112" s="3864"/>
      <c r="AG112" s="3864"/>
      <c r="AH112" s="3864"/>
      <c r="AI112" s="3864"/>
      <c r="AJ112" s="3864"/>
      <c r="AK112" s="3864"/>
      <c r="AL112" s="3864"/>
      <c r="AM112" s="3864"/>
      <c r="AN112" s="3864"/>
      <c r="AO112" s="3879"/>
      <c r="AP112" s="3879"/>
      <c r="AQ112" s="3881"/>
    </row>
    <row r="113" spans="1:43" s="2236" customFormat="1" ht="90" customHeight="1" x14ac:dyDescent="0.2">
      <c r="A113" s="2229"/>
      <c r="B113" s="2230"/>
      <c r="C113" s="2231"/>
      <c r="D113" s="2230"/>
      <c r="E113" s="2230"/>
      <c r="F113" s="2231"/>
      <c r="G113" s="2237"/>
      <c r="H113" s="2230"/>
      <c r="I113" s="2231"/>
      <c r="J113" s="4033"/>
      <c r="K113" s="3867"/>
      <c r="L113" s="3864"/>
      <c r="M113" s="3864"/>
      <c r="N113" s="3864"/>
      <c r="O113" s="3864"/>
      <c r="P113" s="3867"/>
      <c r="Q113" s="3918"/>
      <c r="R113" s="3884"/>
      <c r="S113" s="3867"/>
      <c r="T113" s="3867"/>
      <c r="U113" s="2238" t="s">
        <v>2166</v>
      </c>
      <c r="V113" s="1831">
        <v>7000000</v>
      </c>
      <c r="W113" s="2235">
        <v>61</v>
      </c>
      <c r="X113" s="3864"/>
      <c r="Y113" s="3864"/>
      <c r="Z113" s="3864"/>
      <c r="AA113" s="3864"/>
      <c r="AB113" s="3864"/>
      <c r="AC113" s="3864"/>
      <c r="AD113" s="3864"/>
      <c r="AE113" s="3864"/>
      <c r="AF113" s="3864"/>
      <c r="AG113" s="3864"/>
      <c r="AH113" s="3864"/>
      <c r="AI113" s="3864"/>
      <c r="AJ113" s="3864"/>
      <c r="AK113" s="3864"/>
      <c r="AL113" s="3864"/>
      <c r="AM113" s="3864"/>
      <c r="AN113" s="3864"/>
      <c r="AO113" s="3879"/>
      <c r="AP113" s="3879"/>
      <c r="AQ113" s="3881"/>
    </row>
    <row r="114" spans="1:43" s="2236" customFormat="1" ht="42.75" x14ac:dyDescent="0.2">
      <c r="A114" s="2229"/>
      <c r="B114" s="2230"/>
      <c r="C114" s="2231"/>
      <c r="D114" s="2230"/>
      <c r="E114" s="2230"/>
      <c r="F114" s="2231"/>
      <c r="G114" s="2237"/>
      <c r="H114" s="2230"/>
      <c r="I114" s="2231"/>
      <c r="J114" s="4033"/>
      <c r="K114" s="3867"/>
      <c r="L114" s="3864"/>
      <c r="M114" s="3864"/>
      <c r="N114" s="3864"/>
      <c r="O114" s="3864"/>
      <c r="P114" s="3867"/>
      <c r="Q114" s="3918"/>
      <c r="R114" s="3884"/>
      <c r="S114" s="3867"/>
      <c r="T114" s="3867"/>
      <c r="U114" s="2238" t="s">
        <v>2167</v>
      </c>
      <c r="V114" s="1831">
        <v>7000000</v>
      </c>
      <c r="W114" s="2235">
        <v>61</v>
      </c>
      <c r="X114" s="3864"/>
      <c r="Y114" s="3864"/>
      <c r="Z114" s="3864"/>
      <c r="AA114" s="3864"/>
      <c r="AB114" s="3864"/>
      <c r="AC114" s="3864"/>
      <c r="AD114" s="3864"/>
      <c r="AE114" s="3864"/>
      <c r="AF114" s="3864"/>
      <c r="AG114" s="3864"/>
      <c r="AH114" s="3864"/>
      <c r="AI114" s="3864"/>
      <c r="AJ114" s="3864"/>
      <c r="AK114" s="3864"/>
      <c r="AL114" s="3864"/>
      <c r="AM114" s="3864"/>
      <c r="AN114" s="3864"/>
      <c r="AO114" s="3879"/>
      <c r="AP114" s="3879"/>
      <c r="AQ114" s="3881"/>
    </row>
    <row r="115" spans="1:43" s="2236" customFormat="1" ht="80.25" customHeight="1" x14ac:dyDescent="0.2">
      <c r="A115" s="2229"/>
      <c r="B115" s="2230"/>
      <c r="C115" s="2231"/>
      <c r="D115" s="2230"/>
      <c r="E115" s="2230"/>
      <c r="F115" s="2231"/>
      <c r="G115" s="2237"/>
      <c r="H115" s="2230"/>
      <c r="I115" s="2231"/>
      <c r="J115" s="4034"/>
      <c r="K115" s="3868"/>
      <c r="L115" s="3865"/>
      <c r="M115" s="3865"/>
      <c r="N115" s="3864"/>
      <c r="O115" s="3864"/>
      <c r="P115" s="3867"/>
      <c r="Q115" s="3919"/>
      <c r="R115" s="3884"/>
      <c r="S115" s="3867"/>
      <c r="T115" s="3868"/>
      <c r="U115" s="2238" t="s">
        <v>2168</v>
      </c>
      <c r="V115" s="1831">
        <v>7000000</v>
      </c>
      <c r="W115" s="2235">
        <v>61</v>
      </c>
      <c r="X115" s="3864"/>
      <c r="Y115" s="3864"/>
      <c r="Z115" s="3864"/>
      <c r="AA115" s="3864"/>
      <c r="AB115" s="3864"/>
      <c r="AC115" s="3864"/>
      <c r="AD115" s="3864"/>
      <c r="AE115" s="3864"/>
      <c r="AF115" s="3864"/>
      <c r="AG115" s="3864"/>
      <c r="AH115" s="3864"/>
      <c r="AI115" s="3864"/>
      <c r="AJ115" s="3864"/>
      <c r="AK115" s="3864"/>
      <c r="AL115" s="3864"/>
      <c r="AM115" s="3864"/>
      <c r="AN115" s="3864"/>
      <c r="AO115" s="3879"/>
      <c r="AP115" s="3879"/>
      <c r="AQ115" s="3881"/>
    </row>
    <row r="116" spans="1:43" s="2236" customFormat="1" ht="62.25" customHeight="1" x14ac:dyDescent="0.2">
      <c r="A116" s="2229"/>
      <c r="B116" s="2230"/>
      <c r="C116" s="2231"/>
      <c r="D116" s="2230"/>
      <c r="E116" s="2230"/>
      <c r="F116" s="2231"/>
      <c r="G116" s="2237"/>
      <c r="H116" s="2230"/>
      <c r="I116" s="2231"/>
      <c r="J116" s="3898">
        <v>141</v>
      </c>
      <c r="K116" s="3866" t="s">
        <v>2169</v>
      </c>
      <c r="L116" s="3863" t="s">
        <v>2040</v>
      </c>
      <c r="M116" s="3863">
        <v>1</v>
      </c>
      <c r="N116" s="3864"/>
      <c r="O116" s="3864"/>
      <c r="P116" s="3867"/>
      <c r="Q116" s="3917">
        <f>SUM(V116:V119)/R107</f>
        <v>0.19398907103825136</v>
      </c>
      <c r="R116" s="3884"/>
      <c r="S116" s="3867"/>
      <c r="T116" s="3866" t="s">
        <v>2170</v>
      </c>
      <c r="U116" s="2238" t="s">
        <v>2171</v>
      </c>
      <c r="V116" s="1831">
        <v>10000000</v>
      </c>
      <c r="W116" s="2235">
        <v>61</v>
      </c>
      <c r="X116" s="3864"/>
      <c r="Y116" s="3864"/>
      <c r="Z116" s="3864"/>
      <c r="AA116" s="3864"/>
      <c r="AB116" s="3864"/>
      <c r="AC116" s="3864"/>
      <c r="AD116" s="3864"/>
      <c r="AE116" s="3864"/>
      <c r="AF116" s="3864"/>
      <c r="AG116" s="3864"/>
      <c r="AH116" s="3864"/>
      <c r="AI116" s="3864"/>
      <c r="AJ116" s="3864"/>
      <c r="AK116" s="3864"/>
      <c r="AL116" s="3864"/>
      <c r="AM116" s="3864"/>
      <c r="AN116" s="3864"/>
      <c r="AO116" s="3879"/>
      <c r="AP116" s="3879"/>
      <c r="AQ116" s="3881"/>
    </row>
    <row r="117" spans="1:43" s="2236" customFormat="1" ht="124.5" customHeight="1" x14ac:dyDescent="0.2">
      <c r="A117" s="2229"/>
      <c r="B117" s="2230"/>
      <c r="C117" s="2231"/>
      <c r="D117" s="2230"/>
      <c r="E117" s="2230"/>
      <c r="F117" s="2231"/>
      <c r="G117" s="2237"/>
      <c r="H117" s="2230"/>
      <c r="I117" s="2231"/>
      <c r="J117" s="3899"/>
      <c r="K117" s="3867"/>
      <c r="L117" s="3864"/>
      <c r="M117" s="3864"/>
      <c r="N117" s="3864"/>
      <c r="O117" s="3864"/>
      <c r="P117" s="3867"/>
      <c r="Q117" s="3918"/>
      <c r="R117" s="3884"/>
      <c r="S117" s="3867"/>
      <c r="T117" s="3867"/>
      <c r="U117" s="2238" t="s">
        <v>2172</v>
      </c>
      <c r="V117" s="1831">
        <v>10000000</v>
      </c>
      <c r="W117" s="2235">
        <v>61</v>
      </c>
      <c r="X117" s="3864"/>
      <c r="Y117" s="3864"/>
      <c r="Z117" s="3864"/>
      <c r="AA117" s="3864"/>
      <c r="AB117" s="3864"/>
      <c r="AC117" s="3864"/>
      <c r="AD117" s="3864"/>
      <c r="AE117" s="3864"/>
      <c r="AF117" s="3864"/>
      <c r="AG117" s="3864"/>
      <c r="AH117" s="3864"/>
      <c r="AI117" s="3864"/>
      <c r="AJ117" s="3864"/>
      <c r="AK117" s="3864"/>
      <c r="AL117" s="3864"/>
      <c r="AM117" s="3864"/>
      <c r="AN117" s="3864"/>
      <c r="AO117" s="3879"/>
      <c r="AP117" s="3879"/>
      <c r="AQ117" s="3881"/>
    </row>
    <row r="118" spans="1:43" s="2236" customFormat="1" ht="44.25" customHeight="1" x14ac:dyDescent="0.2">
      <c r="A118" s="2229"/>
      <c r="B118" s="2230"/>
      <c r="C118" s="2231"/>
      <c r="D118" s="2230"/>
      <c r="E118" s="2230"/>
      <c r="F118" s="2231"/>
      <c r="G118" s="2237"/>
      <c r="H118" s="2230"/>
      <c r="I118" s="2231"/>
      <c r="J118" s="3899"/>
      <c r="K118" s="3867"/>
      <c r="L118" s="3864"/>
      <c r="M118" s="3864"/>
      <c r="N118" s="3864"/>
      <c r="O118" s="3864"/>
      <c r="P118" s="3867"/>
      <c r="Q118" s="3918"/>
      <c r="R118" s="3884"/>
      <c r="S118" s="3867"/>
      <c r="T118" s="3867"/>
      <c r="U118" s="4021" t="s">
        <v>2173</v>
      </c>
      <c r="V118" s="1831">
        <v>7500000</v>
      </c>
      <c r="W118" s="2267">
        <v>98</v>
      </c>
      <c r="X118" s="3864"/>
      <c r="Y118" s="3864"/>
      <c r="Z118" s="3864"/>
      <c r="AA118" s="3864"/>
      <c r="AB118" s="3864"/>
      <c r="AC118" s="3864"/>
      <c r="AD118" s="3864"/>
      <c r="AE118" s="3864"/>
      <c r="AF118" s="3864"/>
      <c r="AG118" s="3864"/>
      <c r="AH118" s="3864"/>
      <c r="AI118" s="3864"/>
      <c r="AJ118" s="3864"/>
      <c r="AK118" s="3864"/>
      <c r="AL118" s="3864"/>
      <c r="AM118" s="3864"/>
      <c r="AN118" s="3864"/>
      <c r="AO118" s="3879"/>
      <c r="AP118" s="3879"/>
      <c r="AQ118" s="3881"/>
    </row>
    <row r="119" spans="1:43" s="2236" customFormat="1" ht="37.5" customHeight="1" x14ac:dyDescent="0.2">
      <c r="A119" s="2229"/>
      <c r="B119" s="2230"/>
      <c r="C119" s="2231"/>
      <c r="D119" s="2230"/>
      <c r="E119" s="2230"/>
      <c r="F119" s="2231"/>
      <c r="G119" s="2241"/>
      <c r="H119" s="2239"/>
      <c r="I119" s="2240"/>
      <c r="J119" s="3900"/>
      <c r="K119" s="3868"/>
      <c r="L119" s="3865"/>
      <c r="M119" s="3865"/>
      <c r="N119" s="3865"/>
      <c r="O119" s="3865"/>
      <c r="P119" s="3868"/>
      <c r="Q119" s="3919"/>
      <c r="R119" s="3904"/>
      <c r="S119" s="3868"/>
      <c r="T119" s="3868"/>
      <c r="U119" s="4022"/>
      <c r="V119" s="1831">
        <v>8000000</v>
      </c>
      <c r="W119" s="2235">
        <v>61</v>
      </c>
      <c r="X119" s="3865"/>
      <c r="Y119" s="3865"/>
      <c r="Z119" s="3865"/>
      <c r="AA119" s="3865"/>
      <c r="AB119" s="3865"/>
      <c r="AC119" s="3865"/>
      <c r="AD119" s="3865"/>
      <c r="AE119" s="3865"/>
      <c r="AF119" s="3865"/>
      <c r="AG119" s="3865"/>
      <c r="AH119" s="3865"/>
      <c r="AI119" s="3865"/>
      <c r="AJ119" s="3865"/>
      <c r="AK119" s="3865"/>
      <c r="AL119" s="3865"/>
      <c r="AM119" s="3865"/>
      <c r="AN119" s="3865"/>
      <c r="AO119" s="3901"/>
      <c r="AP119" s="3901"/>
      <c r="AQ119" s="3887"/>
    </row>
    <row r="120" spans="1:43" ht="36" customHeight="1" x14ac:dyDescent="0.2">
      <c r="A120" s="2215"/>
      <c r="B120" s="2216"/>
      <c r="C120" s="2217"/>
      <c r="D120" s="2216"/>
      <c r="E120" s="2216"/>
      <c r="F120" s="2217"/>
      <c r="G120" s="2249">
        <v>40</v>
      </c>
      <c r="H120" s="2221" t="s">
        <v>2174</v>
      </c>
      <c r="I120" s="2221"/>
      <c r="J120" s="2221"/>
      <c r="K120" s="2222"/>
      <c r="L120" s="2221"/>
      <c r="M120" s="2221"/>
      <c r="N120" s="2223"/>
      <c r="O120" s="2221"/>
      <c r="P120" s="2222"/>
      <c r="Q120" s="2221"/>
      <c r="R120" s="2250"/>
      <c r="S120" s="2222"/>
      <c r="T120" s="2222"/>
      <c r="U120" s="2222"/>
      <c r="V120" s="2251"/>
      <c r="W120" s="2252"/>
      <c r="X120" s="2268"/>
      <c r="Y120" s="2223"/>
      <c r="Z120" s="2223"/>
      <c r="AA120" s="2223"/>
      <c r="AB120" s="2223"/>
      <c r="AC120" s="2223"/>
      <c r="AD120" s="2223"/>
      <c r="AE120" s="2223"/>
      <c r="AF120" s="2223"/>
      <c r="AG120" s="2223"/>
      <c r="AH120" s="2223"/>
      <c r="AI120" s="2223"/>
      <c r="AJ120" s="2223"/>
      <c r="AK120" s="2223"/>
      <c r="AL120" s="2223"/>
      <c r="AM120" s="2223"/>
      <c r="AN120" s="2223"/>
      <c r="AO120" s="2223"/>
      <c r="AP120" s="2221"/>
      <c r="AQ120" s="2228"/>
    </row>
    <row r="121" spans="1:43" ht="60" customHeight="1" x14ac:dyDescent="0.2">
      <c r="A121" s="2254"/>
      <c r="B121" s="2255"/>
      <c r="C121" s="2256"/>
      <c r="D121" s="2255"/>
      <c r="E121" s="2255"/>
      <c r="F121" s="2256"/>
      <c r="G121" s="2257"/>
      <c r="H121" s="2258"/>
      <c r="I121" s="2259"/>
      <c r="J121" s="3898">
        <v>142</v>
      </c>
      <c r="K121" s="3866" t="s">
        <v>2175</v>
      </c>
      <c r="L121" s="3863" t="s">
        <v>2040</v>
      </c>
      <c r="M121" s="3863">
        <v>12</v>
      </c>
      <c r="N121" s="3863" t="s">
        <v>2176</v>
      </c>
      <c r="O121" s="3863" t="s">
        <v>2177</v>
      </c>
      <c r="P121" s="3866" t="s">
        <v>2178</v>
      </c>
      <c r="Q121" s="4031">
        <f>SUM(V121:V125)/R121</f>
        <v>0.74584771050059628</v>
      </c>
      <c r="R121" s="3883">
        <f>SUM(V121:V130)</f>
        <v>151105914</v>
      </c>
      <c r="S121" s="3866" t="s">
        <v>2179</v>
      </c>
      <c r="T121" s="3866" t="s">
        <v>2180</v>
      </c>
      <c r="U121" s="2269" t="s">
        <v>2181</v>
      </c>
      <c r="V121" s="2042">
        <v>25000000</v>
      </c>
      <c r="W121" s="2270">
        <v>61</v>
      </c>
      <c r="X121" s="4026" t="s">
        <v>2182</v>
      </c>
      <c r="Y121" s="4028" t="s">
        <v>2047</v>
      </c>
      <c r="Z121" s="4028" t="s">
        <v>2047</v>
      </c>
      <c r="AA121" s="3986">
        <v>64149</v>
      </c>
      <c r="AB121" s="3986" t="s">
        <v>2047</v>
      </c>
      <c r="AC121" s="3986" t="s">
        <v>2047</v>
      </c>
      <c r="AD121" s="3986" t="s">
        <v>2047</v>
      </c>
      <c r="AE121" s="3986" t="s">
        <v>2047</v>
      </c>
      <c r="AF121" s="3986" t="s">
        <v>2047</v>
      </c>
      <c r="AG121" s="3986" t="s">
        <v>2047</v>
      </c>
      <c r="AH121" s="3986" t="s">
        <v>2047</v>
      </c>
      <c r="AI121" s="3986" t="s">
        <v>2047</v>
      </c>
      <c r="AJ121" s="3986" t="s">
        <v>2047</v>
      </c>
      <c r="AK121" s="3986" t="s">
        <v>2047</v>
      </c>
      <c r="AL121" s="3986" t="s">
        <v>2047</v>
      </c>
      <c r="AM121" s="3986" t="s">
        <v>2047</v>
      </c>
      <c r="AN121" s="3986">
        <v>64149</v>
      </c>
      <c r="AO121" s="3878">
        <v>43467</v>
      </c>
      <c r="AP121" s="3878">
        <v>43830</v>
      </c>
      <c r="AQ121" s="3880" t="s">
        <v>2048</v>
      </c>
    </row>
    <row r="122" spans="1:43" ht="57" x14ac:dyDescent="0.2">
      <c r="A122" s="2254"/>
      <c r="B122" s="2255"/>
      <c r="C122" s="2256"/>
      <c r="D122" s="2255"/>
      <c r="E122" s="2255"/>
      <c r="F122" s="2256"/>
      <c r="G122" s="2260"/>
      <c r="H122" s="2255"/>
      <c r="I122" s="2256"/>
      <c r="J122" s="3899"/>
      <c r="K122" s="3867"/>
      <c r="L122" s="3864"/>
      <c r="M122" s="3864"/>
      <c r="N122" s="3864"/>
      <c r="O122" s="3864"/>
      <c r="P122" s="3867"/>
      <c r="Q122" s="4031"/>
      <c r="R122" s="3884"/>
      <c r="S122" s="3867"/>
      <c r="T122" s="3867"/>
      <c r="U122" s="2269" t="s">
        <v>2183</v>
      </c>
      <c r="V122" s="2048">
        <v>25000000</v>
      </c>
      <c r="W122" s="2270">
        <v>61</v>
      </c>
      <c r="X122" s="4027"/>
      <c r="Y122" s="4029"/>
      <c r="Z122" s="4029"/>
      <c r="AA122" s="3921"/>
      <c r="AB122" s="3921"/>
      <c r="AC122" s="3921"/>
      <c r="AD122" s="3921"/>
      <c r="AE122" s="3921"/>
      <c r="AF122" s="3921"/>
      <c r="AG122" s="3921"/>
      <c r="AH122" s="3921"/>
      <c r="AI122" s="3921"/>
      <c r="AJ122" s="3921"/>
      <c r="AK122" s="3921"/>
      <c r="AL122" s="3921"/>
      <c r="AM122" s="3921"/>
      <c r="AN122" s="3921"/>
      <c r="AO122" s="3879"/>
      <c r="AP122" s="3879"/>
      <c r="AQ122" s="3881"/>
    </row>
    <row r="123" spans="1:43" ht="77.25" customHeight="1" x14ac:dyDescent="0.2">
      <c r="A123" s="2254"/>
      <c r="B123" s="2255"/>
      <c r="C123" s="2256"/>
      <c r="D123" s="2255"/>
      <c r="E123" s="2255"/>
      <c r="F123" s="2256"/>
      <c r="G123" s="2260"/>
      <c r="H123" s="2255"/>
      <c r="I123" s="2256"/>
      <c r="J123" s="3899"/>
      <c r="K123" s="3867"/>
      <c r="L123" s="3864"/>
      <c r="M123" s="3864"/>
      <c r="N123" s="3864"/>
      <c r="O123" s="3864"/>
      <c r="P123" s="3867"/>
      <c r="Q123" s="4031"/>
      <c r="R123" s="3884"/>
      <c r="S123" s="3867"/>
      <c r="T123" s="3867"/>
      <c r="U123" s="2269" t="s">
        <v>2184</v>
      </c>
      <c r="V123" s="2048">
        <v>25000000</v>
      </c>
      <c r="W123" s="2270">
        <v>61</v>
      </c>
      <c r="X123" s="4027"/>
      <c r="Y123" s="4029"/>
      <c r="Z123" s="4029"/>
      <c r="AA123" s="3921"/>
      <c r="AB123" s="3921"/>
      <c r="AC123" s="3921"/>
      <c r="AD123" s="3921"/>
      <c r="AE123" s="3921"/>
      <c r="AF123" s="3921"/>
      <c r="AG123" s="3921"/>
      <c r="AH123" s="3921"/>
      <c r="AI123" s="3921"/>
      <c r="AJ123" s="3921"/>
      <c r="AK123" s="3921"/>
      <c r="AL123" s="3921"/>
      <c r="AM123" s="3921"/>
      <c r="AN123" s="3921"/>
      <c r="AO123" s="3879"/>
      <c r="AP123" s="3879"/>
      <c r="AQ123" s="3881"/>
    </row>
    <row r="124" spans="1:43" ht="40.5" customHeight="1" x14ac:dyDescent="0.2">
      <c r="A124" s="2254"/>
      <c r="B124" s="2255"/>
      <c r="C124" s="2256"/>
      <c r="D124" s="2255"/>
      <c r="E124" s="2255"/>
      <c r="F124" s="2256"/>
      <c r="G124" s="2260"/>
      <c r="H124" s="2255"/>
      <c r="I124" s="2256"/>
      <c r="J124" s="3899"/>
      <c r="K124" s="3867"/>
      <c r="L124" s="3864"/>
      <c r="M124" s="3864"/>
      <c r="N124" s="3864"/>
      <c r="O124" s="3864"/>
      <c r="P124" s="3867"/>
      <c r="Q124" s="4031"/>
      <c r="R124" s="3884"/>
      <c r="S124" s="3867"/>
      <c r="T124" s="3867"/>
      <c r="U124" s="3866" t="s">
        <v>2185</v>
      </c>
      <c r="V124" s="2048">
        <v>28702000</v>
      </c>
      <c r="W124" s="2270">
        <v>61</v>
      </c>
      <c r="X124" s="4027"/>
      <c r="Y124" s="4029"/>
      <c r="Z124" s="4029"/>
      <c r="AA124" s="3921"/>
      <c r="AB124" s="3921"/>
      <c r="AC124" s="3921"/>
      <c r="AD124" s="3921"/>
      <c r="AE124" s="3921"/>
      <c r="AF124" s="3921"/>
      <c r="AG124" s="3921"/>
      <c r="AH124" s="3921"/>
      <c r="AI124" s="3921"/>
      <c r="AJ124" s="3921"/>
      <c r="AK124" s="3921"/>
      <c r="AL124" s="3921"/>
      <c r="AM124" s="3921"/>
      <c r="AN124" s="3921"/>
      <c r="AO124" s="3879"/>
      <c r="AP124" s="3879"/>
      <c r="AQ124" s="3881"/>
    </row>
    <row r="125" spans="1:43" ht="36.75" customHeight="1" x14ac:dyDescent="0.2">
      <c r="A125" s="2254"/>
      <c r="B125" s="2255"/>
      <c r="C125" s="2256"/>
      <c r="D125" s="2255"/>
      <c r="E125" s="2255"/>
      <c r="F125" s="2256"/>
      <c r="G125" s="2260"/>
      <c r="H125" s="2255"/>
      <c r="I125" s="2256"/>
      <c r="J125" s="3900"/>
      <c r="K125" s="3868"/>
      <c r="L125" s="3865"/>
      <c r="M125" s="3865"/>
      <c r="N125" s="3864"/>
      <c r="O125" s="3864"/>
      <c r="P125" s="3867"/>
      <c r="Q125" s="4031"/>
      <c r="R125" s="3884"/>
      <c r="S125" s="3867"/>
      <c r="T125" s="3868"/>
      <c r="U125" s="3868"/>
      <c r="V125" s="2048">
        <v>9000000</v>
      </c>
      <c r="W125" s="2270">
        <v>161</v>
      </c>
      <c r="X125" s="4027"/>
      <c r="Y125" s="4029"/>
      <c r="Z125" s="4029"/>
      <c r="AA125" s="3921"/>
      <c r="AB125" s="3921"/>
      <c r="AC125" s="3921"/>
      <c r="AD125" s="3921"/>
      <c r="AE125" s="3921"/>
      <c r="AF125" s="3921"/>
      <c r="AG125" s="3921"/>
      <c r="AH125" s="3921"/>
      <c r="AI125" s="3921"/>
      <c r="AJ125" s="3921"/>
      <c r="AK125" s="3921"/>
      <c r="AL125" s="3921"/>
      <c r="AM125" s="3921"/>
      <c r="AN125" s="3921"/>
      <c r="AO125" s="3879"/>
      <c r="AP125" s="3879"/>
      <c r="AQ125" s="3881"/>
    </row>
    <row r="126" spans="1:43" ht="33" customHeight="1" x14ac:dyDescent="0.2">
      <c r="A126" s="2254"/>
      <c r="B126" s="2255"/>
      <c r="C126" s="2256"/>
      <c r="D126" s="2255"/>
      <c r="E126" s="2255"/>
      <c r="F126" s="2256"/>
      <c r="G126" s="2260"/>
      <c r="H126" s="2255"/>
      <c r="I126" s="2256"/>
      <c r="J126" s="3898">
        <v>143</v>
      </c>
      <c r="K126" s="3888" t="s">
        <v>2186</v>
      </c>
      <c r="L126" s="3863" t="s">
        <v>2040</v>
      </c>
      <c r="M126" s="3863">
        <v>1</v>
      </c>
      <c r="N126" s="3864"/>
      <c r="O126" s="3864"/>
      <c r="P126" s="3867"/>
      <c r="Q126" s="3917">
        <f>SUM(V126:V130)/R121</f>
        <v>0.25415228949940372</v>
      </c>
      <c r="R126" s="3884"/>
      <c r="S126" s="3867"/>
      <c r="T126" s="3888" t="s">
        <v>2187</v>
      </c>
      <c r="U126" s="3866" t="s">
        <v>2188</v>
      </c>
      <c r="V126" s="2048">
        <v>2500000</v>
      </c>
      <c r="W126" s="2270">
        <v>20</v>
      </c>
      <c r="X126" s="4027"/>
      <c r="Y126" s="4029"/>
      <c r="Z126" s="4029"/>
      <c r="AA126" s="3921"/>
      <c r="AB126" s="3921"/>
      <c r="AC126" s="3921"/>
      <c r="AD126" s="3921"/>
      <c r="AE126" s="3921"/>
      <c r="AF126" s="3921"/>
      <c r="AG126" s="3921"/>
      <c r="AH126" s="3921"/>
      <c r="AI126" s="3921"/>
      <c r="AJ126" s="3921"/>
      <c r="AK126" s="3921"/>
      <c r="AL126" s="3921"/>
      <c r="AM126" s="3921"/>
      <c r="AN126" s="3921"/>
      <c r="AO126" s="3879"/>
      <c r="AP126" s="3879"/>
      <c r="AQ126" s="3881"/>
    </row>
    <row r="127" spans="1:43" ht="31.5" customHeight="1" x14ac:dyDescent="0.2">
      <c r="A127" s="2254"/>
      <c r="B127" s="2255"/>
      <c r="C127" s="2256"/>
      <c r="D127" s="2255"/>
      <c r="E127" s="2255"/>
      <c r="F127" s="2256"/>
      <c r="G127" s="2260"/>
      <c r="H127" s="2255"/>
      <c r="I127" s="2256"/>
      <c r="J127" s="3899"/>
      <c r="K127" s="3888"/>
      <c r="L127" s="3864"/>
      <c r="M127" s="3864"/>
      <c r="N127" s="3864"/>
      <c r="O127" s="3864"/>
      <c r="P127" s="3867"/>
      <c r="Q127" s="3918"/>
      <c r="R127" s="3884"/>
      <c r="S127" s="3867"/>
      <c r="T127" s="3888"/>
      <c r="U127" s="3868"/>
      <c r="V127" s="2048">
        <v>28403914</v>
      </c>
      <c r="W127" s="2270">
        <v>161</v>
      </c>
      <c r="X127" s="4027"/>
      <c r="Y127" s="4029"/>
      <c r="Z127" s="4029"/>
      <c r="AA127" s="3921"/>
      <c r="AB127" s="3921"/>
      <c r="AC127" s="3921"/>
      <c r="AD127" s="3921"/>
      <c r="AE127" s="3921"/>
      <c r="AF127" s="3921"/>
      <c r="AG127" s="3921"/>
      <c r="AH127" s="3921"/>
      <c r="AI127" s="3921"/>
      <c r="AJ127" s="3921"/>
      <c r="AK127" s="3921"/>
      <c r="AL127" s="3921"/>
      <c r="AM127" s="3921"/>
      <c r="AN127" s="3921"/>
      <c r="AO127" s="3879"/>
      <c r="AP127" s="3879"/>
      <c r="AQ127" s="3881"/>
    </row>
    <row r="128" spans="1:43" ht="64.5" customHeight="1" x14ac:dyDescent="0.2">
      <c r="A128" s="2254"/>
      <c r="B128" s="2255"/>
      <c r="C128" s="2256"/>
      <c r="D128" s="2255"/>
      <c r="E128" s="2255"/>
      <c r="F128" s="2256"/>
      <c r="G128" s="2260"/>
      <c r="H128" s="2255"/>
      <c r="I128" s="2256"/>
      <c r="J128" s="3899"/>
      <c r="K128" s="3888"/>
      <c r="L128" s="3864"/>
      <c r="M128" s="3864"/>
      <c r="N128" s="3864"/>
      <c r="O128" s="3864"/>
      <c r="P128" s="3867"/>
      <c r="Q128" s="3918"/>
      <c r="R128" s="3884"/>
      <c r="S128" s="3867"/>
      <c r="T128" s="3888"/>
      <c r="U128" s="2264" t="s">
        <v>2189</v>
      </c>
      <c r="V128" s="2048">
        <v>2500000</v>
      </c>
      <c r="W128" s="2270">
        <v>20</v>
      </c>
      <c r="X128" s="4027"/>
      <c r="Y128" s="4029"/>
      <c r="Z128" s="4029"/>
      <c r="AA128" s="3921"/>
      <c r="AB128" s="3921"/>
      <c r="AC128" s="3921"/>
      <c r="AD128" s="3921"/>
      <c r="AE128" s="3921"/>
      <c r="AF128" s="3921"/>
      <c r="AG128" s="3921"/>
      <c r="AH128" s="3921"/>
      <c r="AI128" s="3921"/>
      <c r="AJ128" s="3921"/>
      <c r="AK128" s="3921"/>
      <c r="AL128" s="3921"/>
      <c r="AM128" s="3921"/>
      <c r="AN128" s="3921"/>
      <c r="AO128" s="3879"/>
      <c r="AP128" s="3879"/>
      <c r="AQ128" s="3881"/>
    </row>
    <row r="129" spans="1:43" ht="99" customHeight="1" x14ac:dyDescent="0.2">
      <c r="A129" s="2254"/>
      <c r="B129" s="2255"/>
      <c r="C129" s="2256"/>
      <c r="D129" s="2255"/>
      <c r="E129" s="2255"/>
      <c r="F129" s="2256"/>
      <c r="G129" s="2260"/>
      <c r="H129" s="2255"/>
      <c r="I129" s="2256"/>
      <c r="J129" s="3899"/>
      <c r="K129" s="3888"/>
      <c r="L129" s="3864"/>
      <c r="M129" s="3864"/>
      <c r="N129" s="3864"/>
      <c r="O129" s="3864"/>
      <c r="P129" s="3867"/>
      <c r="Q129" s="3918"/>
      <c r="R129" s="3884"/>
      <c r="S129" s="3867"/>
      <c r="T129" s="3888"/>
      <c r="U129" s="2264" t="s">
        <v>2190</v>
      </c>
      <c r="V129" s="2048">
        <v>2500000</v>
      </c>
      <c r="W129" s="2270">
        <v>20</v>
      </c>
      <c r="X129" s="4027"/>
      <c r="Y129" s="4029"/>
      <c r="Z129" s="4029"/>
      <c r="AA129" s="3921"/>
      <c r="AB129" s="3921"/>
      <c r="AC129" s="3921"/>
      <c r="AD129" s="3921"/>
      <c r="AE129" s="3921"/>
      <c r="AF129" s="3921"/>
      <c r="AG129" s="3921"/>
      <c r="AH129" s="3921"/>
      <c r="AI129" s="3921"/>
      <c r="AJ129" s="3921"/>
      <c r="AK129" s="3921"/>
      <c r="AL129" s="3921"/>
      <c r="AM129" s="3921"/>
      <c r="AN129" s="3921"/>
      <c r="AO129" s="3879"/>
      <c r="AP129" s="3879"/>
      <c r="AQ129" s="3881"/>
    </row>
    <row r="130" spans="1:43" ht="78" customHeight="1" x14ac:dyDescent="0.2">
      <c r="A130" s="2254"/>
      <c r="B130" s="2255"/>
      <c r="C130" s="2256"/>
      <c r="D130" s="2255"/>
      <c r="E130" s="2255"/>
      <c r="F130" s="2256"/>
      <c r="G130" s="2260"/>
      <c r="H130" s="2255"/>
      <c r="I130" s="2256"/>
      <c r="J130" s="3900"/>
      <c r="K130" s="3888"/>
      <c r="L130" s="3865"/>
      <c r="M130" s="3865"/>
      <c r="N130" s="3865"/>
      <c r="O130" s="3865"/>
      <c r="P130" s="3867"/>
      <c r="Q130" s="3918"/>
      <c r="R130" s="3904"/>
      <c r="S130" s="3868"/>
      <c r="T130" s="3888"/>
      <c r="U130" s="2264" t="s">
        <v>2191</v>
      </c>
      <c r="V130" s="2042">
        <v>2500000</v>
      </c>
      <c r="W130" s="2270">
        <v>20</v>
      </c>
      <c r="X130" s="4027"/>
      <c r="Y130" s="4030"/>
      <c r="Z130" s="4030"/>
      <c r="AA130" s="3922"/>
      <c r="AB130" s="3922"/>
      <c r="AC130" s="3922"/>
      <c r="AD130" s="3922"/>
      <c r="AE130" s="3922"/>
      <c r="AF130" s="3922"/>
      <c r="AG130" s="3922"/>
      <c r="AH130" s="3922"/>
      <c r="AI130" s="3922"/>
      <c r="AJ130" s="3922"/>
      <c r="AK130" s="3922"/>
      <c r="AL130" s="3922"/>
      <c r="AM130" s="3922"/>
      <c r="AN130" s="3922"/>
      <c r="AO130" s="3901"/>
      <c r="AP130" s="3901"/>
      <c r="AQ130" s="3887"/>
    </row>
    <row r="131" spans="1:43" ht="36" customHeight="1" x14ac:dyDescent="0.2">
      <c r="A131" s="2271"/>
      <c r="B131" s="2272"/>
      <c r="C131" s="2273"/>
      <c r="D131" s="2272"/>
      <c r="E131" s="2272"/>
      <c r="F131" s="2273"/>
      <c r="G131" s="2274"/>
      <c r="H131" s="2272"/>
      <c r="I131" s="2273"/>
      <c r="J131" s="3898">
        <v>144</v>
      </c>
      <c r="K131" s="3889" t="s">
        <v>2192</v>
      </c>
      <c r="L131" s="3898" t="s">
        <v>2040</v>
      </c>
      <c r="M131" s="3898">
        <v>5</v>
      </c>
      <c r="N131" s="3898" t="s">
        <v>2193</v>
      </c>
      <c r="O131" s="4023" t="s">
        <v>2194</v>
      </c>
      <c r="P131" s="3903" t="s">
        <v>2195</v>
      </c>
      <c r="Q131" s="4015">
        <f>SUM(V131:V146)/R131</f>
        <v>0.79586170296807968</v>
      </c>
      <c r="R131" s="4017">
        <f>SUM(V131:V154)</f>
        <v>571611313</v>
      </c>
      <c r="S131" s="3889" t="s">
        <v>2196</v>
      </c>
      <c r="T131" s="3889" t="s">
        <v>2197</v>
      </c>
      <c r="U131" s="4014" t="s">
        <v>2198</v>
      </c>
      <c r="V131" s="2042">
        <f>242840543+9693675</f>
        <v>252534218</v>
      </c>
      <c r="W131" s="2275">
        <v>111</v>
      </c>
      <c r="X131" s="3898" t="s">
        <v>2199</v>
      </c>
      <c r="Y131" s="3995">
        <v>292684</v>
      </c>
      <c r="Z131" s="3995">
        <v>282326</v>
      </c>
      <c r="AA131" s="3995">
        <v>135912</v>
      </c>
      <c r="AB131" s="3995">
        <v>45122</v>
      </c>
      <c r="AC131" s="3995">
        <v>307101</v>
      </c>
      <c r="AD131" s="3995">
        <v>86875</v>
      </c>
      <c r="AE131" s="3995">
        <v>2145</v>
      </c>
      <c r="AF131" s="3995">
        <v>12718</v>
      </c>
      <c r="AG131" s="3995">
        <v>26</v>
      </c>
      <c r="AH131" s="3995">
        <v>37</v>
      </c>
      <c r="AI131" s="3995" t="s">
        <v>2047</v>
      </c>
      <c r="AJ131" s="3995" t="s">
        <v>2047</v>
      </c>
      <c r="AK131" s="3995">
        <v>53164</v>
      </c>
      <c r="AL131" s="3995">
        <v>16982</v>
      </c>
      <c r="AM131" s="3995">
        <v>60013</v>
      </c>
      <c r="AN131" s="3995">
        <v>575010</v>
      </c>
      <c r="AO131" s="4003">
        <v>43467</v>
      </c>
      <c r="AP131" s="4003">
        <v>43830</v>
      </c>
      <c r="AQ131" s="3989" t="s">
        <v>2048</v>
      </c>
    </row>
    <row r="132" spans="1:43" ht="42" customHeight="1" x14ac:dyDescent="0.2">
      <c r="A132" s="2271"/>
      <c r="B132" s="2272"/>
      <c r="C132" s="2273"/>
      <c r="D132" s="2272"/>
      <c r="E132" s="2272"/>
      <c r="F132" s="2273"/>
      <c r="G132" s="2274"/>
      <c r="H132" s="2272"/>
      <c r="I132" s="2273"/>
      <c r="J132" s="3899"/>
      <c r="K132" s="3890"/>
      <c r="L132" s="3899"/>
      <c r="M132" s="3899"/>
      <c r="N132" s="3899"/>
      <c r="O132" s="4024"/>
      <c r="P132" s="3903"/>
      <c r="Q132" s="4015"/>
      <c r="R132" s="4018"/>
      <c r="S132" s="3890"/>
      <c r="T132" s="3890"/>
      <c r="U132" s="4012"/>
      <c r="V132" s="2032">
        <v>80200000</v>
      </c>
      <c r="W132" s="2276">
        <v>61</v>
      </c>
      <c r="X132" s="3899"/>
      <c r="Y132" s="3996"/>
      <c r="Z132" s="3996"/>
      <c r="AA132" s="3996"/>
      <c r="AB132" s="3996"/>
      <c r="AC132" s="3996"/>
      <c r="AD132" s="3996"/>
      <c r="AE132" s="3996"/>
      <c r="AF132" s="3996"/>
      <c r="AG132" s="3996"/>
      <c r="AH132" s="3996"/>
      <c r="AI132" s="3996"/>
      <c r="AJ132" s="3996"/>
      <c r="AK132" s="3996"/>
      <c r="AL132" s="3996"/>
      <c r="AM132" s="3996"/>
      <c r="AN132" s="3996"/>
      <c r="AO132" s="4004"/>
      <c r="AP132" s="4004"/>
      <c r="AQ132" s="3990"/>
    </row>
    <row r="133" spans="1:43" ht="42" customHeight="1" x14ac:dyDescent="0.2">
      <c r="A133" s="2271"/>
      <c r="B133" s="2272"/>
      <c r="C133" s="2273"/>
      <c r="D133" s="2272"/>
      <c r="E133" s="2272"/>
      <c r="F133" s="2273"/>
      <c r="G133" s="2274"/>
      <c r="H133" s="2272"/>
      <c r="I133" s="2273"/>
      <c r="J133" s="3899"/>
      <c r="K133" s="3890"/>
      <c r="L133" s="3899"/>
      <c r="M133" s="3899"/>
      <c r="N133" s="3899"/>
      <c r="O133" s="4024"/>
      <c r="P133" s="3903"/>
      <c r="Q133" s="4015"/>
      <c r="R133" s="4018"/>
      <c r="S133" s="3890"/>
      <c r="T133" s="3890"/>
      <c r="U133" s="4020"/>
      <c r="V133" s="2277">
        <f>0+4271940</f>
        <v>4271940</v>
      </c>
      <c r="W133" s="2278">
        <v>107</v>
      </c>
      <c r="X133" s="3899"/>
      <c r="Y133" s="3996"/>
      <c r="Z133" s="3996"/>
      <c r="AA133" s="3996"/>
      <c r="AB133" s="3996"/>
      <c r="AC133" s="3996"/>
      <c r="AD133" s="3996"/>
      <c r="AE133" s="3996"/>
      <c r="AF133" s="3996"/>
      <c r="AG133" s="3996"/>
      <c r="AH133" s="3996"/>
      <c r="AI133" s="3996"/>
      <c r="AJ133" s="3996"/>
      <c r="AK133" s="3996"/>
      <c r="AL133" s="3996"/>
      <c r="AM133" s="3996"/>
      <c r="AN133" s="3996"/>
      <c r="AO133" s="4004"/>
      <c r="AP133" s="4004"/>
      <c r="AQ133" s="3990"/>
    </row>
    <row r="134" spans="1:43" ht="51" customHeight="1" x14ac:dyDescent="0.2">
      <c r="A134" s="2271"/>
      <c r="B134" s="2272"/>
      <c r="C134" s="2273"/>
      <c r="D134" s="2272"/>
      <c r="E134" s="2272"/>
      <c r="F134" s="2273"/>
      <c r="G134" s="2274"/>
      <c r="H134" s="2272"/>
      <c r="I134" s="2273"/>
      <c r="J134" s="3899"/>
      <c r="K134" s="3890"/>
      <c r="L134" s="3899"/>
      <c r="M134" s="3899"/>
      <c r="N134" s="3899"/>
      <c r="O134" s="4024"/>
      <c r="P134" s="3903"/>
      <c r="Q134" s="4015"/>
      <c r="R134" s="4018"/>
      <c r="S134" s="3890"/>
      <c r="T134" s="3890"/>
      <c r="U134" s="4020"/>
      <c r="V134" s="2277">
        <v>9557695</v>
      </c>
      <c r="W134" s="2278">
        <v>147</v>
      </c>
      <c r="X134" s="3899"/>
      <c r="Y134" s="3996"/>
      <c r="Z134" s="3996"/>
      <c r="AA134" s="3996"/>
      <c r="AB134" s="3996"/>
      <c r="AC134" s="3996"/>
      <c r="AD134" s="3996"/>
      <c r="AE134" s="3996"/>
      <c r="AF134" s="3996"/>
      <c r="AG134" s="3996"/>
      <c r="AH134" s="3996"/>
      <c r="AI134" s="3996"/>
      <c r="AJ134" s="3996"/>
      <c r="AK134" s="3996"/>
      <c r="AL134" s="3996"/>
      <c r="AM134" s="3996"/>
      <c r="AN134" s="3996"/>
      <c r="AO134" s="4004"/>
      <c r="AP134" s="4004"/>
      <c r="AQ134" s="3990"/>
    </row>
    <row r="135" spans="1:43" ht="33.75" customHeight="1" x14ac:dyDescent="0.2">
      <c r="A135" s="2271"/>
      <c r="B135" s="2272"/>
      <c r="C135" s="2273"/>
      <c r="D135" s="2272"/>
      <c r="E135" s="2272"/>
      <c r="F135" s="2273"/>
      <c r="G135" s="2274"/>
      <c r="H135" s="2272"/>
      <c r="I135" s="2273"/>
      <c r="J135" s="3899"/>
      <c r="K135" s="3890"/>
      <c r="L135" s="3899"/>
      <c r="M135" s="3899"/>
      <c r="N135" s="3899"/>
      <c r="O135" s="4024"/>
      <c r="P135" s="3903"/>
      <c r="Q135" s="4015"/>
      <c r="R135" s="4018"/>
      <c r="S135" s="3890"/>
      <c r="T135" s="4019"/>
      <c r="U135" s="4005" t="s">
        <v>2200</v>
      </c>
      <c r="V135" s="2279">
        <v>7000000</v>
      </c>
      <c r="W135" s="2280">
        <v>61</v>
      </c>
      <c r="X135" s="3899"/>
      <c r="Y135" s="3996"/>
      <c r="Z135" s="3996"/>
      <c r="AA135" s="3996"/>
      <c r="AB135" s="3996"/>
      <c r="AC135" s="3996"/>
      <c r="AD135" s="3996"/>
      <c r="AE135" s="3996"/>
      <c r="AF135" s="3996"/>
      <c r="AG135" s="3996"/>
      <c r="AH135" s="3996"/>
      <c r="AI135" s="3996"/>
      <c r="AJ135" s="3996"/>
      <c r="AK135" s="3996"/>
      <c r="AL135" s="3996"/>
      <c r="AM135" s="3996"/>
      <c r="AN135" s="3996"/>
      <c r="AO135" s="4004"/>
      <c r="AP135" s="4004"/>
      <c r="AQ135" s="3990"/>
    </row>
    <row r="136" spans="1:43" ht="28.5" customHeight="1" x14ac:dyDescent="0.2">
      <c r="A136" s="2271"/>
      <c r="B136" s="2272"/>
      <c r="C136" s="2273"/>
      <c r="D136" s="2272"/>
      <c r="E136" s="2272"/>
      <c r="F136" s="2273"/>
      <c r="G136" s="2274"/>
      <c r="H136" s="2272"/>
      <c r="I136" s="2273"/>
      <c r="J136" s="3899"/>
      <c r="K136" s="3890"/>
      <c r="L136" s="3899"/>
      <c r="M136" s="3899"/>
      <c r="N136" s="3899"/>
      <c r="O136" s="4024"/>
      <c r="P136" s="3903"/>
      <c r="Q136" s="4015"/>
      <c r="R136" s="4018"/>
      <c r="S136" s="3890"/>
      <c r="T136" s="4019"/>
      <c r="U136" s="4006"/>
      <c r="V136" s="4008">
        <f>0+4271940</f>
        <v>4271940</v>
      </c>
      <c r="W136" s="4010">
        <v>107</v>
      </c>
      <c r="X136" s="3899"/>
      <c r="Y136" s="3996"/>
      <c r="Z136" s="3996"/>
      <c r="AA136" s="3996"/>
      <c r="AB136" s="3996"/>
      <c r="AC136" s="3996"/>
      <c r="AD136" s="3996"/>
      <c r="AE136" s="3996"/>
      <c r="AF136" s="3996"/>
      <c r="AG136" s="3996"/>
      <c r="AH136" s="3996"/>
      <c r="AI136" s="3996"/>
      <c r="AJ136" s="3996"/>
      <c r="AK136" s="3996"/>
      <c r="AL136" s="3996"/>
      <c r="AM136" s="3996"/>
      <c r="AN136" s="3996"/>
      <c r="AO136" s="4004"/>
      <c r="AP136" s="4004"/>
      <c r="AQ136" s="3990"/>
    </row>
    <row r="137" spans="1:43" ht="24" customHeight="1" x14ac:dyDescent="0.2">
      <c r="A137" s="2271"/>
      <c r="B137" s="2272"/>
      <c r="C137" s="2273"/>
      <c r="D137" s="2272"/>
      <c r="E137" s="2272"/>
      <c r="F137" s="2273"/>
      <c r="G137" s="2274"/>
      <c r="H137" s="2272"/>
      <c r="I137" s="2273"/>
      <c r="J137" s="3899"/>
      <c r="K137" s="3890"/>
      <c r="L137" s="3899"/>
      <c r="M137" s="3899"/>
      <c r="N137" s="3899"/>
      <c r="O137" s="4024"/>
      <c r="P137" s="3903"/>
      <c r="Q137" s="4015"/>
      <c r="R137" s="4018"/>
      <c r="S137" s="3890"/>
      <c r="T137" s="4019"/>
      <c r="U137" s="4007"/>
      <c r="V137" s="4009"/>
      <c r="W137" s="4011"/>
      <c r="X137" s="3899"/>
      <c r="Y137" s="3996"/>
      <c r="Z137" s="3996"/>
      <c r="AA137" s="3996"/>
      <c r="AB137" s="3996"/>
      <c r="AC137" s="3996"/>
      <c r="AD137" s="3996"/>
      <c r="AE137" s="3996"/>
      <c r="AF137" s="3996"/>
      <c r="AG137" s="3996"/>
      <c r="AH137" s="3996"/>
      <c r="AI137" s="3996"/>
      <c r="AJ137" s="3996"/>
      <c r="AK137" s="3996"/>
      <c r="AL137" s="3996"/>
      <c r="AM137" s="3996"/>
      <c r="AN137" s="3996"/>
      <c r="AO137" s="4004"/>
      <c r="AP137" s="4004"/>
      <c r="AQ137" s="3990"/>
    </row>
    <row r="138" spans="1:43" ht="28.5" customHeight="1" x14ac:dyDescent="0.2">
      <c r="A138" s="2271"/>
      <c r="B138" s="2272"/>
      <c r="C138" s="2273"/>
      <c r="D138" s="2272"/>
      <c r="E138" s="2272"/>
      <c r="F138" s="2273"/>
      <c r="G138" s="2274"/>
      <c r="H138" s="2272"/>
      <c r="I138" s="2273"/>
      <c r="J138" s="3899"/>
      <c r="K138" s="3890"/>
      <c r="L138" s="3899"/>
      <c r="M138" s="3899"/>
      <c r="N138" s="3899"/>
      <c r="O138" s="4024"/>
      <c r="P138" s="3903"/>
      <c r="Q138" s="4015"/>
      <c r="R138" s="4018"/>
      <c r="S138" s="3890"/>
      <c r="T138" s="3890"/>
      <c r="U138" s="4012" t="s">
        <v>2201</v>
      </c>
      <c r="V138" s="2048">
        <v>10000000</v>
      </c>
      <c r="W138" s="2281">
        <v>61</v>
      </c>
      <c r="X138" s="3899"/>
      <c r="Y138" s="3996"/>
      <c r="Z138" s="3996"/>
      <c r="AA138" s="3996"/>
      <c r="AB138" s="3996"/>
      <c r="AC138" s="3996"/>
      <c r="AD138" s="3996"/>
      <c r="AE138" s="3996"/>
      <c r="AF138" s="3996"/>
      <c r="AG138" s="3996"/>
      <c r="AH138" s="3996"/>
      <c r="AI138" s="3996"/>
      <c r="AJ138" s="3996"/>
      <c r="AK138" s="3996"/>
      <c r="AL138" s="3996"/>
      <c r="AM138" s="3996"/>
      <c r="AN138" s="3996"/>
      <c r="AO138" s="4004"/>
      <c r="AP138" s="4004"/>
      <c r="AQ138" s="3990"/>
    </row>
    <row r="139" spans="1:43" ht="24.75" customHeight="1" x14ac:dyDescent="0.2">
      <c r="A139" s="2271"/>
      <c r="B139" s="2272"/>
      <c r="C139" s="2273"/>
      <c r="D139" s="2272"/>
      <c r="E139" s="2272"/>
      <c r="F139" s="2273"/>
      <c r="G139" s="2274"/>
      <c r="H139" s="2272"/>
      <c r="I139" s="2273"/>
      <c r="J139" s="3899"/>
      <c r="K139" s="3890"/>
      <c r="L139" s="3899"/>
      <c r="M139" s="3899"/>
      <c r="N139" s="3899"/>
      <c r="O139" s="4024"/>
      <c r="P139" s="3903"/>
      <c r="Q139" s="4015"/>
      <c r="R139" s="4018"/>
      <c r="S139" s="3890"/>
      <c r="T139" s="3890"/>
      <c r="U139" s="4012"/>
      <c r="V139" s="2042">
        <v>10000000</v>
      </c>
      <c r="W139" s="2282">
        <v>20</v>
      </c>
      <c r="X139" s="3899"/>
      <c r="Y139" s="3996"/>
      <c r="Z139" s="3996"/>
      <c r="AA139" s="3996"/>
      <c r="AB139" s="3996"/>
      <c r="AC139" s="3996"/>
      <c r="AD139" s="3996"/>
      <c r="AE139" s="3996"/>
      <c r="AF139" s="3996"/>
      <c r="AG139" s="3996"/>
      <c r="AH139" s="3996"/>
      <c r="AI139" s="3996"/>
      <c r="AJ139" s="3996"/>
      <c r="AK139" s="3996"/>
      <c r="AL139" s="3996"/>
      <c r="AM139" s="3996"/>
      <c r="AN139" s="3996"/>
      <c r="AO139" s="4004"/>
      <c r="AP139" s="4004"/>
      <c r="AQ139" s="3990"/>
    </row>
    <row r="140" spans="1:43" ht="26.25" customHeight="1" x14ac:dyDescent="0.2">
      <c r="A140" s="2271"/>
      <c r="B140" s="2272"/>
      <c r="C140" s="2273"/>
      <c r="D140" s="2272"/>
      <c r="E140" s="2272"/>
      <c r="F140" s="2273"/>
      <c r="G140" s="2274"/>
      <c r="H140" s="2272"/>
      <c r="I140" s="2273"/>
      <c r="J140" s="3899"/>
      <c r="K140" s="3890"/>
      <c r="L140" s="3899"/>
      <c r="M140" s="3899"/>
      <c r="N140" s="3899"/>
      <c r="O140" s="4024"/>
      <c r="P140" s="3903"/>
      <c r="Q140" s="4015"/>
      <c r="R140" s="4018"/>
      <c r="S140" s="3890"/>
      <c r="T140" s="3890"/>
      <c r="U140" s="4013"/>
      <c r="V140" s="2042">
        <f>0+4271940</f>
        <v>4271940</v>
      </c>
      <c r="W140" s="2282">
        <v>107</v>
      </c>
      <c r="X140" s="3899"/>
      <c r="Y140" s="3996"/>
      <c r="Z140" s="3996"/>
      <c r="AA140" s="3996"/>
      <c r="AB140" s="3996"/>
      <c r="AC140" s="3996"/>
      <c r="AD140" s="3996"/>
      <c r="AE140" s="3996"/>
      <c r="AF140" s="3996"/>
      <c r="AG140" s="3996"/>
      <c r="AH140" s="3996"/>
      <c r="AI140" s="3996"/>
      <c r="AJ140" s="3996"/>
      <c r="AK140" s="3996"/>
      <c r="AL140" s="3996"/>
      <c r="AM140" s="3996"/>
      <c r="AN140" s="3996"/>
      <c r="AO140" s="4004"/>
      <c r="AP140" s="4004"/>
      <c r="AQ140" s="3990"/>
    </row>
    <row r="141" spans="1:43" ht="43.5" customHeight="1" x14ac:dyDescent="0.2">
      <c r="A141" s="2271"/>
      <c r="B141" s="2272"/>
      <c r="C141" s="2273"/>
      <c r="D141" s="2272"/>
      <c r="E141" s="2272"/>
      <c r="F141" s="2273"/>
      <c r="G141" s="2274"/>
      <c r="H141" s="2272"/>
      <c r="I141" s="2273"/>
      <c r="J141" s="3899"/>
      <c r="K141" s="3890"/>
      <c r="L141" s="3899"/>
      <c r="M141" s="3899"/>
      <c r="N141" s="3899"/>
      <c r="O141" s="4024"/>
      <c r="P141" s="3903"/>
      <c r="Q141" s="4015"/>
      <c r="R141" s="4018"/>
      <c r="S141" s="3890"/>
      <c r="T141" s="3890"/>
      <c r="U141" s="4014" t="s">
        <v>2202</v>
      </c>
      <c r="V141" s="2042">
        <v>20000000</v>
      </c>
      <c r="W141" s="2282">
        <v>20</v>
      </c>
      <c r="X141" s="3899"/>
      <c r="Y141" s="3996"/>
      <c r="Z141" s="3996"/>
      <c r="AA141" s="3996"/>
      <c r="AB141" s="3996"/>
      <c r="AC141" s="3996"/>
      <c r="AD141" s="3996"/>
      <c r="AE141" s="3996"/>
      <c r="AF141" s="3996"/>
      <c r="AG141" s="3996"/>
      <c r="AH141" s="3996"/>
      <c r="AI141" s="3996"/>
      <c r="AJ141" s="3996"/>
      <c r="AK141" s="3996"/>
      <c r="AL141" s="3996"/>
      <c r="AM141" s="3996"/>
      <c r="AN141" s="3996"/>
      <c r="AO141" s="4004"/>
      <c r="AP141" s="4004"/>
      <c r="AQ141" s="3990"/>
    </row>
    <row r="142" spans="1:43" ht="45.75" customHeight="1" x14ac:dyDescent="0.2">
      <c r="A142" s="2271"/>
      <c r="B142" s="2272"/>
      <c r="C142" s="2273"/>
      <c r="D142" s="2272"/>
      <c r="E142" s="2272"/>
      <c r="F142" s="2273"/>
      <c r="G142" s="2274"/>
      <c r="H142" s="2272"/>
      <c r="I142" s="2273"/>
      <c r="J142" s="3899"/>
      <c r="K142" s="3890"/>
      <c r="L142" s="3899"/>
      <c r="M142" s="3899"/>
      <c r="N142" s="3899"/>
      <c r="O142" s="4024"/>
      <c r="P142" s="3903"/>
      <c r="Q142" s="4015"/>
      <c r="R142" s="4018"/>
      <c r="S142" s="3890"/>
      <c r="T142" s="3890"/>
      <c r="U142" s="4013"/>
      <c r="V142" s="2042">
        <f>0+4271940</f>
        <v>4271940</v>
      </c>
      <c r="W142" s="2282">
        <v>107</v>
      </c>
      <c r="X142" s="3899"/>
      <c r="Y142" s="3996"/>
      <c r="Z142" s="3996"/>
      <c r="AA142" s="3996"/>
      <c r="AB142" s="3996"/>
      <c r="AC142" s="3996"/>
      <c r="AD142" s="3996"/>
      <c r="AE142" s="3996"/>
      <c r="AF142" s="3996"/>
      <c r="AG142" s="3996"/>
      <c r="AH142" s="3996"/>
      <c r="AI142" s="3996"/>
      <c r="AJ142" s="3996"/>
      <c r="AK142" s="3996"/>
      <c r="AL142" s="3996"/>
      <c r="AM142" s="3996"/>
      <c r="AN142" s="3996"/>
      <c r="AO142" s="4004"/>
      <c r="AP142" s="4004"/>
      <c r="AQ142" s="3990"/>
    </row>
    <row r="143" spans="1:43" ht="51" customHeight="1" x14ac:dyDescent="0.2">
      <c r="A143" s="2271"/>
      <c r="B143" s="2272"/>
      <c r="C143" s="2273"/>
      <c r="D143" s="2272"/>
      <c r="E143" s="2272"/>
      <c r="F143" s="2273"/>
      <c r="G143" s="2274"/>
      <c r="H143" s="2272"/>
      <c r="I143" s="2273"/>
      <c r="J143" s="3899"/>
      <c r="K143" s="3890"/>
      <c r="L143" s="3899"/>
      <c r="M143" s="3899"/>
      <c r="N143" s="3899"/>
      <c r="O143" s="4024"/>
      <c r="P143" s="3903"/>
      <c r="Q143" s="4015"/>
      <c r="R143" s="4018"/>
      <c r="S143" s="3890"/>
      <c r="T143" s="3890"/>
      <c r="U143" s="4014" t="s">
        <v>2203</v>
      </c>
      <c r="V143" s="2042">
        <v>20000000</v>
      </c>
      <c r="W143" s="2282">
        <v>20</v>
      </c>
      <c r="X143" s="3899"/>
      <c r="Y143" s="3996"/>
      <c r="Z143" s="3996"/>
      <c r="AA143" s="3996"/>
      <c r="AB143" s="3996"/>
      <c r="AC143" s="3996"/>
      <c r="AD143" s="3996"/>
      <c r="AE143" s="3996"/>
      <c r="AF143" s="3996"/>
      <c r="AG143" s="3996"/>
      <c r="AH143" s="3996"/>
      <c r="AI143" s="3996"/>
      <c r="AJ143" s="3996"/>
      <c r="AK143" s="3996"/>
      <c r="AL143" s="3996"/>
      <c r="AM143" s="3996"/>
      <c r="AN143" s="3996"/>
      <c r="AO143" s="4004"/>
      <c r="AP143" s="4004"/>
      <c r="AQ143" s="3990"/>
    </row>
    <row r="144" spans="1:43" ht="38.25" customHeight="1" x14ac:dyDescent="0.2">
      <c r="A144" s="2271"/>
      <c r="B144" s="2272"/>
      <c r="C144" s="2273"/>
      <c r="D144" s="2272"/>
      <c r="E144" s="2272"/>
      <c r="F144" s="2273"/>
      <c r="G144" s="2274"/>
      <c r="H144" s="2272"/>
      <c r="I144" s="2273"/>
      <c r="J144" s="3899"/>
      <c r="K144" s="3890"/>
      <c r="L144" s="3899"/>
      <c r="M144" s="3899"/>
      <c r="N144" s="3899"/>
      <c r="O144" s="4024"/>
      <c r="P144" s="3903"/>
      <c r="Q144" s="4015"/>
      <c r="R144" s="4018"/>
      <c r="S144" s="3890"/>
      <c r="T144" s="3890"/>
      <c r="U144" s="4013"/>
      <c r="V144" s="2042">
        <f>0+4271940</f>
        <v>4271940</v>
      </c>
      <c r="W144" s="2282">
        <v>107</v>
      </c>
      <c r="X144" s="3899"/>
      <c r="Y144" s="3996"/>
      <c r="Z144" s="3996"/>
      <c r="AA144" s="3996"/>
      <c r="AB144" s="3996"/>
      <c r="AC144" s="3996"/>
      <c r="AD144" s="3996"/>
      <c r="AE144" s="3996"/>
      <c r="AF144" s="3996"/>
      <c r="AG144" s="3996"/>
      <c r="AH144" s="3996"/>
      <c r="AI144" s="3996"/>
      <c r="AJ144" s="3996"/>
      <c r="AK144" s="3996"/>
      <c r="AL144" s="3996"/>
      <c r="AM144" s="3996"/>
      <c r="AN144" s="3996"/>
      <c r="AO144" s="4004"/>
      <c r="AP144" s="4004"/>
      <c r="AQ144" s="3990"/>
    </row>
    <row r="145" spans="1:43" ht="42.75" customHeight="1" x14ac:dyDescent="0.2">
      <c r="A145" s="2271"/>
      <c r="B145" s="2272"/>
      <c r="C145" s="2273"/>
      <c r="D145" s="2272"/>
      <c r="E145" s="2272"/>
      <c r="F145" s="2273"/>
      <c r="G145" s="2274"/>
      <c r="H145" s="2272"/>
      <c r="I145" s="2273"/>
      <c r="J145" s="3899"/>
      <c r="K145" s="3890"/>
      <c r="L145" s="3899"/>
      <c r="M145" s="3899"/>
      <c r="N145" s="3899"/>
      <c r="O145" s="4024"/>
      <c r="P145" s="3903"/>
      <c r="Q145" s="4015"/>
      <c r="R145" s="4018"/>
      <c r="S145" s="3890"/>
      <c r="T145" s="3890"/>
      <c r="U145" s="4014" t="s">
        <v>2204</v>
      </c>
      <c r="V145" s="2042">
        <v>20000000</v>
      </c>
      <c r="W145" s="2282">
        <v>20</v>
      </c>
      <c r="X145" s="3899"/>
      <c r="Y145" s="3996"/>
      <c r="Z145" s="3996"/>
      <c r="AA145" s="3996"/>
      <c r="AB145" s="3996"/>
      <c r="AC145" s="3996"/>
      <c r="AD145" s="3996"/>
      <c r="AE145" s="3996"/>
      <c r="AF145" s="3996"/>
      <c r="AG145" s="3996"/>
      <c r="AH145" s="3996"/>
      <c r="AI145" s="3996"/>
      <c r="AJ145" s="3996"/>
      <c r="AK145" s="3996"/>
      <c r="AL145" s="3996"/>
      <c r="AM145" s="3996"/>
      <c r="AN145" s="3996"/>
      <c r="AO145" s="4004"/>
      <c r="AP145" s="4004"/>
      <c r="AQ145" s="3990"/>
    </row>
    <row r="146" spans="1:43" ht="48" customHeight="1" x14ac:dyDescent="0.2">
      <c r="A146" s="2271"/>
      <c r="B146" s="2272"/>
      <c r="C146" s="2273"/>
      <c r="D146" s="2272"/>
      <c r="E146" s="2272"/>
      <c r="F146" s="2273"/>
      <c r="G146" s="2274"/>
      <c r="H146" s="2272"/>
      <c r="I146" s="2273"/>
      <c r="J146" s="3900"/>
      <c r="K146" s="3891"/>
      <c r="L146" s="3900"/>
      <c r="M146" s="3900"/>
      <c r="N146" s="3899"/>
      <c r="O146" s="4024"/>
      <c r="P146" s="3903"/>
      <c r="Q146" s="4016"/>
      <c r="R146" s="4018"/>
      <c r="S146" s="3890"/>
      <c r="T146" s="3891"/>
      <c r="U146" s="4013"/>
      <c r="V146" s="2032">
        <f>0+4271940</f>
        <v>4271940</v>
      </c>
      <c r="W146" s="2276">
        <v>107</v>
      </c>
      <c r="X146" s="3899"/>
      <c r="Y146" s="3996"/>
      <c r="Z146" s="3996"/>
      <c r="AA146" s="3996"/>
      <c r="AB146" s="3996"/>
      <c r="AC146" s="3996"/>
      <c r="AD146" s="3996"/>
      <c r="AE146" s="3996"/>
      <c r="AF146" s="3996"/>
      <c r="AG146" s="3996"/>
      <c r="AH146" s="3996"/>
      <c r="AI146" s="3996"/>
      <c r="AJ146" s="3996"/>
      <c r="AK146" s="3996"/>
      <c r="AL146" s="3996"/>
      <c r="AM146" s="3996"/>
      <c r="AN146" s="3996"/>
      <c r="AO146" s="4004"/>
      <c r="AP146" s="4004"/>
      <c r="AQ146" s="3990"/>
    </row>
    <row r="147" spans="1:43" ht="27.75" customHeight="1" x14ac:dyDescent="0.2">
      <c r="A147" s="2271"/>
      <c r="B147" s="2272"/>
      <c r="C147" s="2273"/>
      <c r="D147" s="2272"/>
      <c r="E147" s="2272"/>
      <c r="F147" s="2273"/>
      <c r="G147" s="2274"/>
      <c r="H147" s="2272"/>
      <c r="I147" s="2273"/>
      <c r="J147" s="3898">
        <v>145</v>
      </c>
      <c r="K147" s="3889" t="s">
        <v>2205</v>
      </c>
      <c r="L147" s="3898" t="s">
        <v>2040</v>
      </c>
      <c r="M147" s="3898">
        <v>1</v>
      </c>
      <c r="N147" s="3899"/>
      <c r="O147" s="4024"/>
      <c r="P147" s="3929"/>
      <c r="Q147" s="4015">
        <f>SUM(V147:V154)/R131</f>
        <v>0.20413829703192035</v>
      </c>
      <c r="R147" s="4018"/>
      <c r="S147" s="3890"/>
      <c r="T147" s="3866" t="s">
        <v>2206</v>
      </c>
      <c r="U147" s="3964" t="s">
        <v>2207</v>
      </c>
      <c r="V147" s="2279">
        <v>33000000</v>
      </c>
      <c r="W147" s="2280">
        <v>61</v>
      </c>
      <c r="X147" s="3899"/>
      <c r="Y147" s="3996"/>
      <c r="Z147" s="3996"/>
      <c r="AA147" s="3996"/>
      <c r="AB147" s="3996"/>
      <c r="AC147" s="3996"/>
      <c r="AD147" s="3996"/>
      <c r="AE147" s="3996"/>
      <c r="AF147" s="3996"/>
      <c r="AG147" s="3996"/>
      <c r="AH147" s="3996"/>
      <c r="AI147" s="3996"/>
      <c r="AJ147" s="3996"/>
      <c r="AK147" s="3996"/>
      <c r="AL147" s="3996"/>
      <c r="AM147" s="3996"/>
      <c r="AN147" s="3996"/>
      <c r="AO147" s="4004"/>
      <c r="AP147" s="4004"/>
      <c r="AQ147" s="3990"/>
    </row>
    <row r="148" spans="1:43" ht="31.5" customHeight="1" x14ac:dyDescent="0.2">
      <c r="A148" s="2271"/>
      <c r="B148" s="2272"/>
      <c r="C148" s="2273"/>
      <c r="D148" s="2272"/>
      <c r="E148" s="2272"/>
      <c r="F148" s="2273"/>
      <c r="G148" s="2274"/>
      <c r="H148" s="2272"/>
      <c r="I148" s="2273"/>
      <c r="J148" s="3899"/>
      <c r="K148" s="3890"/>
      <c r="L148" s="3899"/>
      <c r="M148" s="3899"/>
      <c r="N148" s="3899"/>
      <c r="O148" s="4024"/>
      <c r="P148" s="3929"/>
      <c r="Q148" s="4015"/>
      <c r="R148" s="4018"/>
      <c r="S148" s="3890"/>
      <c r="T148" s="3867"/>
      <c r="U148" s="3965"/>
      <c r="V148" s="2279">
        <f>0+4271940</f>
        <v>4271940</v>
      </c>
      <c r="W148" s="2280">
        <v>107</v>
      </c>
      <c r="X148" s="3899"/>
      <c r="Y148" s="3996"/>
      <c r="Z148" s="3996"/>
      <c r="AA148" s="3996"/>
      <c r="AB148" s="3996"/>
      <c r="AC148" s="3996"/>
      <c r="AD148" s="3996"/>
      <c r="AE148" s="3996"/>
      <c r="AF148" s="3996"/>
      <c r="AG148" s="3996"/>
      <c r="AH148" s="3996"/>
      <c r="AI148" s="3996"/>
      <c r="AJ148" s="3996"/>
      <c r="AK148" s="3996"/>
      <c r="AL148" s="3996"/>
      <c r="AM148" s="3996"/>
      <c r="AN148" s="3996"/>
      <c r="AO148" s="4004"/>
      <c r="AP148" s="4004"/>
      <c r="AQ148" s="3990"/>
    </row>
    <row r="149" spans="1:43" ht="31.5" customHeight="1" x14ac:dyDescent="0.2">
      <c r="A149" s="2271"/>
      <c r="B149" s="2272"/>
      <c r="C149" s="2273"/>
      <c r="D149" s="2272"/>
      <c r="E149" s="2272"/>
      <c r="F149" s="2273"/>
      <c r="G149" s="2274"/>
      <c r="H149" s="2272"/>
      <c r="I149" s="2273"/>
      <c r="J149" s="3899"/>
      <c r="K149" s="3890"/>
      <c r="L149" s="3899"/>
      <c r="M149" s="3899"/>
      <c r="N149" s="3899"/>
      <c r="O149" s="4024"/>
      <c r="P149" s="3929"/>
      <c r="Q149" s="4015"/>
      <c r="R149" s="4018"/>
      <c r="S149" s="3890"/>
      <c r="T149" s="3867"/>
      <c r="U149" s="4021" t="s">
        <v>2208</v>
      </c>
      <c r="V149" s="2283">
        <v>33000000</v>
      </c>
      <c r="W149" s="2284">
        <v>61</v>
      </c>
      <c r="X149" s="3899"/>
      <c r="Y149" s="3996"/>
      <c r="Z149" s="3996"/>
      <c r="AA149" s="3996"/>
      <c r="AB149" s="3996"/>
      <c r="AC149" s="3996"/>
      <c r="AD149" s="3996"/>
      <c r="AE149" s="3996"/>
      <c r="AF149" s="3996"/>
      <c r="AG149" s="3996"/>
      <c r="AH149" s="3996"/>
      <c r="AI149" s="3996"/>
      <c r="AJ149" s="3996"/>
      <c r="AK149" s="3996"/>
      <c r="AL149" s="3996"/>
      <c r="AM149" s="3996"/>
      <c r="AN149" s="3996"/>
      <c r="AO149" s="4004"/>
      <c r="AP149" s="4004"/>
      <c r="AQ149" s="3990"/>
    </row>
    <row r="150" spans="1:43" ht="34.5" customHeight="1" x14ac:dyDescent="0.2">
      <c r="A150" s="2271"/>
      <c r="B150" s="2272"/>
      <c r="C150" s="2273"/>
      <c r="D150" s="2272"/>
      <c r="E150" s="2272"/>
      <c r="F150" s="2273"/>
      <c r="G150" s="2274"/>
      <c r="H150" s="2272"/>
      <c r="I150" s="2273"/>
      <c r="J150" s="3899"/>
      <c r="K150" s="3890"/>
      <c r="L150" s="3899"/>
      <c r="M150" s="3899"/>
      <c r="N150" s="3899"/>
      <c r="O150" s="4024"/>
      <c r="P150" s="3929"/>
      <c r="Q150" s="4015"/>
      <c r="R150" s="4018"/>
      <c r="S150" s="3890"/>
      <c r="T150" s="3867"/>
      <c r="U150" s="3965"/>
      <c r="V150" s="2042">
        <f>0+4271940</f>
        <v>4271940</v>
      </c>
      <c r="W150" s="2282">
        <v>107</v>
      </c>
      <c r="X150" s="3899"/>
      <c r="Y150" s="3996"/>
      <c r="Z150" s="3996"/>
      <c r="AA150" s="3996"/>
      <c r="AB150" s="3996"/>
      <c r="AC150" s="3996"/>
      <c r="AD150" s="3996"/>
      <c r="AE150" s="3996"/>
      <c r="AF150" s="3996"/>
      <c r="AG150" s="3996"/>
      <c r="AH150" s="3996"/>
      <c r="AI150" s="3996"/>
      <c r="AJ150" s="3996"/>
      <c r="AK150" s="3996"/>
      <c r="AL150" s="3996"/>
      <c r="AM150" s="3996"/>
      <c r="AN150" s="3996"/>
      <c r="AO150" s="4004"/>
      <c r="AP150" s="4004"/>
      <c r="AQ150" s="3990"/>
    </row>
    <row r="151" spans="1:43" ht="24" customHeight="1" x14ac:dyDescent="0.2">
      <c r="A151" s="2271"/>
      <c r="B151" s="2272"/>
      <c r="C151" s="2273"/>
      <c r="D151" s="2272"/>
      <c r="E151" s="2272"/>
      <c r="F151" s="2273"/>
      <c r="G151" s="2274"/>
      <c r="H151" s="2272"/>
      <c r="I151" s="2273"/>
      <c r="J151" s="3899"/>
      <c r="K151" s="3890"/>
      <c r="L151" s="3899"/>
      <c r="M151" s="3899"/>
      <c r="N151" s="3899"/>
      <c r="O151" s="4024"/>
      <c r="P151" s="3929"/>
      <c r="Q151" s="4015"/>
      <c r="R151" s="4018"/>
      <c r="S151" s="3890"/>
      <c r="T151" s="3867"/>
      <c r="U151" s="4021" t="s">
        <v>2209</v>
      </c>
      <c r="V151" s="1831">
        <v>600000</v>
      </c>
      <c r="W151" s="2282">
        <v>61</v>
      </c>
      <c r="X151" s="3899"/>
      <c r="Y151" s="3996"/>
      <c r="Z151" s="3996"/>
      <c r="AA151" s="3996"/>
      <c r="AB151" s="3996"/>
      <c r="AC151" s="3996"/>
      <c r="AD151" s="3996"/>
      <c r="AE151" s="3996"/>
      <c r="AF151" s="3996"/>
      <c r="AG151" s="3996"/>
      <c r="AH151" s="3996"/>
      <c r="AI151" s="3996"/>
      <c r="AJ151" s="3996"/>
      <c r="AK151" s="3996"/>
      <c r="AL151" s="3996"/>
      <c r="AM151" s="3996"/>
      <c r="AN151" s="3996"/>
      <c r="AO151" s="4004"/>
      <c r="AP151" s="4004"/>
      <c r="AQ151" s="3990"/>
    </row>
    <row r="152" spans="1:43" ht="27.75" customHeight="1" x14ac:dyDescent="0.2">
      <c r="A152" s="2271"/>
      <c r="B152" s="2272"/>
      <c r="C152" s="2273"/>
      <c r="D152" s="2272"/>
      <c r="E152" s="2272"/>
      <c r="F152" s="2273"/>
      <c r="G152" s="2274"/>
      <c r="H152" s="2272"/>
      <c r="I152" s="2273"/>
      <c r="J152" s="3899"/>
      <c r="K152" s="3890"/>
      <c r="L152" s="3899"/>
      <c r="M152" s="3899"/>
      <c r="N152" s="3899"/>
      <c r="O152" s="4024"/>
      <c r="P152" s="3929"/>
      <c r="Q152" s="4015"/>
      <c r="R152" s="4018"/>
      <c r="S152" s="3890"/>
      <c r="T152" s="3867"/>
      <c r="U152" s="4022"/>
      <c r="V152" s="2042">
        <f>0+4271940</f>
        <v>4271940</v>
      </c>
      <c r="W152" s="2282">
        <v>107</v>
      </c>
      <c r="X152" s="3899"/>
      <c r="Y152" s="3996"/>
      <c r="Z152" s="3996"/>
      <c r="AA152" s="3996"/>
      <c r="AB152" s="3996"/>
      <c r="AC152" s="3996"/>
      <c r="AD152" s="3996"/>
      <c r="AE152" s="3996"/>
      <c r="AF152" s="3996"/>
      <c r="AG152" s="3996"/>
      <c r="AH152" s="3996"/>
      <c r="AI152" s="3996"/>
      <c r="AJ152" s="3996"/>
      <c r="AK152" s="3996"/>
      <c r="AL152" s="3996"/>
      <c r="AM152" s="3996"/>
      <c r="AN152" s="3996"/>
      <c r="AO152" s="4004"/>
      <c r="AP152" s="4004"/>
      <c r="AQ152" s="3990"/>
    </row>
    <row r="153" spans="1:43" ht="33.75" customHeight="1" x14ac:dyDescent="0.2">
      <c r="A153" s="2271"/>
      <c r="B153" s="2272"/>
      <c r="C153" s="2273"/>
      <c r="D153" s="2272"/>
      <c r="E153" s="2272"/>
      <c r="F153" s="2273"/>
      <c r="G153" s="2274"/>
      <c r="H153" s="2272"/>
      <c r="I153" s="2273"/>
      <c r="J153" s="3899"/>
      <c r="K153" s="3890"/>
      <c r="L153" s="3899"/>
      <c r="M153" s="3899"/>
      <c r="N153" s="3899"/>
      <c r="O153" s="4024"/>
      <c r="P153" s="3929"/>
      <c r="Q153" s="4015"/>
      <c r="R153" s="4018"/>
      <c r="S153" s="3890"/>
      <c r="T153" s="3867"/>
      <c r="U153" s="3866" t="s">
        <v>2210</v>
      </c>
      <c r="V153" s="1831">
        <v>33000000</v>
      </c>
      <c r="W153" s="2282">
        <v>61</v>
      </c>
      <c r="X153" s="3899"/>
      <c r="Y153" s="3996"/>
      <c r="Z153" s="3996"/>
      <c r="AA153" s="3996"/>
      <c r="AB153" s="3996"/>
      <c r="AC153" s="3996"/>
      <c r="AD153" s="3996"/>
      <c r="AE153" s="3996"/>
      <c r="AF153" s="3996"/>
      <c r="AG153" s="3996"/>
      <c r="AH153" s="3996"/>
      <c r="AI153" s="3996"/>
      <c r="AJ153" s="3996"/>
      <c r="AK153" s="3996"/>
      <c r="AL153" s="3996"/>
      <c r="AM153" s="3996"/>
      <c r="AN153" s="3996"/>
      <c r="AO153" s="4004"/>
      <c r="AP153" s="4004"/>
      <c r="AQ153" s="3990"/>
    </row>
    <row r="154" spans="1:43" ht="35.25" customHeight="1" x14ac:dyDescent="0.2">
      <c r="A154" s="2271"/>
      <c r="B154" s="2272"/>
      <c r="C154" s="2273"/>
      <c r="D154" s="2272"/>
      <c r="E154" s="2272"/>
      <c r="F154" s="2273"/>
      <c r="G154" s="2274"/>
      <c r="H154" s="2272"/>
      <c r="I154" s="2273"/>
      <c r="J154" s="3900"/>
      <c r="K154" s="3891"/>
      <c r="L154" s="3900"/>
      <c r="M154" s="3900"/>
      <c r="N154" s="3900"/>
      <c r="O154" s="4025"/>
      <c r="P154" s="3929"/>
      <c r="Q154" s="4015"/>
      <c r="R154" s="4018"/>
      <c r="S154" s="3890"/>
      <c r="T154" s="3868"/>
      <c r="U154" s="3868"/>
      <c r="V154" s="2032">
        <f>0+4271940</f>
        <v>4271940</v>
      </c>
      <c r="W154" s="2276">
        <v>107</v>
      </c>
      <c r="X154" s="3900"/>
      <c r="Y154" s="3997"/>
      <c r="Z154" s="3997"/>
      <c r="AA154" s="3997"/>
      <c r="AB154" s="3997"/>
      <c r="AC154" s="3997"/>
      <c r="AD154" s="3997"/>
      <c r="AE154" s="3997"/>
      <c r="AF154" s="3997"/>
      <c r="AG154" s="3997"/>
      <c r="AH154" s="3997"/>
      <c r="AI154" s="3997"/>
      <c r="AJ154" s="3997"/>
      <c r="AK154" s="3997"/>
      <c r="AL154" s="3997"/>
      <c r="AM154" s="3997"/>
      <c r="AN154" s="3997"/>
      <c r="AO154" s="4004"/>
      <c r="AP154" s="4004"/>
      <c r="AQ154" s="3991"/>
    </row>
    <row r="155" spans="1:43" ht="33.75" customHeight="1" x14ac:dyDescent="0.2">
      <c r="A155" s="2271"/>
      <c r="B155" s="2272"/>
      <c r="C155" s="2273"/>
      <c r="D155" s="2272"/>
      <c r="E155" s="2272"/>
      <c r="F155" s="2273"/>
      <c r="G155" s="2274"/>
      <c r="H155" s="2272"/>
      <c r="I155" s="2273"/>
      <c r="J155" s="3898">
        <v>146</v>
      </c>
      <c r="K155" s="3889" t="s">
        <v>2211</v>
      </c>
      <c r="L155" s="3898" t="s">
        <v>2040</v>
      </c>
      <c r="M155" s="3898">
        <v>1</v>
      </c>
      <c r="N155" s="2285"/>
      <c r="O155" s="3898" t="s">
        <v>2212</v>
      </c>
      <c r="P155" s="3867" t="s">
        <v>2213</v>
      </c>
      <c r="Q155" s="3998">
        <v>1</v>
      </c>
      <c r="R155" s="4000">
        <f>SUM(V155:V178)</f>
        <v>218028925</v>
      </c>
      <c r="S155" s="3974" t="s">
        <v>2214</v>
      </c>
      <c r="T155" s="3992" t="s">
        <v>2215</v>
      </c>
      <c r="U155" s="3964" t="s">
        <v>2216</v>
      </c>
      <c r="V155" s="2042">
        <v>10000000</v>
      </c>
      <c r="W155" s="2267">
        <v>61</v>
      </c>
      <c r="X155" s="3898" t="s">
        <v>2217</v>
      </c>
      <c r="Y155" s="3898">
        <v>292684</v>
      </c>
      <c r="Z155" s="3898">
        <v>282326</v>
      </c>
      <c r="AA155" s="3898">
        <v>135912</v>
      </c>
      <c r="AB155" s="3898">
        <v>45122</v>
      </c>
      <c r="AC155" s="3898">
        <v>307101</v>
      </c>
      <c r="AD155" s="3898">
        <v>86875</v>
      </c>
      <c r="AE155" s="3898">
        <v>2145</v>
      </c>
      <c r="AF155" s="3898">
        <v>12718</v>
      </c>
      <c r="AG155" s="3898">
        <v>26</v>
      </c>
      <c r="AH155" s="3898">
        <v>37</v>
      </c>
      <c r="AI155" s="3898" t="s">
        <v>2047</v>
      </c>
      <c r="AJ155" s="3898" t="s">
        <v>2047</v>
      </c>
      <c r="AK155" s="3898">
        <v>53164</v>
      </c>
      <c r="AL155" s="3898">
        <v>16982</v>
      </c>
      <c r="AM155" s="3898">
        <v>60013</v>
      </c>
      <c r="AN155" s="3898">
        <v>575010</v>
      </c>
      <c r="AO155" s="3988">
        <v>43467</v>
      </c>
      <c r="AP155" s="3988">
        <v>43830</v>
      </c>
      <c r="AQ155" s="3989" t="s">
        <v>2048</v>
      </c>
    </row>
    <row r="156" spans="1:43" ht="45" customHeight="1" x14ac:dyDescent="0.2">
      <c r="A156" s="2271"/>
      <c r="B156" s="2272"/>
      <c r="C156" s="2273"/>
      <c r="D156" s="2272"/>
      <c r="E156" s="2272"/>
      <c r="F156" s="2273"/>
      <c r="G156" s="2274"/>
      <c r="H156" s="2272"/>
      <c r="I156" s="2273"/>
      <c r="J156" s="3899"/>
      <c r="K156" s="3890"/>
      <c r="L156" s="3899"/>
      <c r="M156" s="3899"/>
      <c r="N156" s="2286"/>
      <c r="O156" s="3899"/>
      <c r="P156" s="3867"/>
      <c r="Q156" s="3998"/>
      <c r="R156" s="4001"/>
      <c r="S156" s="3974"/>
      <c r="T156" s="3993"/>
      <c r="U156" s="3966"/>
      <c r="V156" s="2042">
        <f>40000000-4541103</f>
        <v>35458897</v>
      </c>
      <c r="W156" s="2267">
        <v>113</v>
      </c>
      <c r="X156" s="3899"/>
      <c r="Y156" s="3899"/>
      <c r="Z156" s="3899"/>
      <c r="AA156" s="3899"/>
      <c r="AB156" s="3899"/>
      <c r="AC156" s="3899"/>
      <c r="AD156" s="3899"/>
      <c r="AE156" s="3899"/>
      <c r="AF156" s="3899"/>
      <c r="AG156" s="3899"/>
      <c r="AH156" s="3899"/>
      <c r="AI156" s="3899"/>
      <c r="AJ156" s="3899"/>
      <c r="AK156" s="3899"/>
      <c r="AL156" s="3899"/>
      <c r="AM156" s="3899"/>
      <c r="AN156" s="3899"/>
      <c r="AO156" s="3988"/>
      <c r="AP156" s="3988"/>
      <c r="AQ156" s="3990"/>
    </row>
    <row r="157" spans="1:43" ht="28.5" customHeight="1" x14ac:dyDescent="0.2">
      <c r="A157" s="2271"/>
      <c r="B157" s="2272"/>
      <c r="C157" s="2273"/>
      <c r="D157" s="2272"/>
      <c r="E157" s="2272"/>
      <c r="F157" s="2273"/>
      <c r="G157" s="2274"/>
      <c r="H157" s="2272"/>
      <c r="I157" s="2273"/>
      <c r="J157" s="3899"/>
      <c r="K157" s="3890"/>
      <c r="L157" s="3899"/>
      <c r="M157" s="3899"/>
      <c r="N157" s="2286"/>
      <c r="O157" s="3899"/>
      <c r="P157" s="3867"/>
      <c r="Q157" s="3998"/>
      <c r="R157" s="4001"/>
      <c r="S157" s="3974"/>
      <c r="T157" s="3993"/>
      <c r="U157" s="3965"/>
      <c r="V157" s="2042">
        <v>4000000</v>
      </c>
      <c r="W157" s="2267">
        <v>114</v>
      </c>
      <c r="X157" s="3899"/>
      <c r="Y157" s="3899"/>
      <c r="Z157" s="3899"/>
      <c r="AA157" s="3899"/>
      <c r="AB157" s="3899"/>
      <c r="AC157" s="3899"/>
      <c r="AD157" s="3899"/>
      <c r="AE157" s="3899"/>
      <c r="AF157" s="3899"/>
      <c r="AG157" s="3899"/>
      <c r="AH157" s="3899"/>
      <c r="AI157" s="3899"/>
      <c r="AJ157" s="3899"/>
      <c r="AK157" s="3899"/>
      <c r="AL157" s="3899"/>
      <c r="AM157" s="3899"/>
      <c r="AN157" s="3899"/>
      <c r="AO157" s="3988"/>
      <c r="AP157" s="3988"/>
      <c r="AQ157" s="3990"/>
    </row>
    <row r="158" spans="1:43" ht="33.75" customHeight="1" x14ac:dyDescent="0.2">
      <c r="A158" s="2271"/>
      <c r="B158" s="2272"/>
      <c r="C158" s="2273"/>
      <c r="D158" s="2272"/>
      <c r="E158" s="2272"/>
      <c r="F158" s="2273"/>
      <c r="G158" s="2274"/>
      <c r="H158" s="2272"/>
      <c r="I158" s="2273"/>
      <c r="J158" s="3899"/>
      <c r="K158" s="3890"/>
      <c r="L158" s="3899"/>
      <c r="M158" s="3899"/>
      <c r="N158" s="2286"/>
      <c r="O158" s="3899"/>
      <c r="P158" s="3867"/>
      <c r="Q158" s="3998"/>
      <c r="R158" s="4001"/>
      <c r="S158" s="3974"/>
      <c r="T158" s="3993"/>
      <c r="U158" s="3964" t="s">
        <v>2218</v>
      </c>
      <c r="V158" s="2042">
        <v>1750000</v>
      </c>
      <c r="W158" s="2267">
        <v>61</v>
      </c>
      <c r="X158" s="3899"/>
      <c r="Y158" s="3899"/>
      <c r="Z158" s="3899"/>
      <c r="AA158" s="3899"/>
      <c r="AB158" s="3899"/>
      <c r="AC158" s="3899"/>
      <c r="AD158" s="3899"/>
      <c r="AE158" s="3899"/>
      <c r="AF158" s="3899"/>
      <c r="AG158" s="3899"/>
      <c r="AH158" s="3899"/>
      <c r="AI158" s="3899"/>
      <c r="AJ158" s="3899"/>
      <c r="AK158" s="3899"/>
      <c r="AL158" s="3899"/>
      <c r="AM158" s="3899"/>
      <c r="AN158" s="3899"/>
      <c r="AO158" s="3988"/>
      <c r="AP158" s="3988"/>
      <c r="AQ158" s="3990"/>
    </row>
    <row r="159" spans="1:43" ht="33.75" customHeight="1" x14ac:dyDescent="0.2">
      <c r="A159" s="2271"/>
      <c r="B159" s="2272"/>
      <c r="C159" s="2273"/>
      <c r="D159" s="2272"/>
      <c r="E159" s="2272"/>
      <c r="F159" s="2273"/>
      <c r="G159" s="2274"/>
      <c r="H159" s="2272"/>
      <c r="I159" s="2273"/>
      <c r="J159" s="3899"/>
      <c r="K159" s="3890"/>
      <c r="L159" s="3899"/>
      <c r="M159" s="3899"/>
      <c r="N159" s="2286"/>
      <c r="O159" s="3899"/>
      <c r="P159" s="3867"/>
      <c r="Q159" s="3998"/>
      <c r="R159" s="4001"/>
      <c r="S159" s="3974"/>
      <c r="T159" s="3993"/>
      <c r="U159" s="3966"/>
      <c r="V159" s="2042">
        <v>3000000</v>
      </c>
      <c r="W159" s="2267">
        <v>113</v>
      </c>
      <c r="X159" s="3899"/>
      <c r="Y159" s="3899"/>
      <c r="Z159" s="3899"/>
      <c r="AA159" s="3899"/>
      <c r="AB159" s="3899"/>
      <c r="AC159" s="3899"/>
      <c r="AD159" s="3899"/>
      <c r="AE159" s="3899"/>
      <c r="AF159" s="3899"/>
      <c r="AG159" s="3899"/>
      <c r="AH159" s="3899"/>
      <c r="AI159" s="3899"/>
      <c r="AJ159" s="3899"/>
      <c r="AK159" s="3899"/>
      <c r="AL159" s="3899"/>
      <c r="AM159" s="3899"/>
      <c r="AN159" s="3899"/>
      <c r="AO159" s="3988"/>
      <c r="AP159" s="3988"/>
      <c r="AQ159" s="3990"/>
    </row>
    <row r="160" spans="1:43" ht="33.75" customHeight="1" x14ac:dyDescent="0.2">
      <c r="A160" s="2271"/>
      <c r="B160" s="2272"/>
      <c r="C160" s="2273"/>
      <c r="D160" s="2272"/>
      <c r="E160" s="2272"/>
      <c r="F160" s="2273"/>
      <c r="G160" s="2274"/>
      <c r="H160" s="2272"/>
      <c r="I160" s="2273"/>
      <c r="J160" s="3899"/>
      <c r="K160" s="3890"/>
      <c r="L160" s="3899"/>
      <c r="M160" s="3899"/>
      <c r="N160" s="2286"/>
      <c r="O160" s="3899"/>
      <c r="P160" s="3867"/>
      <c r="Q160" s="3998"/>
      <c r="R160" s="4001"/>
      <c r="S160" s="3974"/>
      <c r="T160" s="3993"/>
      <c r="U160" s="3966"/>
      <c r="V160" s="2042">
        <v>250000</v>
      </c>
      <c r="W160" s="2267">
        <v>114</v>
      </c>
      <c r="X160" s="3899"/>
      <c r="Y160" s="3899"/>
      <c r="Z160" s="3899"/>
      <c r="AA160" s="3899"/>
      <c r="AB160" s="3899"/>
      <c r="AC160" s="3899"/>
      <c r="AD160" s="3899"/>
      <c r="AE160" s="3899"/>
      <c r="AF160" s="3899"/>
      <c r="AG160" s="3899"/>
      <c r="AH160" s="3899"/>
      <c r="AI160" s="3899"/>
      <c r="AJ160" s="3899"/>
      <c r="AK160" s="3899"/>
      <c r="AL160" s="3899"/>
      <c r="AM160" s="3899"/>
      <c r="AN160" s="3899"/>
      <c r="AO160" s="3988"/>
      <c r="AP160" s="3988"/>
      <c r="AQ160" s="3990"/>
    </row>
    <row r="161" spans="1:43" ht="33.75" customHeight="1" x14ac:dyDescent="0.2">
      <c r="A161" s="2271"/>
      <c r="B161" s="2272"/>
      <c r="C161" s="2273"/>
      <c r="D161" s="2272"/>
      <c r="E161" s="2272"/>
      <c r="F161" s="2273"/>
      <c r="G161" s="2274"/>
      <c r="H161" s="2272"/>
      <c r="I161" s="2273"/>
      <c r="J161" s="3899"/>
      <c r="K161" s="3890"/>
      <c r="L161" s="3899"/>
      <c r="M161" s="3899"/>
      <c r="N161" s="2286"/>
      <c r="O161" s="3899"/>
      <c r="P161" s="3867"/>
      <c r="Q161" s="3998"/>
      <c r="R161" s="4001"/>
      <c r="S161" s="3974"/>
      <c r="T161" s="3993"/>
      <c r="U161" s="3965"/>
      <c r="V161" s="2042">
        <v>3000000</v>
      </c>
      <c r="W161" s="2267">
        <v>98</v>
      </c>
      <c r="X161" s="3899"/>
      <c r="Y161" s="3899"/>
      <c r="Z161" s="3899"/>
      <c r="AA161" s="3899"/>
      <c r="AB161" s="3899"/>
      <c r="AC161" s="3899"/>
      <c r="AD161" s="3899"/>
      <c r="AE161" s="3899"/>
      <c r="AF161" s="3899"/>
      <c r="AG161" s="3899"/>
      <c r="AH161" s="3899"/>
      <c r="AI161" s="3899"/>
      <c r="AJ161" s="3899"/>
      <c r="AK161" s="3899"/>
      <c r="AL161" s="3899"/>
      <c r="AM161" s="3899"/>
      <c r="AN161" s="3899"/>
      <c r="AO161" s="3988"/>
      <c r="AP161" s="3988"/>
      <c r="AQ161" s="3990"/>
    </row>
    <row r="162" spans="1:43" ht="80.25" customHeight="1" x14ac:dyDescent="0.2">
      <c r="A162" s="2271"/>
      <c r="B162" s="2272"/>
      <c r="C162" s="2273"/>
      <c r="D162" s="2272"/>
      <c r="E162" s="2272"/>
      <c r="F162" s="2273"/>
      <c r="G162" s="2274"/>
      <c r="H162" s="2272"/>
      <c r="I162" s="2273"/>
      <c r="J162" s="3899"/>
      <c r="K162" s="3890"/>
      <c r="L162" s="3899"/>
      <c r="M162" s="3899"/>
      <c r="N162" s="2286" t="s">
        <v>2219</v>
      </c>
      <c r="O162" s="3899"/>
      <c r="P162" s="3867"/>
      <c r="Q162" s="3998"/>
      <c r="R162" s="4001"/>
      <c r="S162" s="3974"/>
      <c r="T162" s="3993"/>
      <c r="U162" s="2287" t="s">
        <v>2220</v>
      </c>
      <c r="V162" s="2042">
        <v>8000000</v>
      </c>
      <c r="W162" s="2267">
        <v>113</v>
      </c>
      <c r="X162" s="3899"/>
      <c r="Y162" s="3899"/>
      <c r="Z162" s="3899"/>
      <c r="AA162" s="3899"/>
      <c r="AB162" s="3899"/>
      <c r="AC162" s="3899"/>
      <c r="AD162" s="3899"/>
      <c r="AE162" s="3899"/>
      <c r="AF162" s="3899"/>
      <c r="AG162" s="3899"/>
      <c r="AH162" s="3899"/>
      <c r="AI162" s="3899"/>
      <c r="AJ162" s="3899"/>
      <c r="AK162" s="3899"/>
      <c r="AL162" s="3899"/>
      <c r="AM162" s="3899"/>
      <c r="AN162" s="3899"/>
      <c r="AO162" s="3988"/>
      <c r="AP162" s="3988"/>
      <c r="AQ162" s="3990"/>
    </row>
    <row r="163" spans="1:43" ht="42" customHeight="1" x14ac:dyDescent="0.2">
      <c r="A163" s="2271"/>
      <c r="B163" s="2272"/>
      <c r="C163" s="2273"/>
      <c r="D163" s="2272"/>
      <c r="E163" s="2272"/>
      <c r="F163" s="2273"/>
      <c r="G163" s="2274"/>
      <c r="H163" s="2272"/>
      <c r="I163" s="2273"/>
      <c r="J163" s="3899"/>
      <c r="K163" s="3890"/>
      <c r="L163" s="3899"/>
      <c r="M163" s="3899"/>
      <c r="N163" s="2286" t="s">
        <v>2221</v>
      </c>
      <c r="O163" s="3899"/>
      <c r="P163" s="3867"/>
      <c r="Q163" s="3998"/>
      <c r="R163" s="4001"/>
      <c r="S163" s="3974"/>
      <c r="T163" s="3993"/>
      <c r="U163" s="3964" t="s">
        <v>2222</v>
      </c>
      <c r="V163" s="2042">
        <v>500000</v>
      </c>
      <c r="W163" s="2267">
        <v>61</v>
      </c>
      <c r="X163" s="3899"/>
      <c r="Y163" s="3899"/>
      <c r="Z163" s="3899"/>
      <c r="AA163" s="3899"/>
      <c r="AB163" s="3899"/>
      <c r="AC163" s="3899"/>
      <c r="AD163" s="3899"/>
      <c r="AE163" s="3899"/>
      <c r="AF163" s="3899"/>
      <c r="AG163" s="3899"/>
      <c r="AH163" s="3899"/>
      <c r="AI163" s="3899"/>
      <c r="AJ163" s="3899"/>
      <c r="AK163" s="3899"/>
      <c r="AL163" s="3899"/>
      <c r="AM163" s="3899"/>
      <c r="AN163" s="3899"/>
      <c r="AO163" s="3988"/>
      <c r="AP163" s="3988"/>
      <c r="AQ163" s="3990"/>
    </row>
    <row r="164" spans="1:43" ht="24" customHeight="1" x14ac:dyDescent="0.2">
      <c r="A164" s="2271"/>
      <c r="B164" s="2272"/>
      <c r="C164" s="2273"/>
      <c r="D164" s="2272"/>
      <c r="E164" s="2272"/>
      <c r="F164" s="2273"/>
      <c r="G164" s="2274"/>
      <c r="H164" s="2272"/>
      <c r="I164" s="2273"/>
      <c r="J164" s="3899"/>
      <c r="K164" s="3890"/>
      <c r="L164" s="3899"/>
      <c r="M164" s="3899"/>
      <c r="N164" s="2286"/>
      <c r="O164" s="3899"/>
      <c r="P164" s="3867"/>
      <c r="Q164" s="3998"/>
      <c r="R164" s="4001"/>
      <c r="S164" s="3974"/>
      <c r="T164" s="3993"/>
      <c r="U164" s="3966"/>
      <c r="V164" s="2042">
        <v>1911543</v>
      </c>
      <c r="W164" s="2267">
        <v>113</v>
      </c>
      <c r="X164" s="3899"/>
      <c r="Y164" s="3899"/>
      <c r="Z164" s="3899"/>
      <c r="AA164" s="3899"/>
      <c r="AB164" s="3899"/>
      <c r="AC164" s="3899"/>
      <c r="AD164" s="3899"/>
      <c r="AE164" s="3899"/>
      <c r="AF164" s="3899"/>
      <c r="AG164" s="3899"/>
      <c r="AH164" s="3899"/>
      <c r="AI164" s="3899"/>
      <c r="AJ164" s="3899"/>
      <c r="AK164" s="3899"/>
      <c r="AL164" s="3899"/>
      <c r="AM164" s="3899"/>
      <c r="AN164" s="3899"/>
      <c r="AO164" s="3988"/>
      <c r="AP164" s="3988"/>
      <c r="AQ164" s="3990"/>
    </row>
    <row r="165" spans="1:43" ht="24.75" customHeight="1" x14ac:dyDescent="0.2">
      <c r="A165" s="2271"/>
      <c r="B165" s="2272"/>
      <c r="C165" s="2273"/>
      <c r="D165" s="2272"/>
      <c r="E165" s="2272"/>
      <c r="F165" s="2273"/>
      <c r="G165" s="2274"/>
      <c r="H165" s="2272"/>
      <c r="I165" s="2273"/>
      <c r="J165" s="3899"/>
      <c r="K165" s="3890"/>
      <c r="L165" s="3899"/>
      <c r="M165" s="3899"/>
      <c r="N165" s="2286"/>
      <c r="O165" s="3899"/>
      <c r="P165" s="3867"/>
      <c r="Q165" s="3998"/>
      <c r="R165" s="4001"/>
      <c r="S165" s="3974"/>
      <c r="T165" s="3994"/>
      <c r="U165" s="3965"/>
      <c r="V165" s="2042">
        <v>193819</v>
      </c>
      <c r="W165" s="2267">
        <v>114</v>
      </c>
      <c r="X165" s="3899"/>
      <c r="Y165" s="3899"/>
      <c r="Z165" s="3899"/>
      <c r="AA165" s="3899"/>
      <c r="AB165" s="3899"/>
      <c r="AC165" s="3899"/>
      <c r="AD165" s="3899"/>
      <c r="AE165" s="3899"/>
      <c r="AF165" s="3899"/>
      <c r="AG165" s="3899"/>
      <c r="AH165" s="3899"/>
      <c r="AI165" s="3899"/>
      <c r="AJ165" s="3899"/>
      <c r="AK165" s="3899"/>
      <c r="AL165" s="3899"/>
      <c r="AM165" s="3899"/>
      <c r="AN165" s="3899"/>
      <c r="AO165" s="3988"/>
      <c r="AP165" s="3988"/>
      <c r="AQ165" s="3990"/>
    </row>
    <row r="166" spans="1:43" ht="28.5" customHeight="1" x14ac:dyDescent="0.2">
      <c r="A166" s="2271"/>
      <c r="B166" s="2272"/>
      <c r="C166" s="2273"/>
      <c r="D166" s="2272"/>
      <c r="E166" s="2272"/>
      <c r="F166" s="2273"/>
      <c r="G166" s="2274"/>
      <c r="H166" s="2272"/>
      <c r="I166" s="2273"/>
      <c r="J166" s="3899"/>
      <c r="K166" s="3890"/>
      <c r="L166" s="3899"/>
      <c r="M166" s="3899"/>
      <c r="N166" s="2286" t="s">
        <v>2223</v>
      </c>
      <c r="O166" s="3899"/>
      <c r="P166" s="3867"/>
      <c r="Q166" s="3998"/>
      <c r="R166" s="4001"/>
      <c r="S166" s="3974"/>
      <c r="T166" s="3992" t="s">
        <v>2224</v>
      </c>
      <c r="U166" s="3964" t="s">
        <v>2225</v>
      </c>
      <c r="V166" s="2042">
        <v>1750000</v>
      </c>
      <c r="W166" s="2267">
        <v>61</v>
      </c>
      <c r="X166" s="3899"/>
      <c r="Y166" s="3899"/>
      <c r="Z166" s="3899"/>
      <c r="AA166" s="3899"/>
      <c r="AB166" s="3899"/>
      <c r="AC166" s="3899"/>
      <c r="AD166" s="3899"/>
      <c r="AE166" s="3899"/>
      <c r="AF166" s="3899"/>
      <c r="AG166" s="3899"/>
      <c r="AH166" s="3899"/>
      <c r="AI166" s="3899"/>
      <c r="AJ166" s="3899"/>
      <c r="AK166" s="3899"/>
      <c r="AL166" s="3899"/>
      <c r="AM166" s="3899"/>
      <c r="AN166" s="3899"/>
      <c r="AO166" s="3988"/>
      <c r="AP166" s="3988"/>
      <c r="AQ166" s="3990"/>
    </row>
    <row r="167" spans="1:43" ht="30" customHeight="1" x14ac:dyDescent="0.2">
      <c r="A167" s="2271"/>
      <c r="B167" s="2272"/>
      <c r="C167" s="2273"/>
      <c r="D167" s="2272"/>
      <c r="E167" s="2272"/>
      <c r="F167" s="2273"/>
      <c r="G167" s="2274"/>
      <c r="H167" s="2272"/>
      <c r="I167" s="2273"/>
      <c r="J167" s="3899"/>
      <c r="K167" s="3890"/>
      <c r="L167" s="3899"/>
      <c r="M167" s="3899"/>
      <c r="N167" s="2286"/>
      <c r="O167" s="3899"/>
      <c r="P167" s="3867"/>
      <c r="Q167" s="3998"/>
      <c r="R167" s="4001"/>
      <c r="S167" s="3974"/>
      <c r="T167" s="3993"/>
      <c r="U167" s="3966"/>
      <c r="V167" s="2042">
        <v>3000000</v>
      </c>
      <c r="W167" s="2267">
        <v>113</v>
      </c>
      <c r="X167" s="3899"/>
      <c r="Y167" s="3899"/>
      <c r="Z167" s="3899"/>
      <c r="AA167" s="3899"/>
      <c r="AB167" s="3899"/>
      <c r="AC167" s="3899"/>
      <c r="AD167" s="3899"/>
      <c r="AE167" s="3899"/>
      <c r="AF167" s="3899"/>
      <c r="AG167" s="3899"/>
      <c r="AH167" s="3899"/>
      <c r="AI167" s="3899"/>
      <c r="AJ167" s="3899"/>
      <c r="AK167" s="3899"/>
      <c r="AL167" s="3899"/>
      <c r="AM167" s="3899"/>
      <c r="AN167" s="3899"/>
      <c r="AO167" s="3988"/>
      <c r="AP167" s="3988"/>
      <c r="AQ167" s="3990"/>
    </row>
    <row r="168" spans="1:43" ht="27" customHeight="1" x14ac:dyDescent="0.2">
      <c r="A168" s="2271"/>
      <c r="B168" s="2272"/>
      <c r="C168" s="2273"/>
      <c r="D168" s="2272"/>
      <c r="E168" s="2272"/>
      <c r="F168" s="2273"/>
      <c r="G168" s="2274"/>
      <c r="H168" s="2272"/>
      <c r="I168" s="2273"/>
      <c r="J168" s="3899"/>
      <c r="K168" s="3890"/>
      <c r="L168" s="3899"/>
      <c r="M168" s="3899"/>
      <c r="N168" s="2286" t="s">
        <v>2226</v>
      </c>
      <c r="O168" s="3899"/>
      <c r="P168" s="3867"/>
      <c r="Q168" s="3998"/>
      <c r="R168" s="4001"/>
      <c r="S168" s="3974"/>
      <c r="T168" s="3993"/>
      <c r="U168" s="3965"/>
      <c r="V168" s="2042">
        <v>250000</v>
      </c>
      <c r="W168" s="2267">
        <v>114</v>
      </c>
      <c r="X168" s="3899"/>
      <c r="Y168" s="3899"/>
      <c r="Z168" s="3899"/>
      <c r="AA168" s="3899"/>
      <c r="AB168" s="3899"/>
      <c r="AC168" s="3899"/>
      <c r="AD168" s="3899"/>
      <c r="AE168" s="3899"/>
      <c r="AF168" s="3899"/>
      <c r="AG168" s="3899"/>
      <c r="AH168" s="3899"/>
      <c r="AI168" s="3899"/>
      <c r="AJ168" s="3899"/>
      <c r="AK168" s="3899"/>
      <c r="AL168" s="3899"/>
      <c r="AM168" s="3899"/>
      <c r="AN168" s="3899"/>
      <c r="AO168" s="3988"/>
      <c r="AP168" s="3988"/>
      <c r="AQ168" s="3990"/>
    </row>
    <row r="169" spans="1:43" ht="27.75" customHeight="1" x14ac:dyDescent="0.2">
      <c r="A169" s="2271"/>
      <c r="B169" s="2272"/>
      <c r="C169" s="2273"/>
      <c r="D169" s="2272"/>
      <c r="E169" s="2272"/>
      <c r="F169" s="2273"/>
      <c r="G169" s="2274"/>
      <c r="H169" s="2272"/>
      <c r="I169" s="2273"/>
      <c r="J169" s="3899"/>
      <c r="K169" s="3890"/>
      <c r="L169" s="3899"/>
      <c r="M169" s="3899"/>
      <c r="N169" s="2286"/>
      <c r="O169" s="3899"/>
      <c r="P169" s="3867"/>
      <c r="Q169" s="3998"/>
      <c r="R169" s="4001"/>
      <c r="S169" s="3974"/>
      <c r="T169" s="3993"/>
      <c r="U169" s="3964" t="s">
        <v>2227</v>
      </c>
      <c r="V169" s="2042">
        <v>10000000</v>
      </c>
      <c r="W169" s="2267">
        <v>61</v>
      </c>
      <c r="X169" s="3899"/>
      <c r="Y169" s="3899"/>
      <c r="Z169" s="3899"/>
      <c r="AA169" s="3899"/>
      <c r="AB169" s="3899"/>
      <c r="AC169" s="3899"/>
      <c r="AD169" s="3899"/>
      <c r="AE169" s="3899"/>
      <c r="AF169" s="3899"/>
      <c r="AG169" s="3899"/>
      <c r="AH169" s="3899"/>
      <c r="AI169" s="3899"/>
      <c r="AJ169" s="3899"/>
      <c r="AK169" s="3899"/>
      <c r="AL169" s="3899"/>
      <c r="AM169" s="3899"/>
      <c r="AN169" s="3899"/>
      <c r="AO169" s="3988"/>
      <c r="AP169" s="3988"/>
      <c r="AQ169" s="3990"/>
    </row>
    <row r="170" spans="1:43" ht="24" customHeight="1" x14ac:dyDescent="0.2">
      <c r="A170" s="2271"/>
      <c r="B170" s="2272"/>
      <c r="C170" s="2273"/>
      <c r="D170" s="2272"/>
      <c r="E170" s="2272"/>
      <c r="F170" s="2273"/>
      <c r="G170" s="2274"/>
      <c r="H170" s="2272"/>
      <c r="I170" s="2273"/>
      <c r="J170" s="3899"/>
      <c r="K170" s="3890"/>
      <c r="L170" s="3899"/>
      <c r="M170" s="3899"/>
      <c r="N170" s="2286"/>
      <c r="O170" s="3899"/>
      <c r="P170" s="3867"/>
      <c r="Q170" s="3998"/>
      <c r="R170" s="4001"/>
      <c r="S170" s="3974"/>
      <c r="T170" s="3993"/>
      <c r="U170" s="3966"/>
      <c r="V170" s="2042">
        <v>40000000</v>
      </c>
      <c r="W170" s="2267">
        <v>113</v>
      </c>
      <c r="X170" s="3899"/>
      <c r="Y170" s="3899"/>
      <c r="Z170" s="3899"/>
      <c r="AA170" s="3899"/>
      <c r="AB170" s="3899"/>
      <c r="AC170" s="3899"/>
      <c r="AD170" s="3899"/>
      <c r="AE170" s="3899"/>
      <c r="AF170" s="3899"/>
      <c r="AG170" s="3899"/>
      <c r="AH170" s="3899"/>
      <c r="AI170" s="3899"/>
      <c r="AJ170" s="3899"/>
      <c r="AK170" s="3899"/>
      <c r="AL170" s="3899"/>
      <c r="AM170" s="3899"/>
      <c r="AN170" s="3899"/>
      <c r="AO170" s="3988"/>
      <c r="AP170" s="3988"/>
      <c r="AQ170" s="3990"/>
    </row>
    <row r="171" spans="1:43" ht="25.5" customHeight="1" x14ac:dyDescent="0.2">
      <c r="A171" s="2271"/>
      <c r="B171" s="2272"/>
      <c r="C171" s="2273"/>
      <c r="D171" s="2272"/>
      <c r="E171" s="2272"/>
      <c r="F171" s="2273"/>
      <c r="G171" s="2274"/>
      <c r="H171" s="2272"/>
      <c r="I171" s="2273"/>
      <c r="J171" s="3899"/>
      <c r="K171" s="3890"/>
      <c r="L171" s="3899"/>
      <c r="M171" s="3899"/>
      <c r="N171" s="2286"/>
      <c r="O171" s="3899"/>
      <c r="P171" s="3867"/>
      <c r="Q171" s="3998"/>
      <c r="R171" s="4001"/>
      <c r="S171" s="3974"/>
      <c r="T171" s="3994"/>
      <c r="U171" s="3965"/>
      <c r="V171" s="2042">
        <v>4000000</v>
      </c>
      <c r="W171" s="2267">
        <v>114</v>
      </c>
      <c r="X171" s="3899"/>
      <c r="Y171" s="3899"/>
      <c r="Z171" s="3899"/>
      <c r="AA171" s="3899"/>
      <c r="AB171" s="3899"/>
      <c r="AC171" s="3899"/>
      <c r="AD171" s="3899"/>
      <c r="AE171" s="3899"/>
      <c r="AF171" s="3899"/>
      <c r="AG171" s="3899"/>
      <c r="AH171" s="3899"/>
      <c r="AI171" s="3899"/>
      <c r="AJ171" s="3899"/>
      <c r="AK171" s="3899"/>
      <c r="AL171" s="3899"/>
      <c r="AM171" s="3899"/>
      <c r="AN171" s="3899"/>
      <c r="AO171" s="3988"/>
      <c r="AP171" s="3988"/>
      <c r="AQ171" s="3990"/>
    </row>
    <row r="172" spans="1:43" ht="58.5" customHeight="1" x14ac:dyDescent="0.2">
      <c r="A172" s="2271"/>
      <c r="B172" s="2272"/>
      <c r="C172" s="2273"/>
      <c r="D172" s="2272"/>
      <c r="E172" s="2272"/>
      <c r="F172" s="2273"/>
      <c r="G172" s="2274"/>
      <c r="H172" s="2272"/>
      <c r="I172" s="2273"/>
      <c r="J172" s="3899"/>
      <c r="K172" s="3890"/>
      <c r="L172" s="3899"/>
      <c r="M172" s="3899"/>
      <c r="N172" s="2286"/>
      <c r="O172" s="3899"/>
      <c r="P172" s="3867"/>
      <c r="Q172" s="3998"/>
      <c r="R172" s="4001"/>
      <c r="S172" s="3974"/>
      <c r="T172" s="3992" t="s">
        <v>2228</v>
      </c>
      <c r="U172" s="2287" t="s">
        <v>2229</v>
      </c>
      <c r="V172" s="2042">
        <v>18000000</v>
      </c>
      <c r="W172" s="2267">
        <v>113</v>
      </c>
      <c r="X172" s="3899"/>
      <c r="Y172" s="3899"/>
      <c r="Z172" s="3899"/>
      <c r="AA172" s="3899"/>
      <c r="AB172" s="3899"/>
      <c r="AC172" s="3899"/>
      <c r="AD172" s="3899"/>
      <c r="AE172" s="3899"/>
      <c r="AF172" s="3899"/>
      <c r="AG172" s="3899"/>
      <c r="AH172" s="3899"/>
      <c r="AI172" s="3899"/>
      <c r="AJ172" s="3899"/>
      <c r="AK172" s="3899"/>
      <c r="AL172" s="3899"/>
      <c r="AM172" s="3899"/>
      <c r="AN172" s="3899"/>
      <c r="AO172" s="3988"/>
      <c r="AP172" s="3988"/>
      <c r="AQ172" s="3990"/>
    </row>
    <row r="173" spans="1:43" ht="27.75" customHeight="1" x14ac:dyDescent="0.2">
      <c r="A173" s="2271"/>
      <c r="B173" s="2272"/>
      <c r="C173" s="2273"/>
      <c r="D173" s="2272"/>
      <c r="E173" s="2272"/>
      <c r="F173" s="2273"/>
      <c r="G173" s="2274"/>
      <c r="H173" s="2272"/>
      <c r="I173" s="2273"/>
      <c r="J173" s="3899"/>
      <c r="K173" s="3890"/>
      <c r="L173" s="3899"/>
      <c r="M173" s="3899"/>
      <c r="N173" s="2286"/>
      <c r="O173" s="3899"/>
      <c r="P173" s="3867"/>
      <c r="Q173" s="3998"/>
      <c r="R173" s="4001"/>
      <c r="S173" s="3974"/>
      <c r="T173" s="3993"/>
      <c r="U173" s="3964" t="s">
        <v>2230</v>
      </c>
      <c r="V173" s="2042">
        <v>9000000</v>
      </c>
      <c r="W173" s="2267">
        <v>61</v>
      </c>
      <c r="X173" s="3899"/>
      <c r="Y173" s="3899"/>
      <c r="Z173" s="3899"/>
      <c r="AA173" s="3899"/>
      <c r="AB173" s="3899"/>
      <c r="AC173" s="3899"/>
      <c r="AD173" s="3899"/>
      <c r="AE173" s="3899"/>
      <c r="AF173" s="3899"/>
      <c r="AG173" s="3899"/>
      <c r="AH173" s="3899"/>
      <c r="AI173" s="3899"/>
      <c r="AJ173" s="3899"/>
      <c r="AK173" s="3899"/>
      <c r="AL173" s="3899"/>
      <c r="AM173" s="3899"/>
      <c r="AN173" s="3899"/>
      <c r="AO173" s="3988"/>
      <c r="AP173" s="3988"/>
      <c r="AQ173" s="3990"/>
    </row>
    <row r="174" spans="1:43" ht="26.25" customHeight="1" x14ac:dyDescent="0.2">
      <c r="A174" s="2271"/>
      <c r="B174" s="2272"/>
      <c r="C174" s="2273"/>
      <c r="D174" s="2272"/>
      <c r="E174" s="2272"/>
      <c r="F174" s="2273"/>
      <c r="G174" s="2274"/>
      <c r="H174" s="2272"/>
      <c r="I174" s="2273"/>
      <c r="J174" s="3899"/>
      <c r="K174" s="3890"/>
      <c r="L174" s="3899"/>
      <c r="M174" s="3899"/>
      <c r="N174" s="2286"/>
      <c r="O174" s="3899"/>
      <c r="P174" s="3867"/>
      <c r="Q174" s="3998"/>
      <c r="R174" s="4001"/>
      <c r="S174" s="3974"/>
      <c r="T174" s="3993"/>
      <c r="U174" s="3966"/>
      <c r="V174" s="2042">
        <v>21000000</v>
      </c>
      <c r="W174" s="2267">
        <v>113</v>
      </c>
      <c r="X174" s="3899"/>
      <c r="Y174" s="3899"/>
      <c r="Z174" s="3899"/>
      <c r="AA174" s="3899"/>
      <c r="AB174" s="3899"/>
      <c r="AC174" s="3899"/>
      <c r="AD174" s="3899"/>
      <c r="AE174" s="3899"/>
      <c r="AF174" s="3899"/>
      <c r="AG174" s="3899"/>
      <c r="AH174" s="3899"/>
      <c r="AI174" s="3899"/>
      <c r="AJ174" s="3899"/>
      <c r="AK174" s="3899"/>
      <c r="AL174" s="3899"/>
      <c r="AM174" s="3899"/>
      <c r="AN174" s="3899"/>
      <c r="AO174" s="3988"/>
      <c r="AP174" s="3988"/>
      <c r="AQ174" s="3990"/>
    </row>
    <row r="175" spans="1:43" ht="22.5" customHeight="1" x14ac:dyDescent="0.2">
      <c r="A175" s="2271"/>
      <c r="B175" s="2272"/>
      <c r="C175" s="2273"/>
      <c r="D175" s="2272"/>
      <c r="E175" s="2272"/>
      <c r="F175" s="2273"/>
      <c r="G175" s="2274"/>
      <c r="H175" s="2272"/>
      <c r="I175" s="2273"/>
      <c r="J175" s="3899"/>
      <c r="K175" s="3890"/>
      <c r="L175" s="3899"/>
      <c r="M175" s="3899"/>
      <c r="N175" s="2286"/>
      <c r="O175" s="3899"/>
      <c r="P175" s="3867"/>
      <c r="Q175" s="3998"/>
      <c r="R175" s="4001"/>
      <c r="S175" s="3974"/>
      <c r="T175" s="3993"/>
      <c r="U175" s="3965"/>
      <c r="V175" s="2042">
        <f>7500000-2035334</f>
        <v>5464666</v>
      </c>
      <c r="W175" s="2267">
        <v>114</v>
      </c>
      <c r="X175" s="3899"/>
      <c r="Y175" s="3899"/>
      <c r="Z175" s="3899"/>
      <c r="AA175" s="3899"/>
      <c r="AB175" s="3899"/>
      <c r="AC175" s="3899"/>
      <c r="AD175" s="3899"/>
      <c r="AE175" s="3899"/>
      <c r="AF175" s="3899"/>
      <c r="AG175" s="3899"/>
      <c r="AH175" s="3899"/>
      <c r="AI175" s="3899"/>
      <c r="AJ175" s="3899"/>
      <c r="AK175" s="3899"/>
      <c r="AL175" s="3899"/>
      <c r="AM175" s="3899"/>
      <c r="AN175" s="3899"/>
      <c r="AO175" s="3988"/>
      <c r="AP175" s="3988"/>
      <c r="AQ175" s="3990"/>
    </row>
    <row r="176" spans="1:43" ht="31.5" customHeight="1" x14ac:dyDescent="0.2">
      <c r="A176" s="2271"/>
      <c r="B176" s="2272"/>
      <c r="C176" s="2273"/>
      <c r="D176" s="2272"/>
      <c r="E176" s="2272"/>
      <c r="F176" s="2273"/>
      <c r="G176" s="2274"/>
      <c r="H176" s="2272"/>
      <c r="I176" s="2273"/>
      <c r="J176" s="3899"/>
      <c r="K176" s="3890"/>
      <c r="L176" s="3899"/>
      <c r="M176" s="3899"/>
      <c r="N176" s="2286"/>
      <c r="O176" s="3899"/>
      <c r="P176" s="3867"/>
      <c r="Q176" s="3998"/>
      <c r="R176" s="4001"/>
      <c r="S176" s="3974"/>
      <c r="T176" s="3993"/>
      <c r="U176" s="3964" t="s">
        <v>2231</v>
      </c>
      <c r="V176" s="2042">
        <v>9000000</v>
      </c>
      <c r="W176" s="2267">
        <v>61</v>
      </c>
      <c r="X176" s="3899"/>
      <c r="Y176" s="3899"/>
      <c r="Z176" s="3899"/>
      <c r="AA176" s="3899"/>
      <c r="AB176" s="3899"/>
      <c r="AC176" s="3899"/>
      <c r="AD176" s="3899"/>
      <c r="AE176" s="3899"/>
      <c r="AF176" s="3899"/>
      <c r="AG176" s="3899"/>
      <c r="AH176" s="3899"/>
      <c r="AI176" s="3899"/>
      <c r="AJ176" s="3899"/>
      <c r="AK176" s="3899"/>
      <c r="AL176" s="3899"/>
      <c r="AM176" s="3899"/>
      <c r="AN176" s="3899"/>
      <c r="AO176" s="3988"/>
      <c r="AP176" s="3988"/>
      <c r="AQ176" s="3990"/>
    </row>
    <row r="177" spans="1:43" ht="38.25" customHeight="1" x14ac:dyDescent="0.2">
      <c r="A177" s="2271"/>
      <c r="B177" s="2272"/>
      <c r="C177" s="2273"/>
      <c r="D177" s="2272"/>
      <c r="E177" s="2272"/>
      <c r="F177" s="2273"/>
      <c r="G177" s="2274"/>
      <c r="H177" s="2272"/>
      <c r="I177" s="2273"/>
      <c r="J177" s="3899"/>
      <c r="K177" s="3890"/>
      <c r="L177" s="3899"/>
      <c r="M177" s="3899"/>
      <c r="N177" s="2286"/>
      <c r="O177" s="3899"/>
      <c r="P177" s="3867"/>
      <c r="Q177" s="3998"/>
      <c r="R177" s="4001"/>
      <c r="S177" s="3974"/>
      <c r="T177" s="3993"/>
      <c r="U177" s="3966"/>
      <c r="V177" s="2042">
        <v>21000000</v>
      </c>
      <c r="W177" s="2267">
        <v>113</v>
      </c>
      <c r="X177" s="3899"/>
      <c r="Y177" s="3899"/>
      <c r="Z177" s="3899"/>
      <c r="AA177" s="3899"/>
      <c r="AB177" s="3899"/>
      <c r="AC177" s="3899"/>
      <c r="AD177" s="3899"/>
      <c r="AE177" s="3899"/>
      <c r="AF177" s="3899"/>
      <c r="AG177" s="3899"/>
      <c r="AH177" s="3899"/>
      <c r="AI177" s="3899"/>
      <c r="AJ177" s="3899"/>
      <c r="AK177" s="3899"/>
      <c r="AL177" s="3899"/>
      <c r="AM177" s="3899"/>
      <c r="AN177" s="3899"/>
      <c r="AO177" s="3988"/>
      <c r="AP177" s="3988"/>
      <c r="AQ177" s="3990"/>
    </row>
    <row r="178" spans="1:43" ht="28.5" customHeight="1" x14ac:dyDescent="0.2">
      <c r="A178" s="2271"/>
      <c r="B178" s="2272"/>
      <c r="C178" s="2273"/>
      <c r="D178" s="2272"/>
      <c r="E178" s="2272"/>
      <c r="F178" s="2273"/>
      <c r="G178" s="2288"/>
      <c r="H178" s="2289"/>
      <c r="I178" s="2290"/>
      <c r="J178" s="3900"/>
      <c r="K178" s="3891"/>
      <c r="L178" s="3900"/>
      <c r="M178" s="3900"/>
      <c r="N178" s="2291"/>
      <c r="O178" s="3900"/>
      <c r="P178" s="3868"/>
      <c r="Q178" s="3999"/>
      <c r="R178" s="4002"/>
      <c r="S178" s="3974"/>
      <c r="T178" s="3994"/>
      <c r="U178" s="3965"/>
      <c r="V178" s="2042">
        <v>7500000</v>
      </c>
      <c r="W178" s="2267">
        <v>114</v>
      </c>
      <c r="X178" s="3900"/>
      <c r="Y178" s="3900"/>
      <c r="Z178" s="3900"/>
      <c r="AA178" s="3900"/>
      <c r="AB178" s="3900"/>
      <c r="AC178" s="3900"/>
      <c r="AD178" s="3900"/>
      <c r="AE178" s="3900"/>
      <c r="AF178" s="3900"/>
      <c r="AG178" s="3900"/>
      <c r="AH178" s="3900"/>
      <c r="AI178" s="3900"/>
      <c r="AJ178" s="3900"/>
      <c r="AK178" s="3900"/>
      <c r="AL178" s="3900"/>
      <c r="AM178" s="3900"/>
      <c r="AN178" s="3900"/>
      <c r="AO178" s="3988"/>
      <c r="AP178" s="3988"/>
      <c r="AQ178" s="3991"/>
    </row>
    <row r="179" spans="1:43" ht="38.25" customHeight="1" x14ac:dyDescent="0.2">
      <c r="A179" s="2215"/>
      <c r="B179" s="2216"/>
      <c r="C179" s="2217"/>
      <c r="D179" s="2216"/>
      <c r="E179" s="2216"/>
      <c r="F179" s="2217"/>
      <c r="G179" s="2249">
        <v>41</v>
      </c>
      <c r="H179" s="2221" t="s">
        <v>2232</v>
      </c>
      <c r="I179" s="2221"/>
      <c r="J179" s="2221"/>
      <c r="K179" s="2222"/>
      <c r="L179" s="2221"/>
      <c r="M179" s="2221"/>
      <c r="N179" s="2223"/>
      <c r="O179" s="2221"/>
      <c r="P179" s="2222"/>
      <c r="Q179" s="2221"/>
      <c r="R179" s="2250"/>
      <c r="S179" s="2292"/>
      <c r="T179" s="2222"/>
      <c r="U179" s="2222"/>
      <c r="V179" s="3987"/>
      <c r="W179" s="3987"/>
      <c r="X179" s="3987"/>
      <c r="Y179" s="2223"/>
      <c r="Z179" s="2223"/>
      <c r="AA179" s="2223"/>
      <c r="AB179" s="2223"/>
      <c r="AC179" s="2223"/>
      <c r="AD179" s="2223"/>
      <c r="AE179" s="2223"/>
      <c r="AF179" s="2223"/>
      <c r="AG179" s="2223"/>
      <c r="AH179" s="2223"/>
      <c r="AI179" s="2223"/>
      <c r="AJ179" s="2223"/>
      <c r="AK179" s="2223"/>
      <c r="AL179" s="2223"/>
      <c r="AM179" s="2223"/>
      <c r="AN179" s="2223"/>
      <c r="AO179" s="2221"/>
      <c r="AP179" s="2221"/>
      <c r="AQ179" s="2228"/>
    </row>
    <row r="180" spans="1:43" ht="27.75" customHeight="1" x14ac:dyDescent="0.2">
      <c r="A180" s="2229"/>
      <c r="B180" s="2230"/>
      <c r="C180" s="2231"/>
      <c r="D180" s="2230"/>
      <c r="E180" s="2230"/>
      <c r="F180" s="2231"/>
      <c r="G180" s="2232"/>
      <c r="H180" s="2233"/>
      <c r="I180" s="2234"/>
      <c r="J180" s="3898">
        <v>147</v>
      </c>
      <c r="K180" s="3866" t="s">
        <v>2233</v>
      </c>
      <c r="L180" s="3863" t="s">
        <v>2040</v>
      </c>
      <c r="M180" s="3863">
        <v>14</v>
      </c>
      <c r="N180" s="3863" t="s">
        <v>2234</v>
      </c>
      <c r="O180" s="3863" t="s">
        <v>2235</v>
      </c>
      <c r="P180" s="3866" t="s">
        <v>2236</v>
      </c>
      <c r="Q180" s="3917">
        <f>SUM(V180:V183)/R180</f>
        <v>0.48275862068965519</v>
      </c>
      <c r="R180" s="3883">
        <f>SUM(V180:V188)</f>
        <v>29000000</v>
      </c>
      <c r="S180" s="3866" t="s">
        <v>2237</v>
      </c>
      <c r="T180" s="3866" t="s">
        <v>2238</v>
      </c>
      <c r="U180" s="3964" t="s">
        <v>2239</v>
      </c>
      <c r="V180" s="2042">
        <v>6000000</v>
      </c>
      <c r="W180" s="2235">
        <v>61</v>
      </c>
      <c r="X180" s="3863" t="s">
        <v>2240</v>
      </c>
      <c r="Y180" s="3939">
        <v>292684</v>
      </c>
      <c r="Z180" s="3863">
        <v>282326</v>
      </c>
      <c r="AA180" s="3986">
        <v>135912</v>
      </c>
      <c r="AB180" s="3986">
        <v>45122</v>
      </c>
      <c r="AC180" s="3986">
        <f>AC155</f>
        <v>307101</v>
      </c>
      <c r="AD180" s="3986">
        <f>AD155</f>
        <v>86875</v>
      </c>
      <c r="AE180" s="3986">
        <v>2145</v>
      </c>
      <c r="AF180" s="3986">
        <v>12718</v>
      </c>
      <c r="AG180" s="3986">
        <v>26</v>
      </c>
      <c r="AH180" s="3986">
        <v>37</v>
      </c>
      <c r="AI180" s="3986" t="s">
        <v>2047</v>
      </c>
      <c r="AJ180" s="3986" t="s">
        <v>2047</v>
      </c>
      <c r="AK180" s="3986">
        <v>53164</v>
      </c>
      <c r="AL180" s="3986">
        <v>16982</v>
      </c>
      <c r="AM180" s="3986">
        <v>60013</v>
      </c>
      <c r="AN180" s="3986">
        <v>575010</v>
      </c>
      <c r="AO180" s="3878">
        <v>43467</v>
      </c>
      <c r="AP180" s="3878">
        <v>43830</v>
      </c>
      <c r="AQ180" s="3880" t="s">
        <v>2048</v>
      </c>
    </row>
    <row r="181" spans="1:43" ht="24" customHeight="1" x14ac:dyDescent="0.2">
      <c r="A181" s="2229"/>
      <c r="B181" s="2230"/>
      <c r="C181" s="2231"/>
      <c r="D181" s="2230"/>
      <c r="E181" s="2230"/>
      <c r="F181" s="2231"/>
      <c r="G181" s="2237"/>
      <c r="H181" s="2230"/>
      <c r="I181" s="2231"/>
      <c r="J181" s="3899"/>
      <c r="K181" s="3867"/>
      <c r="L181" s="3864"/>
      <c r="M181" s="3864"/>
      <c r="N181" s="3864"/>
      <c r="O181" s="3864"/>
      <c r="P181" s="3867"/>
      <c r="Q181" s="3918"/>
      <c r="R181" s="3884"/>
      <c r="S181" s="3867"/>
      <c r="T181" s="3867"/>
      <c r="U181" s="3965"/>
      <c r="V181" s="2042">
        <v>4000000</v>
      </c>
      <c r="W181" s="2267">
        <v>98</v>
      </c>
      <c r="X181" s="3864"/>
      <c r="Y181" s="3940"/>
      <c r="Z181" s="3864"/>
      <c r="AA181" s="3921"/>
      <c r="AB181" s="3921"/>
      <c r="AC181" s="3921"/>
      <c r="AD181" s="3921"/>
      <c r="AE181" s="3921"/>
      <c r="AF181" s="3921"/>
      <c r="AG181" s="3921"/>
      <c r="AH181" s="3921"/>
      <c r="AI181" s="3921"/>
      <c r="AJ181" s="3921"/>
      <c r="AK181" s="3921"/>
      <c r="AL181" s="3921"/>
      <c r="AM181" s="3921"/>
      <c r="AN181" s="3921"/>
      <c r="AO181" s="3879"/>
      <c r="AP181" s="3879"/>
      <c r="AQ181" s="3881"/>
    </row>
    <row r="182" spans="1:43" ht="60" customHeight="1" x14ac:dyDescent="0.2">
      <c r="A182" s="2229"/>
      <c r="B182" s="2230"/>
      <c r="C182" s="2231"/>
      <c r="D182" s="2230"/>
      <c r="E182" s="2230"/>
      <c r="F182" s="2231"/>
      <c r="G182" s="2237"/>
      <c r="H182" s="2230"/>
      <c r="I182" s="2231"/>
      <c r="J182" s="3899"/>
      <c r="K182" s="3867"/>
      <c r="L182" s="3864"/>
      <c r="M182" s="3864"/>
      <c r="N182" s="3864"/>
      <c r="O182" s="3864"/>
      <c r="P182" s="3867"/>
      <c r="Q182" s="3918"/>
      <c r="R182" s="3884"/>
      <c r="S182" s="3867"/>
      <c r="T182" s="3867"/>
      <c r="U182" s="2287" t="s">
        <v>2241</v>
      </c>
      <c r="V182" s="2042">
        <v>2000000</v>
      </c>
      <c r="W182" s="2267">
        <v>61</v>
      </c>
      <c r="X182" s="3864"/>
      <c r="Y182" s="3940"/>
      <c r="Z182" s="3864"/>
      <c r="AA182" s="3921"/>
      <c r="AB182" s="3921"/>
      <c r="AC182" s="3921"/>
      <c r="AD182" s="3921"/>
      <c r="AE182" s="3921"/>
      <c r="AF182" s="3921"/>
      <c r="AG182" s="3921"/>
      <c r="AH182" s="3921"/>
      <c r="AI182" s="3921"/>
      <c r="AJ182" s="3921"/>
      <c r="AK182" s="3921"/>
      <c r="AL182" s="3921"/>
      <c r="AM182" s="3921"/>
      <c r="AN182" s="3921"/>
      <c r="AO182" s="3879"/>
      <c r="AP182" s="3879"/>
      <c r="AQ182" s="3881"/>
    </row>
    <row r="183" spans="1:43" ht="42.75" x14ac:dyDescent="0.2">
      <c r="A183" s="2229"/>
      <c r="B183" s="2230"/>
      <c r="C183" s="2231"/>
      <c r="D183" s="2230"/>
      <c r="E183" s="2230"/>
      <c r="F183" s="2231"/>
      <c r="G183" s="2237"/>
      <c r="H183" s="2230"/>
      <c r="I183" s="2231"/>
      <c r="J183" s="3900"/>
      <c r="K183" s="3868"/>
      <c r="L183" s="3865"/>
      <c r="M183" s="3865"/>
      <c r="N183" s="3864"/>
      <c r="O183" s="3864"/>
      <c r="P183" s="3867"/>
      <c r="Q183" s="3919"/>
      <c r="R183" s="3884"/>
      <c r="S183" s="3867"/>
      <c r="T183" s="3868"/>
      <c r="U183" s="2287" t="s">
        <v>2242</v>
      </c>
      <c r="V183" s="2042">
        <v>2000000</v>
      </c>
      <c r="W183" s="2267">
        <v>61</v>
      </c>
      <c r="X183" s="3864"/>
      <c r="Y183" s="3940"/>
      <c r="Z183" s="3864"/>
      <c r="AA183" s="3921"/>
      <c r="AB183" s="3921"/>
      <c r="AC183" s="3921"/>
      <c r="AD183" s="3921"/>
      <c r="AE183" s="3921"/>
      <c r="AF183" s="3921"/>
      <c r="AG183" s="3921"/>
      <c r="AH183" s="3921"/>
      <c r="AI183" s="3921"/>
      <c r="AJ183" s="3921"/>
      <c r="AK183" s="3921"/>
      <c r="AL183" s="3921"/>
      <c r="AM183" s="3921"/>
      <c r="AN183" s="3921"/>
      <c r="AO183" s="3879"/>
      <c r="AP183" s="3879"/>
      <c r="AQ183" s="3881"/>
    </row>
    <row r="184" spans="1:43" ht="34.5" customHeight="1" x14ac:dyDescent="0.2">
      <c r="A184" s="2229"/>
      <c r="B184" s="2230"/>
      <c r="C184" s="2231"/>
      <c r="D184" s="2230"/>
      <c r="E184" s="2230"/>
      <c r="F184" s="2231"/>
      <c r="G184" s="2237"/>
      <c r="H184" s="2230"/>
      <c r="I184" s="2231"/>
      <c r="J184" s="3898">
        <v>148</v>
      </c>
      <c r="K184" s="3866" t="s">
        <v>2243</v>
      </c>
      <c r="L184" s="3863" t="s">
        <v>2040</v>
      </c>
      <c r="M184" s="3863">
        <v>11</v>
      </c>
      <c r="N184" s="3864"/>
      <c r="O184" s="3864"/>
      <c r="P184" s="3867"/>
      <c r="Q184" s="3917">
        <f>SUM(V184:V188)/R180</f>
        <v>0.51724137931034486</v>
      </c>
      <c r="R184" s="3884"/>
      <c r="S184" s="3867"/>
      <c r="T184" s="3866" t="s">
        <v>2244</v>
      </c>
      <c r="U184" s="3964" t="s">
        <v>2245</v>
      </c>
      <c r="V184" s="2042">
        <v>7000000</v>
      </c>
      <c r="W184" s="2267">
        <v>61</v>
      </c>
      <c r="X184" s="3864"/>
      <c r="Y184" s="3940"/>
      <c r="Z184" s="3864"/>
      <c r="AA184" s="3921"/>
      <c r="AB184" s="3921"/>
      <c r="AC184" s="3921"/>
      <c r="AD184" s="3921"/>
      <c r="AE184" s="3921"/>
      <c r="AF184" s="3921"/>
      <c r="AG184" s="3921"/>
      <c r="AH184" s="3921"/>
      <c r="AI184" s="3921"/>
      <c r="AJ184" s="3921"/>
      <c r="AK184" s="3921"/>
      <c r="AL184" s="3921"/>
      <c r="AM184" s="3921"/>
      <c r="AN184" s="3921"/>
      <c r="AO184" s="3879"/>
      <c r="AP184" s="3879"/>
      <c r="AQ184" s="3881"/>
    </row>
    <row r="185" spans="1:43" ht="39" customHeight="1" x14ac:dyDescent="0.2">
      <c r="A185" s="2229"/>
      <c r="B185" s="2230"/>
      <c r="C185" s="2231"/>
      <c r="D185" s="2230"/>
      <c r="E185" s="2230"/>
      <c r="F185" s="2231"/>
      <c r="G185" s="2237"/>
      <c r="H185" s="2230"/>
      <c r="I185" s="2231"/>
      <c r="J185" s="3899"/>
      <c r="K185" s="3867"/>
      <c r="L185" s="3864"/>
      <c r="M185" s="3864"/>
      <c r="N185" s="3864"/>
      <c r="O185" s="3864"/>
      <c r="P185" s="3867"/>
      <c r="Q185" s="3918"/>
      <c r="R185" s="3884"/>
      <c r="S185" s="3867"/>
      <c r="T185" s="3867"/>
      <c r="U185" s="3965"/>
      <c r="V185" s="2042">
        <v>5000000</v>
      </c>
      <c r="W185" s="2267">
        <v>98</v>
      </c>
      <c r="X185" s="3864"/>
      <c r="Y185" s="3940"/>
      <c r="Z185" s="3864"/>
      <c r="AA185" s="3921"/>
      <c r="AB185" s="3921"/>
      <c r="AC185" s="3921"/>
      <c r="AD185" s="3921"/>
      <c r="AE185" s="3921"/>
      <c r="AF185" s="3921"/>
      <c r="AG185" s="3921"/>
      <c r="AH185" s="3921"/>
      <c r="AI185" s="3921"/>
      <c r="AJ185" s="3921"/>
      <c r="AK185" s="3921"/>
      <c r="AL185" s="3921"/>
      <c r="AM185" s="3921"/>
      <c r="AN185" s="3921"/>
      <c r="AO185" s="3879"/>
      <c r="AP185" s="3879"/>
      <c r="AQ185" s="3881"/>
    </row>
    <row r="186" spans="1:43" ht="45.75" customHeight="1" x14ac:dyDescent="0.2">
      <c r="A186" s="2229"/>
      <c r="B186" s="2230"/>
      <c r="C186" s="2231"/>
      <c r="D186" s="2230"/>
      <c r="E186" s="2230"/>
      <c r="F186" s="2231"/>
      <c r="G186" s="2237"/>
      <c r="H186" s="2230"/>
      <c r="I186" s="2231"/>
      <c r="J186" s="3899"/>
      <c r="K186" s="3867"/>
      <c r="L186" s="3864"/>
      <c r="M186" s="3864"/>
      <c r="N186" s="3864"/>
      <c r="O186" s="3864"/>
      <c r="P186" s="3867"/>
      <c r="Q186" s="3918"/>
      <c r="R186" s="3884"/>
      <c r="S186" s="3867"/>
      <c r="T186" s="3867"/>
      <c r="U186" s="2287" t="s">
        <v>2246</v>
      </c>
      <c r="V186" s="2042">
        <v>1000000</v>
      </c>
      <c r="W186" s="2235">
        <v>61</v>
      </c>
      <c r="X186" s="3864"/>
      <c r="Y186" s="3940"/>
      <c r="Z186" s="3864"/>
      <c r="AA186" s="3921"/>
      <c r="AB186" s="3921"/>
      <c r="AC186" s="3921"/>
      <c r="AD186" s="3921"/>
      <c r="AE186" s="3921"/>
      <c r="AF186" s="3921"/>
      <c r="AG186" s="3921"/>
      <c r="AH186" s="3921"/>
      <c r="AI186" s="3921"/>
      <c r="AJ186" s="3921"/>
      <c r="AK186" s="3921"/>
      <c r="AL186" s="3921"/>
      <c r="AM186" s="3921"/>
      <c r="AN186" s="3921"/>
      <c r="AO186" s="3879"/>
      <c r="AP186" s="3879"/>
      <c r="AQ186" s="3881"/>
    </row>
    <row r="187" spans="1:43" ht="57.75" customHeight="1" x14ac:dyDescent="0.2">
      <c r="A187" s="2229"/>
      <c r="B187" s="2230"/>
      <c r="C187" s="2231"/>
      <c r="D187" s="2230"/>
      <c r="E187" s="2230"/>
      <c r="F187" s="2231"/>
      <c r="G187" s="2237"/>
      <c r="H187" s="2230"/>
      <c r="I187" s="2231"/>
      <c r="J187" s="3899"/>
      <c r="K187" s="3867"/>
      <c r="L187" s="3864"/>
      <c r="M187" s="3864"/>
      <c r="N187" s="3864"/>
      <c r="O187" s="3864"/>
      <c r="P187" s="3867"/>
      <c r="Q187" s="3918"/>
      <c r="R187" s="3884"/>
      <c r="S187" s="3867"/>
      <c r="T187" s="3867"/>
      <c r="U187" s="2287" t="s">
        <v>2247</v>
      </c>
      <c r="V187" s="2042">
        <v>1000000</v>
      </c>
      <c r="W187" s="2235">
        <v>61</v>
      </c>
      <c r="X187" s="3864"/>
      <c r="Y187" s="3940"/>
      <c r="Z187" s="3864"/>
      <c r="AA187" s="3921"/>
      <c r="AB187" s="3921"/>
      <c r="AC187" s="3921"/>
      <c r="AD187" s="3921"/>
      <c r="AE187" s="3921"/>
      <c r="AF187" s="3921"/>
      <c r="AG187" s="3921"/>
      <c r="AH187" s="3921"/>
      <c r="AI187" s="3921"/>
      <c r="AJ187" s="3921"/>
      <c r="AK187" s="3921"/>
      <c r="AL187" s="3921"/>
      <c r="AM187" s="3921"/>
      <c r="AN187" s="3921"/>
      <c r="AO187" s="3879"/>
      <c r="AP187" s="3879"/>
      <c r="AQ187" s="3881"/>
    </row>
    <row r="188" spans="1:43" ht="57" x14ac:dyDescent="0.2">
      <c r="A188" s="2229"/>
      <c r="B188" s="2230"/>
      <c r="C188" s="2231"/>
      <c r="D188" s="2230"/>
      <c r="E188" s="2230"/>
      <c r="F188" s="2231"/>
      <c r="G188" s="2241"/>
      <c r="H188" s="2239"/>
      <c r="I188" s="2240"/>
      <c r="J188" s="3900"/>
      <c r="K188" s="3868"/>
      <c r="L188" s="3865"/>
      <c r="M188" s="3865"/>
      <c r="N188" s="3865"/>
      <c r="O188" s="3865"/>
      <c r="P188" s="3868"/>
      <c r="Q188" s="3919"/>
      <c r="R188" s="3904"/>
      <c r="S188" s="3868"/>
      <c r="T188" s="3868"/>
      <c r="U188" s="2287" t="s">
        <v>2248</v>
      </c>
      <c r="V188" s="2042">
        <v>1000000</v>
      </c>
      <c r="W188" s="2235">
        <v>61</v>
      </c>
      <c r="X188" s="3865"/>
      <c r="Y188" s="3941"/>
      <c r="Z188" s="3865"/>
      <c r="AA188" s="3922"/>
      <c r="AB188" s="3922"/>
      <c r="AC188" s="3922"/>
      <c r="AD188" s="3922"/>
      <c r="AE188" s="3922"/>
      <c r="AF188" s="3922"/>
      <c r="AG188" s="3922"/>
      <c r="AH188" s="3922"/>
      <c r="AI188" s="3922"/>
      <c r="AJ188" s="3922"/>
      <c r="AK188" s="3922"/>
      <c r="AL188" s="3922"/>
      <c r="AM188" s="3922"/>
      <c r="AN188" s="3922"/>
      <c r="AO188" s="3901"/>
      <c r="AP188" s="3901"/>
      <c r="AQ188" s="3887"/>
    </row>
    <row r="189" spans="1:43" ht="36" customHeight="1" x14ac:dyDescent="0.2">
      <c r="A189" s="2215"/>
      <c r="B189" s="2216"/>
      <c r="C189" s="2217"/>
      <c r="D189" s="2216"/>
      <c r="E189" s="2216"/>
      <c r="F189" s="2217"/>
      <c r="G189" s="2249">
        <v>42</v>
      </c>
      <c r="H189" s="2221" t="s">
        <v>2249</v>
      </c>
      <c r="I189" s="2221"/>
      <c r="J189" s="2221"/>
      <c r="K189" s="2222"/>
      <c r="L189" s="2221"/>
      <c r="M189" s="2221"/>
      <c r="N189" s="2223"/>
      <c r="O189" s="2221"/>
      <c r="P189" s="2222"/>
      <c r="Q189" s="2221"/>
      <c r="R189" s="2250"/>
      <c r="S189" s="2222"/>
      <c r="T189" s="2222"/>
      <c r="U189" s="2222"/>
      <c r="V189" s="2293"/>
      <c r="W189" s="2294"/>
      <c r="X189" s="2295"/>
      <c r="Y189" s="2223"/>
      <c r="Z189" s="2223"/>
      <c r="AA189" s="2223"/>
      <c r="AB189" s="2223"/>
      <c r="AC189" s="2223"/>
      <c r="AD189" s="2223"/>
      <c r="AE189" s="2223"/>
      <c r="AF189" s="2223"/>
      <c r="AG189" s="2223"/>
      <c r="AH189" s="2223"/>
      <c r="AI189" s="2223"/>
      <c r="AJ189" s="2223"/>
      <c r="AK189" s="2223"/>
      <c r="AL189" s="2223"/>
      <c r="AM189" s="2223"/>
      <c r="AN189" s="2223"/>
      <c r="AO189" s="2221"/>
      <c r="AP189" s="2221"/>
      <c r="AQ189" s="2228"/>
    </row>
    <row r="190" spans="1:43" ht="81" customHeight="1" x14ac:dyDescent="0.2">
      <c r="A190" s="2229"/>
      <c r="B190" s="2230"/>
      <c r="C190" s="2231"/>
      <c r="D190" s="2230"/>
      <c r="E190" s="2230"/>
      <c r="F190" s="2231"/>
      <c r="G190" s="2232"/>
      <c r="H190" s="2233"/>
      <c r="I190" s="2234"/>
      <c r="J190" s="3898">
        <v>149</v>
      </c>
      <c r="K190" s="3866" t="s">
        <v>2250</v>
      </c>
      <c r="L190" s="3863" t="s">
        <v>2040</v>
      </c>
      <c r="M190" s="3863">
        <v>8</v>
      </c>
      <c r="N190" s="3863" t="s">
        <v>2251</v>
      </c>
      <c r="O190" s="3863" t="s">
        <v>2252</v>
      </c>
      <c r="P190" s="3866" t="s">
        <v>2253</v>
      </c>
      <c r="Q190" s="3917">
        <f>SUM(V190:V195)/R190</f>
        <v>0.63157894736842102</v>
      </c>
      <c r="R190" s="3883">
        <f>SUM(V190:V200)</f>
        <v>76000000</v>
      </c>
      <c r="S190" s="3866" t="s">
        <v>2254</v>
      </c>
      <c r="T190" s="3866" t="s">
        <v>2255</v>
      </c>
      <c r="U190" s="2287" t="s">
        <v>2256</v>
      </c>
      <c r="V190" s="2296">
        <v>8000000</v>
      </c>
      <c r="W190" s="2235">
        <v>61</v>
      </c>
      <c r="X190" s="3863" t="s">
        <v>2257</v>
      </c>
      <c r="Y190" s="3863">
        <v>292684</v>
      </c>
      <c r="Z190" s="3863">
        <v>282326</v>
      </c>
      <c r="AA190" s="3863">
        <v>135912</v>
      </c>
      <c r="AB190" s="3863">
        <v>45122</v>
      </c>
      <c r="AC190" s="3863">
        <v>307101</v>
      </c>
      <c r="AD190" s="3863">
        <v>86875</v>
      </c>
      <c r="AE190" s="3863">
        <v>2145</v>
      </c>
      <c r="AF190" s="3863">
        <v>12718</v>
      </c>
      <c r="AG190" s="3863">
        <v>26</v>
      </c>
      <c r="AH190" s="3863">
        <v>37</v>
      </c>
      <c r="AI190" s="3863" t="s">
        <v>2047</v>
      </c>
      <c r="AJ190" s="3863" t="s">
        <v>2047</v>
      </c>
      <c r="AK190" s="3863">
        <v>53164</v>
      </c>
      <c r="AL190" s="3863">
        <v>16982</v>
      </c>
      <c r="AM190" s="3863">
        <v>60013</v>
      </c>
      <c r="AN190" s="3863">
        <v>575010</v>
      </c>
      <c r="AO190" s="3878">
        <v>43467</v>
      </c>
      <c r="AP190" s="3878">
        <v>43830</v>
      </c>
      <c r="AQ190" s="3880" t="s">
        <v>2048</v>
      </c>
    </row>
    <row r="191" spans="1:43" ht="78.75" customHeight="1" x14ac:dyDescent="0.2">
      <c r="A191" s="2229"/>
      <c r="B191" s="2230"/>
      <c r="C191" s="2231"/>
      <c r="D191" s="2230"/>
      <c r="E191" s="2230"/>
      <c r="F191" s="2231"/>
      <c r="G191" s="2237"/>
      <c r="H191" s="2230"/>
      <c r="I191" s="2231"/>
      <c r="J191" s="3899"/>
      <c r="K191" s="3867"/>
      <c r="L191" s="3864"/>
      <c r="M191" s="3864"/>
      <c r="N191" s="3864"/>
      <c r="O191" s="3864"/>
      <c r="P191" s="3867"/>
      <c r="Q191" s="3918"/>
      <c r="R191" s="3884"/>
      <c r="S191" s="3867"/>
      <c r="T191" s="3867"/>
      <c r="U191" s="2287" t="s">
        <v>2258</v>
      </c>
      <c r="V191" s="2296">
        <v>8000000</v>
      </c>
      <c r="W191" s="2235">
        <v>61</v>
      </c>
      <c r="X191" s="3864"/>
      <c r="Y191" s="3864"/>
      <c r="Z191" s="3864"/>
      <c r="AA191" s="3864"/>
      <c r="AB191" s="3864"/>
      <c r="AC191" s="3864"/>
      <c r="AD191" s="3864"/>
      <c r="AE191" s="3864"/>
      <c r="AF191" s="3864"/>
      <c r="AG191" s="3864"/>
      <c r="AH191" s="3864"/>
      <c r="AI191" s="3864"/>
      <c r="AJ191" s="3864"/>
      <c r="AK191" s="3864"/>
      <c r="AL191" s="3864"/>
      <c r="AM191" s="3864"/>
      <c r="AN191" s="3864"/>
      <c r="AO191" s="3879"/>
      <c r="AP191" s="3879"/>
      <c r="AQ191" s="3881"/>
    </row>
    <row r="192" spans="1:43" ht="81" customHeight="1" x14ac:dyDescent="0.2">
      <c r="A192" s="2229"/>
      <c r="B192" s="2230"/>
      <c r="C192" s="2231"/>
      <c r="D192" s="2230"/>
      <c r="E192" s="2230"/>
      <c r="F192" s="2231"/>
      <c r="G192" s="2237"/>
      <c r="H192" s="2230"/>
      <c r="I192" s="2231"/>
      <c r="J192" s="3899"/>
      <c r="K192" s="3867"/>
      <c r="L192" s="3864"/>
      <c r="M192" s="3864"/>
      <c r="N192" s="3864"/>
      <c r="O192" s="3864"/>
      <c r="P192" s="3867"/>
      <c r="Q192" s="3918"/>
      <c r="R192" s="3884"/>
      <c r="S192" s="3867"/>
      <c r="T192" s="3867"/>
      <c r="U192" s="2287" t="s">
        <v>2259</v>
      </c>
      <c r="V192" s="2296">
        <v>8000000</v>
      </c>
      <c r="W192" s="2235">
        <v>61</v>
      </c>
      <c r="X192" s="3864"/>
      <c r="Y192" s="3864"/>
      <c r="Z192" s="3864"/>
      <c r="AA192" s="3864"/>
      <c r="AB192" s="3864"/>
      <c r="AC192" s="3864"/>
      <c r="AD192" s="3864"/>
      <c r="AE192" s="3864"/>
      <c r="AF192" s="3864"/>
      <c r="AG192" s="3864"/>
      <c r="AH192" s="3864"/>
      <c r="AI192" s="3864"/>
      <c r="AJ192" s="3864"/>
      <c r="AK192" s="3864"/>
      <c r="AL192" s="3864"/>
      <c r="AM192" s="3864"/>
      <c r="AN192" s="3864"/>
      <c r="AO192" s="3879"/>
      <c r="AP192" s="3879"/>
      <c r="AQ192" s="3881"/>
    </row>
    <row r="193" spans="1:43" ht="82.5" customHeight="1" x14ac:dyDescent="0.2">
      <c r="A193" s="2229"/>
      <c r="B193" s="2230"/>
      <c r="C193" s="2231"/>
      <c r="D193" s="2230"/>
      <c r="E193" s="2230"/>
      <c r="F193" s="2231"/>
      <c r="G193" s="2237"/>
      <c r="H193" s="2230"/>
      <c r="I193" s="2231"/>
      <c r="J193" s="3899"/>
      <c r="K193" s="3867"/>
      <c r="L193" s="3864"/>
      <c r="M193" s="3864"/>
      <c r="N193" s="3864"/>
      <c r="O193" s="3864"/>
      <c r="P193" s="3867"/>
      <c r="Q193" s="3918"/>
      <c r="R193" s="3884"/>
      <c r="S193" s="3867"/>
      <c r="T193" s="3867"/>
      <c r="U193" s="2287" t="s">
        <v>2260</v>
      </c>
      <c r="V193" s="2296">
        <v>8000000</v>
      </c>
      <c r="W193" s="2235">
        <v>61</v>
      </c>
      <c r="X193" s="3864"/>
      <c r="Y193" s="3864"/>
      <c r="Z193" s="3864"/>
      <c r="AA193" s="3864"/>
      <c r="AB193" s="3864"/>
      <c r="AC193" s="3864"/>
      <c r="AD193" s="3864"/>
      <c r="AE193" s="3864"/>
      <c r="AF193" s="3864"/>
      <c r="AG193" s="3864"/>
      <c r="AH193" s="3864"/>
      <c r="AI193" s="3864"/>
      <c r="AJ193" s="3864"/>
      <c r="AK193" s="3864"/>
      <c r="AL193" s="3864"/>
      <c r="AM193" s="3864"/>
      <c r="AN193" s="3864"/>
      <c r="AO193" s="3879"/>
      <c r="AP193" s="3879"/>
      <c r="AQ193" s="3881"/>
    </row>
    <row r="194" spans="1:43" ht="42.75" x14ac:dyDescent="0.2">
      <c r="A194" s="2229"/>
      <c r="B194" s="2230"/>
      <c r="C194" s="2231"/>
      <c r="D194" s="2230"/>
      <c r="E194" s="2230"/>
      <c r="F194" s="2231"/>
      <c r="G194" s="2237"/>
      <c r="H194" s="2230"/>
      <c r="I194" s="2231"/>
      <c r="J194" s="3899"/>
      <c r="K194" s="3867"/>
      <c r="L194" s="3864"/>
      <c r="M194" s="3864"/>
      <c r="N194" s="3864"/>
      <c r="O194" s="3864"/>
      <c r="P194" s="3867"/>
      <c r="Q194" s="3918"/>
      <c r="R194" s="3884"/>
      <c r="S194" s="3867"/>
      <c r="T194" s="3867"/>
      <c r="U194" s="2287" t="s">
        <v>2261</v>
      </c>
      <c r="V194" s="2296">
        <v>8000000</v>
      </c>
      <c r="W194" s="2235">
        <v>61</v>
      </c>
      <c r="X194" s="3864"/>
      <c r="Y194" s="3864"/>
      <c r="Z194" s="3864"/>
      <c r="AA194" s="3864"/>
      <c r="AB194" s="3864"/>
      <c r="AC194" s="3864"/>
      <c r="AD194" s="3864"/>
      <c r="AE194" s="3864"/>
      <c r="AF194" s="3864"/>
      <c r="AG194" s="3864"/>
      <c r="AH194" s="3864"/>
      <c r="AI194" s="3864"/>
      <c r="AJ194" s="3864"/>
      <c r="AK194" s="3864"/>
      <c r="AL194" s="3864"/>
      <c r="AM194" s="3864"/>
      <c r="AN194" s="3864"/>
      <c r="AO194" s="3879"/>
      <c r="AP194" s="3879"/>
      <c r="AQ194" s="3881"/>
    </row>
    <row r="195" spans="1:43" ht="67.5" customHeight="1" x14ac:dyDescent="0.2">
      <c r="A195" s="2229"/>
      <c r="B195" s="2230"/>
      <c r="C195" s="2231"/>
      <c r="D195" s="2230"/>
      <c r="E195" s="2230"/>
      <c r="F195" s="2231"/>
      <c r="G195" s="2237"/>
      <c r="H195" s="2230"/>
      <c r="I195" s="2231"/>
      <c r="J195" s="3900"/>
      <c r="K195" s="3868"/>
      <c r="L195" s="3865"/>
      <c r="M195" s="3865"/>
      <c r="N195" s="3864"/>
      <c r="O195" s="3864"/>
      <c r="P195" s="3867"/>
      <c r="Q195" s="3919"/>
      <c r="R195" s="3884"/>
      <c r="S195" s="3867"/>
      <c r="T195" s="3868"/>
      <c r="U195" s="2287" t="s">
        <v>2262</v>
      </c>
      <c r="V195" s="2296">
        <v>8000000</v>
      </c>
      <c r="W195" s="2235">
        <v>61</v>
      </c>
      <c r="X195" s="3864"/>
      <c r="Y195" s="3864"/>
      <c r="Z195" s="3864"/>
      <c r="AA195" s="3864"/>
      <c r="AB195" s="3864"/>
      <c r="AC195" s="3864"/>
      <c r="AD195" s="3864"/>
      <c r="AE195" s="3864"/>
      <c r="AF195" s="3864"/>
      <c r="AG195" s="3864"/>
      <c r="AH195" s="3864"/>
      <c r="AI195" s="3864"/>
      <c r="AJ195" s="3864"/>
      <c r="AK195" s="3864"/>
      <c r="AL195" s="3864"/>
      <c r="AM195" s="3864"/>
      <c r="AN195" s="3864"/>
      <c r="AO195" s="3879"/>
      <c r="AP195" s="3879"/>
      <c r="AQ195" s="3881"/>
    </row>
    <row r="196" spans="1:43" ht="66.75" customHeight="1" x14ac:dyDescent="0.2">
      <c r="A196" s="2229"/>
      <c r="B196" s="2230"/>
      <c r="C196" s="2231"/>
      <c r="D196" s="2230"/>
      <c r="E196" s="2230"/>
      <c r="F196" s="2231"/>
      <c r="G196" s="2237"/>
      <c r="H196" s="2230"/>
      <c r="I196" s="2231"/>
      <c r="J196" s="3898">
        <v>150</v>
      </c>
      <c r="K196" s="3866" t="s">
        <v>2263</v>
      </c>
      <c r="L196" s="3863" t="s">
        <v>2040</v>
      </c>
      <c r="M196" s="3863">
        <v>14</v>
      </c>
      <c r="N196" s="3864"/>
      <c r="O196" s="3864"/>
      <c r="P196" s="3867"/>
      <c r="Q196" s="3917">
        <f>(V196+V199+V200+V197+V198)/R190</f>
        <v>0.36842105263157893</v>
      </c>
      <c r="R196" s="3884"/>
      <c r="S196" s="3867"/>
      <c r="T196" s="3866" t="s">
        <v>2264</v>
      </c>
      <c r="U196" s="2287" t="s">
        <v>2265</v>
      </c>
      <c r="V196" s="2296">
        <v>5000000</v>
      </c>
      <c r="W196" s="2235">
        <v>61</v>
      </c>
      <c r="X196" s="3864"/>
      <c r="Y196" s="3864"/>
      <c r="Z196" s="3864"/>
      <c r="AA196" s="3864"/>
      <c r="AB196" s="3864"/>
      <c r="AC196" s="3864"/>
      <c r="AD196" s="3864"/>
      <c r="AE196" s="3864"/>
      <c r="AF196" s="3864"/>
      <c r="AG196" s="3864"/>
      <c r="AH196" s="3864"/>
      <c r="AI196" s="3864"/>
      <c r="AJ196" s="3864"/>
      <c r="AK196" s="3864"/>
      <c r="AL196" s="3864"/>
      <c r="AM196" s="3864"/>
      <c r="AN196" s="3864"/>
      <c r="AO196" s="3879"/>
      <c r="AP196" s="3879"/>
      <c r="AQ196" s="3881"/>
    </row>
    <row r="197" spans="1:43" ht="68.25" customHeight="1" x14ac:dyDescent="0.2">
      <c r="A197" s="2229"/>
      <c r="B197" s="2230"/>
      <c r="C197" s="2231"/>
      <c r="D197" s="2230"/>
      <c r="E197" s="2230"/>
      <c r="F197" s="2231"/>
      <c r="G197" s="2237"/>
      <c r="H197" s="2230"/>
      <c r="I197" s="2231"/>
      <c r="J197" s="3899"/>
      <c r="K197" s="3867"/>
      <c r="L197" s="3864"/>
      <c r="M197" s="3864"/>
      <c r="N197" s="3864"/>
      <c r="O197" s="3864"/>
      <c r="P197" s="3867"/>
      <c r="Q197" s="3918"/>
      <c r="R197" s="3884"/>
      <c r="S197" s="3867"/>
      <c r="T197" s="3867"/>
      <c r="U197" s="2287" t="s">
        <v>2266</v>
      </c>
      <c r="V197" s="2296">
        <v>5000000</v>
      </c>
      <c r="W197" s="2235">
        <v>61</v>
      </c>
      <c r="X197" s="3864"/>
      <c r="Y197" s="3864"/>
      <c r="Z197" s="3864"/>
      <c r="AA197" s="3864"/>
      <c r="AB197" s="3864"/>
      <c r="AC197" s="3864"/>
      <c r="AD197" s="3864"/>
      <c r="AE197" s="3864"/>
      <c r="AF197" s="3864"/>
      <c r="AG197" s="3864"/>
      <c r="AH197" s="3864"/>
      <c r="AI197" s="3864"/>
      <c r="AJ197" s="3864"/>
      <c r="AK197" s="3864"/>
      <c r="AL197" s="3864"/>
      <c r="AM197" s="3864"/>
      <c r="AN197" s="3864"/>
      <c r="AO197" s="3879"/>
      <c r="AP197" s="3879"/>
      <c r="AQ197" s="3881"/>
    </row>
    <row r="198" spans="1:43" ht="94.5" customHeight="1" x14ac:dyDescent="0.2">
      <c r="A198" s="2229"/>
      <c r="B198" s="2230"/>
      <c r="C198" s="2231"/>
      <c r="D198" s="2230"/>
      <c r="E198" s="2230"/>
      <c r="F198" s="2231"/>
      <c r="G198" s="2237"/>
      <c r="H198" s="2230"/>
      <c r="I198" s="2231"/>
      <c r="J198" s="3899"/>
      <c r="K198" s="3867"/>
      <c r="L198" s="3864"/>
      <c r="M198" s="3864"/>
      <c r="N198" s="3864"/>
      <c r="O198" s="3864"/>
      <c r="P198" s="3867"/>
      <c r="Q198" s="3918"/>
      <c r="R198" s="3884"/>
      <c r="S198" s="3867"/>
      <c r="T198" s="3867"/>
      <c r="U198" s="2287" t="s">
        <v>2267</v>
      </c>
      <c r="V198" s="2296">
        <v>5000000</v>
      </c>
      <c r="W198" s="2235">
        <v>61</v>
      </c>
      <c r="X198" s="3864"/>
      <c r="Y198" s="3864"/>
      <c r="Z198" s="3864"/>
      <c r="AA198" s="3864"/>
      <c r="AB198" s="3864"/>
      <c r="AC198" s="3864"/>
      <c r="AD198" s="3864"/>
      <c r="AE198" s="3864"/>
      <c r="AF198" s="3864"/>
      <c r="AG198" s="3864"/>
      <c r="AH198" s="3864"/>
      <c r="AI198" s="3864"/>
      <c r="AJ198" s="3864"/>
      <c r="AK198" s="3864"/>
      <c r="AL198" s="3864"/>
      <c r="AM198" s="3864"/>
      <c r="AN198" s="3864"/>
      <c r="AO198" s="3879"/>
      <c r="AP198" s="3879"/>
      <c r="AQ198" s="3881"/>
    </row>
    <row r="199" spans="1:43" ht="58.5" customHeight="1" x14ac:dyDescent="0.2">
      <c r="A199" s="2229"/>
      <c r="B199" s="2230"/>
      <c r="C199" s="2231"/>
      <c r="D199" s="2230"/>
      <c r="E199" s="2230"/>
      <c r="F199" s="2231"/>
      <c r="G199" s="2237"/>
      <c r="H199" s="2230"/>
      <c r="I199" s="2231"/>
      <c r="J199" s="3899"/>
      <c r="K199" s="3867"/>
      <c r="L199" s="3864"/>
      <c r="M199" s="3864"/>
      <c r="N199" s="3864"/>
      <c r="O199" s="3864"/>
      <c r="P199" s="3867"/>
      <c r="Q199" s="3918"/>
      <c r="R199" s="3884"/>
      <c r="S199" s="3867"/>
      <c r="T199" s="3867"/>
      <c r="U199" s="2287" t="s">
        <v>2268</v>
      </c>
      <c r="V199" s="2296">
        <v>5000000</v>
      </c>
      <c r="W199" s="2235">
        <v>61</v>
      </c>
      <c r="X199" s="3864"/>
      <c r="Y199" s="3864"/>
      <c r="Z199" s="3864"/>
      <c r="AA199" s="3864"/>
      <c r="AB199" s="3864"/>
      <c r="AC199" s="3864"/>
      <c r="AD199" s="3864"/>
      <c r="AE199" s="3864"/>
      <c r="AF199" s="3864"/>
      <c r="AG199" s="3864"/>
      <c r="AH199" s="3864"/>
      <c r="AI199" s="3864"/>
      <c r="AJ199" s="3864"/>
      <c r="AK199" s="3864"/>
      <c r="AL199" s="3864"/>
      <c r="AM199" s="3864"/>
      <c r="AN199" s="3864"/>
      <c r="AO199" s="3879"/>
      <c r="AP199" s="3879"/>
      <c r="AQ199" s="3881"/>
    </row>
    <row r="200" spans="1:43" ht="59.25" customHeight="1" x14ac:dyDescent="0.2">
      <c r="A200" s="2229"/>
      <c r="B200" s="2230"/>
      <c r="C200" s="2231"/>
      <c r="D200" s="2230"/>
      <c r="E200" s="2230"/>
      <c r="F200" s="2231"/>
      <c r="G200" s="2241"/>
      <c r="H200" s="2239"/>
      <c r="I200" s="2240"/>
      <c r="J200" s="3900"/>
      <c r="K200" s="3868"/>
      <c r="L200" s="3865"/>
      <c r="M200" s="3865"/>
      <c r="N200" s="3865"/>
      <c r="O200" s="3865"/>
      <c r="P200" s="3868"/>
      <c r="Q200" s="3919"/>
      <c r="R200" s="3904"/>
      <c r="S200" s="3868"/>
      <c r="T200" s="3868"/>
      <c r="U200" s="2287" t="s">
        <v>2269</v>
      </c>
      <c r="V200" s="2296">
        <v>8000000</v>
      </c>
      <c r="W200" s="2235">
        <v>61</v>
      </c>
      <c r="X200" s="3865"/>
      <c r="Y200" s="3865"/>
      <c r="Z200" s="3865"/>
      <c r="AA200" s="3865"/>
      <c r="AB200" s="3865"/>
      <c r="AC200" s="3865"/>
      <c r="AD200" s="3865"/>
      <c r="AE200" s="3865"/>
      <c r="AF200" s="3865"/>
      <c r="AG200" s="3865"/>
      <c r="AH200" s="3865"/>
      <c r="AI200" s="3865"/>
      <c r="AJ200" s="3865"/>
      <c r="AK200" s="3865"/>
      <c r="AL200" s="3865"/>
      <c r="AM200" s="3865"/>
      <c r="AN200" s="3865"/>
      <c r="AO200" s="3901"/>
      <c r="AP200" s="3901"/>
      <c r="AQ200" s="3887"/>
    </row>
    <row r="201" spans="1:43" ht="36" customHeight="1" x14ac:dyDescent="0.2">
      <c r="A201" s="2215"/>
      <c r="B201" s="2216"/>
      <c r="C201" s="2217"/>
      <c r="D201" s="2216"/>
      <c r="E201" s="2216"/>
      <c r="F201" s="2217"/>
      <c r="G201" s="2249">
        <v>43</v>
      </c>
      <c r="H201" s="2221" t="s">
        <v>2270</v>
      </c>
      <c r="I201" s="2221"/>
      <c r="J201" s="2221"/>
      <c r="K201" s="2222"/>
      <c r="L201" s="2221"/>
      <c r="M201" s="2221"/>
      <c r="N201" s="2223"/>
      <c r="O201" s="2221"/>
      <c r="P201" s="2222"/>
      <c r="Q201" s="2221"/>
      <c r="R201" s="2250"/>
      <c r="S201" s="2222"/>
      <c r="T201" s="2222"/>
      <c r="U201" s="2222"/>
      <c r="V201" s="2297"/>
      <c r="W201" s="2294"/>
      <c r="X201" s="2295"/>
      <c r="Y201" s="2223"/>
      <c r="Z201" s="2223"/>
      <c r="AA201" s="2223"/>
      <c r="AB201" s="2223"/>
      <c r="AC201" s="2223"/>
      <c r="AD201" s="2223"/>
      <c r="AE201" s="2223"/>
      <c r="AF201" s="2223"/>
      <c r="AG201" s="2223"/>
      <c r="AH201" s="2223"/>
      <c r="AI201" s="2223"/>
      <c r="AJ201" s="2223"/>
      <c r="AK201" s="2223"/>
      <c r="AL201" s="2223"/>
      <c r="AM201" s="2223"/>
      <c r="AN201" s="2223"/>
      <c r="AO201" s="2221"/>
      <c r="AP201" s="2221"/>
      <c r="AQ201" s="2228"/>
    </row>
    <row r="202" spans="1:43" ht="81.75" customHeight="1" x14ac:dyDescent="0.2">
      <c r="A202" s="2254"/>
      <c r="B202" s="2255"/>
      <c r="C202" s="2256"/>
      <c r="D202" s="2255"/>
      <c r="E202" s="2255"/>
      <c r="F202" s="2256"/>
      <c r="G202" s="2257"/>
      <c r="H202" s="2258"/>
      <c r="I202" s="2259"/>
      <c r="J202" s="3898">
        <v>151</v>
      </c>
      <c r="K202" s="3889" t="s">
        <v>2271</v>
      </c>
      <c r="L202" s="3936" t="s">
        <v>2040</v>
      </c>
      <c r="M202" s="3936">
        <v>12</v>
      </c>
      <c r="N202" s="2298"/>
      <c r="O202" s="3863" t="s">
        <v>2272</v>
      </c>
      <c r="P202" s="3866" t="s">
        <v>2273</v>
      </c>
      <c r="Q202" s="3917">
        <f>SUM(V202:V206)/R202</f>
        <v>7.1805462249808105E-2</v>
      </c>
      <c r="R202" s="3883">
        <f>SUM(V202:V216)</f>
        <v>1615475987</v>
      </c>
      <c r="S202" s="3866" t="s">
        <v>2274</v>
      </c>
      <c r="T202" s="3866" t="s">
        <v>2275</v>
      </c>
      <c r="U202" s="2287" t="s">
        <v>2276</v>
      </c>
      <c r="V202" s="2296">
        <v>15000000</v>
      </c>
      <c r="W202" s="2235">
        <v>61</v>
      </c>
      <c r="X202" s="3863" t="s">
        <v>2277</v>
      </c>
      <c r="Y202" s="3863">
        <v>292684</v>
      </c>
      <c r="Z202" s="3863">
        <v>282326</v>
      </c>
      <c r="AA202" s="3863">
        <v>135912</v>
      </c>
      <c r="AB202" s="3863">
        <v>45122</v>
      </c>
      <c r="AC202" s="3863">
        <v>307101</v>
      </c>
      <c r="AD202" s="3863">
        <v>86875</v>
      </c>
      <c r="AE202" s="3863">
        <v>2145</v>
      </c>
      <c r="AF202" s="3863">
        <v>12718</v>
      </c>
      <c r="AG202" s="3863">
        <v>26</v>
      </c>
      <c r="AH202" s="3863">
        <v>37</v>
      </c>
      <c r="AI202" s="3863" t="s">
        <v>2047</v>
      </c>
      <c r="AJ202" s="3863" t="s">
        <v>2047</v>
      </c>
      <c r="AK202" s="3863">
        <v>53164</v>
      </c>
      <c r="AL202" s="3863">
        <v>16982</v>
      </c>
      <c r="AM202" s="3863">
        <v>60013</v>
      </c>
      <c r="AN202" s="3863">
        <v>575010</v>
      </c>
      <c r="AO202" s="3981">
        <f>+AO190</f>
        <v>43467</v>
      </c>
      <c r="AP202" s="3981">
        <v>43830</v>
      </c>
      <c r="AQ202" s="3880" t="s">
        <v>2048</v>
      </c>
    </row>
    <row r="203" spans="1:43" ht="29.25" customHeight="1" x14ac:dyDescent="0.2">
      <c r="A203" s="2254"/>
      <c r="B203" s="2255"/>
      <c r="C203" s="2256"/>
      <c r="D203" s="2255"/>
      <c r="E203" s="2255"/>
      <c r="F203" s="2256"/>
      <c r="G203" s="2260"/>
      <c r="H203" s="2255"/>
      <c r="I203" s="2256"/>
      <c r="J203" s="3899"/>
      <c r="K203" s="3890"/>
      <c r="L203" s="3936"/>
      <c r="M203" s="3936"/>
      <c r="N203" s="2299"/>
      <c r="O203" s="3864"/>
      <c r="P203" s="3867"/>
      <c r="Q203" s="3918"/>
      <c r="R203" s="3884"/>
      <c r="S203" s="3867"/>
      <c r="T203" s="3867"/>
      <c r="U203" s="3964" t="s">
        <v>2278</v>
      </c>
      <c r="V203" s="2296">
        <v>9000000</v>
      </c>
      <c r="W203" s="2235">
        <v>61</v>
      </c>
      <c r="X203" s="3864"/>
      <c r="Y203" s="3864"/>
      <c r="Z203" s="3864"/>
      <c r="AA203" s="3864"/>
      <c r="AB203" s="3864"/>
      <c r="AC203" s="3864"/>
      <c r="AD203" s="3864"/>
      <c r="AE203" s="3864"/>
      <c r="AF203" s="3864"/>
      <c r="AG203" s="3864"/>
      <c r="AH203" s="3864"/>
      <c r="AI203" s="3864"/>
      <c r="AJ203" s="3864"/>
      <c r="AK203" s="3864"/>
      <c r="AL203" s="3864"/>
      <c r="AM203" s="3864"/>
      <c r="AN203" s="3864"/>
      <c r="AO203" s="3982"/>
      <c r="AP203" s="3982"/>
      <c r="AQ203" s="3881"/>
    </row>
    <row r="204" spans="1:43" ht="30" customHeight="1" x14ac:dyDescent="0.2">
      <c r="A204" s="2254"/>
      <c r="B204" s="2255"/>
      <c r="C204" s="2256"/>
      <c r="D204" s="2255"/>
      <c r="E204" s="2255"/>
      <c r="F204" s="2256"/>
      <c r="G204" s="2260"/>
      <c r="H204" s="2255"/>
      <c r="I204" s="2256"/>
      <c r="J204" s="3899"/>
      <c r="K204" s="3890"/>
      <c r="L204" s="3936"/>
      <c r="M204" s="3936"/>
      <c r="N204" s="2299"/>
      <c r="O204" s="3864"/>
      <c r="P204" s="3867"/>
      <c r="Q204" s="3918"/>
      <c r="R204" s="3884"/>
      <c r="S204" s="3867"/>
      <c r="T204" s="3867"/>
      <c r="U204" s="3966"/>
      <c r="V204" s="2296">
        <v>36000000</v>
      </c>
      <c r="W204" s="2235">
        <v>20</v>
      </c>
      <c r="X204" s="3864"/>
      <c r="Y204" s="3864"/>
      <c r="Z204" s="3864"/>
      <c r="AA204" s="3864"/>
      <c r="AB204" s="3864"/>
      <c r="AC204" s="3864"/>
      <c r="AD204" s="3864"/>
      <c r="AE204" s="3864"/>
      <c r="AF204" s="3864"/>
      <c r="AG204" s="3864"/>
      <c r="AH204" s="3864"/>
      <c r="AI204" s="3864"/>
      <c r="AJ204" s="3864"/>
      <c r="AK204" s="3864"/>
      <c r="AL204" s="3864"/>
      <c r="AM204" s="3864"/>
      <c r="AN204" s="3864"/>
      <c r="AO204" s="3982"/>
      <c r="AP204" s="3982"/>
      <c r="AQ204" s="3881"/>
    </row>
    <row r="205" spans="1:43" ht="48.75" customHeight="1" x14ac:dyDescent="0.2">
      <c r="A205" s="2254"/>
      <c r="B205" s="2255"/>
      <c r="C205" s="2256"/>
      <c r="D205" s="2255"/>
      <c r="E205" s="2255"/>
      <c r="F205" s="2256"/>
      <c r="G205" s="2260"/>
      <c r="H205" s="2255"/>
      <c r="I205" s="2256"/>
      <c r="J205" s="3899"/>
      <c r="K205" s="3890"/>
      <c r="L205" s="3936"/>
      <c r="M205" s="3936"/>
      <c r="N205" s="2299"/>
      <c r="O205" s="3864"/>
      <c r="P205" s="3867"/>
      <c r="Q205" s="3918"/>
      <c r="R205" s="3884"/>
      <c r="S205" s="3867"/>
      <c r="T205" s="3867"/>
      <c r="U205" s="3965"/>
      <c r="V205" s="2296">
        <v>32000000</v>
      </c>
      <c r="W205" s="2235">
        <v>98</v>
      </c>
      <c r="X205" s="3864"/>
      <c r="Y205" s="3864"/>
      <c r="Z205" s="3864"/>
      <c r="AA205" s="3864"/>
      <c r="AB205" s="3864"/>
      <c r="AC205" s="3864"/>
      <c r="AD205" s="3864"/>
      <c r="AE205" s="3864"/>
      <c r="AF205" s="3864"/>
      <c r="AG205" s="3864"/>
      <c r="AH205" s="3864"/>
      <c r="AI205" s="3864"/>
      <c r="AJ205" s="3864"/>
      <c r="AK205" s="3864"/>
      <c r="AL205" s="3864"/>
      <c r="AM205" s="3864"/>
      <c r="AN205" s="3864"/>
      <c r="AO205" s="3982"/>
      <c r="AP205" s="3982"/>
      <c r="AQ205" s="3881"/>
    </row>
    <row r="206" spans="1:43" ht="99" customHeight="1" x14ac:dyDescent="0.2">
      <c r="A206" s="2254"/>
      <c r="B206" s="2255"/>
      <c r="C206" s="2256"/>
      <c r="D206" s="2255"/>
      <c r="E206" s="2255"/>
      <c r="F206" s="2256"/>
      <c r="G206" s="2260"/>
      <c r="H206" s="2255"/>
      <c r="I206" s="2256"/>
      <c r="J206" s="3899"/>
      <c r="K206" s="3890"/>
      <c r="L206" s="3863"/>
      <c r="M206" s="3863"/>
      <c r="N206" s="2299"/>
      <c r="O206" s="3864"/>
      <c r="P206" s="3867"/>
      <c r="Q206" s="3919"/>
      <c r="R206" s="3884"/>
      <c r="S206" s="3867"/>
      <c r="T206" s="3868"/>
      <c r="U206" s="2287" t="s">
        <v>2279</v>
      </c>
      <c r="V206" s="2296">
        <v>24000000</v>
      </c>
      <c r="W206" s="2235">
        <v>61</v>
      </c>
      <c r="X206" s="3864"/>
      <c r="Y206" s="3864"/>
      <c r="Z206" s="3864"/>
      <c r="AA206" s="3864"/>
      <c r="AB206" s="3864"/>
      <c r="AC206" s="3864"/>
      <c r="AD206" s="3864"/>
      <c r="AE206" s="3864"/>
      <c r="AF206" s="3864"/>
      <c r="AG206" s="3864"/>
      <c r="AH206" s="3864"/>
      <c r="AI206" s="3864"/>
      <c r="AJ206" s="3864"/>
      <c r="AK206" s="3864"/>
      <c r="AL206" s="3864"/>
      <c r="AM206" s="3864"/>
      <c r="AN206" s="3864"/>
      <c r="AO206" s="3982"/>
      <c r="AP206" s="3982"/>
      <c r="AQ206" s="3881"/>
    </row>
    <row r="207" spans="1:43" ht="43.5" customHeight="1" x14ac:dyDescent="0.2">
      <c r="A207" s="2254"/>
      <c r="B207" s="2255"/>
      <c r="C207" s="2256"/>
      <c r="D207" s="2255"/>
      <c r="E207" s="2255"/>
      <c r="F207" s="2256"/>
      <c r="G207" s="2260"/>
      <c r="H207" s="2255"/>
      <c r="I207" s="2255"/>
      <c r="J207" s="3909">
        <v>152</v>
      </c>
      <c r="K207" s="3974" t="s">
        <v>2280</v>
      </c>
      <c r="L207" s="3984" t="s">
        <v>2040</v>
      </c>
      <c r="M207" s="3984">
        <v>1</v>
      </c>
      <c r="N207" s="2300" t="s">
        <v>2281</v>
      </c>
      <c r="O207" s="3864"/>
      <c r="P207" s="3867"/>
      <c r="Q207" s="3917">
        <f>SUM(V207:V208)/R202</f>
        <v>4.0854831969718411E-2</v>
      </c>
      <c r="R207" s="3884"/>
      <c r="S207" s="3867"/>
      <c r="T207" s="3866" t="s">
        <v>2282</v>
      </c>
      <c r="U207" s="3964" t="s">
        <v>2283</v>
      </c>
      <c r="V207" s="2296">
        <v>48000000</v>
      </c>
      <c r="W207" s="2235">
        <v>61</v>
      </c>
      <c r="X207" s="3864"/>
      <c r="Y207" s="3864"/>
      <c r="Z207" s="3864"/>
      <c r="AA207" s="3864"/>
      <c r="AB207" s="3864"/>
      <c r="AC207" s="3864"/>
      <c r="AD207" s="3864"/>
      <c r="AE207" s="3864"/>
      <c r="AF207" s="3864"/>
      <c r="AG207" s="3864"/>
      <c r="AH207" s="3864"/>
      <c r="AI207" s="3864"/>
      <c r="AJ207" s="3864"/>
      <c r="AK207" s="3864"/>
      <c r="AL207" s="3864"/>
      <c r="AM207" s="3864"/>
      <c r="AN207" s="3864"/>
      <c r="AO207" s="3982"/>
      <c r="AP207" s="3982"/>
      <c r="AQ207" s="3881"/>
    </row>
    <row r="208" spans="1:43" ht="69.75" customHeight="1" x14ac:dyDescent="0.2">
      <c r="A208" s="2254"/>
      <c r="B208" s="2255"/>
      <c r="C208" s="2256"/>
      <c r="D208" s="2255"/>
      <c r="E208" s="2255"/>
      <c r="F208" s="2256"/>
      <c r="G208" s="2260"/>
      <c r="H208" s="2255"/>
      <c r="I208" s="2255"/>
      <c r="J208" s="3909"/>
      <c r="K208" s="3974"/>
      <c r="L208" s="3984"/>
      <c r="M208" s="3984"/>
      <c r="N208" s="2300"/>
      <c r="O208" s="3864"/>
      <c r="P208" s="3867"/>
      <c r="Q208" s="3919"/>
      <c r="R208" s="3884"/>
      <c r="S208" s="3867"/>
      <c r="T208" s="3867"/>
      <c r="U208" s="3965"/>
      <c r="V208" s="2296">
        <v>18000000</v>
      </c>
      <c r="W208" s="2235">
        <v>98</v>
      </c>
      <c r="X208" s="3864"/>
      <c r="Y208" s="3864"/>
      <c r="Z208" s="3864"/>
      <c r="AA208" s="3864"/>
      <c r="AB208" s="3864"/>
      <c r="AC208" s="3864"/>
      <c r="AD208" s="3864"/>
      <c r="AE208" s="3864"/>
      <c r="AF208" s="3864"/>
      <c r="AG208" s="3864"/>
      <c r="AH208" s="3864"/>
      <c r="AI208" s="3864"/>
      <c r="AJ208" s="3864"/>
      <c r="AK208" s="3864"/>
      <c r="AL208" s="3864"/>
      <c r="AM208" s="3864"/>
      <c r="AN208" s="3864"/>
      <c r="AO208" s="3982"/>
      <c r="AP208" s="3982"/>
      <c r="AQ208" s="3881"/>
    </row>
    <row r="209" spans="1:43" ht="87.75" customHeight="1" x14ac:dyDescent="0.2">
      <c r="A209" s="2254"/>
      <c r="B209" s="2255"/>
      <c r="C209" s="2256"/>
      <c r="D209" s="2255"/>
      <c r="E209" s="2255"/>
      <c r="F209" s="2256"/>
      <c r="G209" s="2260"/>
      <c r="H209" s="2255"/>
      <c r="I209" s="2256"/>
      <c r="J209" s="3985">
        <v>153</v>
      </c>
      <c r="K209" s="3890" t="s">
        <v>2284</v>
      </c>
      <c r="L209" s="3864" t="s">
        <v>2040</v>
      </c>
      <c r="M209" s="3864">
        <v>150</v>
      </c>
      <c r="N209" s="2299" t="s">
        <v>2285</v>
      </c>
      <c r="O209" s="3864"/>
      <c r="P209" s="3867"/>
      <c r="Q209" s="3917">
        <f>SUM(V209:V216)/R202</f>
        <v>0.8873397057804735</v>
      </c>
      <c r="R209" s="3884"/>
      <c r="S209" s="3867"/>
      <c r="T209" s="3867"/>
      <c r="U209" s="2301" t="s">
        <v>2286</v>
      </c>
      <c r="V209" s="2296">
        <v>24000000</v>
      </c>
      <c r="W209" s="2235">
        <v>63</v>
      </c>
      <c r="X209" s="3864"/>
      <c r="Y209" s="3864"/>
      <c r="Z209" s="3864"/>
      <c r="AA209" s="3864"/>
      <c r="AB209" s="3864"/>
      <c r="AC209" s="3864"/>
      <c r="AD209" s="3864"/>
      <c r="AE209" s="3864"/>
      <c r="AF209" s="3864"/>
      <c r="AG209" s="3864"/>
      <c r="AH209" s="3864"/>
      <c r="AI209" s="3864"/>
      <c r="AJ209" s="3864"/>
      <c r="AK209" s="3864"/>
      <c r="AL209" s="3864"/>
      <c r="AM209" s="3864"/>
      <c r="AN209" s="3864"/>
      <c r="AO209" s="3982"/>
      <c r="AP209" s="3982"/>
      <c r="AQ209" s="3881"/>
    </row>
    <row r="210" spans="1:43" ht="33.75" customHeight="1" x14ac:dyDescent="0.2">
      <c r="A210" s="2254"/>
      <c r="B210" s="2255"/>
      <c r="C210" s="2256"/>
      <c r="D210" s="2255"/>
      <c r="E210" s="2255"/>
      <c r="F210" s="2256"/>
      <c r="G210" s="2260"/>
      <c r="H210" s="2255"/>
      <c r="I210" s="2256"/>
      <c r="J210" s="3899"/>
      <c r="K210" s="3890"/>
      <c r="L210" s="3864"/>
      <c r="M210" s="3864"/>
      <c r="N210" s="2299"/>
      <c r="O210" s="3864"/>
      <c r="P210" s="3867"/>
      <c r="Q210" s="3918"/>
      <c r="R210" s="3884"/>
      <c r="S210" s="3867"/>
      <c r="T210" s="3867"/>
      <c r="U210" s="3964" t="s">
        <v>2287</v>
      </c>
      <c r="V210" s="2296">
        <v>718800528</v>
      </c>
      <c r="W210" s="2235">
        <v>63</v>
      </c>
      <c r="X210" s="3864"/>
      <c r="Y210" s="3864"/>
      <c r="Z210" s="3864"/>
      <c r="AA210" s="3864"/>
      <c r="AB210" s="3864"/>
      <c r="AC210" s="3864"/>
      <c r="AD210" s="3864"/>
      <c r="AE210" s="3864"/>
      <c r="AF210" s="3864"/>
      <c r="AG210" s="3864"/>
      <c r="AH210" s="3864"/>
      <c r="AI210" s="3864"/>
      <c r="AJ210" s="3864"/>
      <c r="AK210" s="3864"/>
      <c r="AL210" s="3864"/>
      <c r="AM210" s="3864"/>
      <c r="AN210" s="3864"/>
      <c r="AO210" s="3982"/>
      <c r="AP210" s="3982"/>
      <c r="AQ210" s="3881"/>
    </row>
    <row r="211" spans="1:43" ht="45" customHeight="1" x14ac:dyDescent="0.2">
      <c r="A211" s="2254"/>
      <c r="B211" s="2255"/>
      <c r="C211" s="2256"/>
      <c r="D211" s="2255"/>
      <c r="E211" s="2255"/>
      <c r="F211" s="2256"/>
      <c r="G211" s="2260"/>
      <c r="H211" s="2255"/>
      <c r="I211" s="2256"/>
      <c r="J211" s="3899"/>
      <c r="K211" s="3890"/>
      <c r="L211" s="3864"/>
      <c r="M211" s="3864"/>
      <c r="N211" s="2299" t="s">
        <v>2288</v>
      </c>
      <c r="O211" s="3864"/>
      <c r="P211" s="3867"/>
      <c r="Q211" s="3918"/>
      <c r="R211" s="3884"/>
      <c r="S211" s="3867"/>
      <c r="T211" s="3867"/>
      <c r="U211" s="3966"/>
      <c r="V211" s="2296">
        <v>590675459</v>
      </c>
      <c r="W211" s="2235">
        <v>99</v>
      </c>
      <c r="X211" s="3864"/>
      <c r="Y211" s="3864"/>
      <c r="Z211" s="3864"/>
      <c r="AA211" s="3864"/>
      <c r="AB211" s="3864"/>
      <c r="AC211" s="3864"/>
      <c r="AD211" s="3864"/>
      <c r="AE211" s="3864"/>
      <c r="AF211" s="3864"/>
      <c r="AG211" s="3864"/>
      <c r="AH211" s="3864"/>
      <c r="AI211" s="3864"/>
      <c r="AJ211" s="3864"/>
      <c r="AK211" s="3864"/>
      <c r="AL211" s="3864"/>
      <c r="AM211" s="3864"/>
      <c r="AN211" s="3864"/>
      <c r="AO211" s="3982"/>
      <c r="AP211" s="3982"/>
      <c r="AQ211" s="3881"/>
    </row>
    <row r="212" spans="1:43" ht="69" customHeight="1" x14ac:dyDescent="0.2">
      <c r="A212" s="2254"/>
      <c r="B212" s="2255"/>
      <c r="C212" s="2256"/>
      <c r="D212" s="2255"/>
      <c r="E212" s="2255"/>
      <c r="F212" s="2256"/>
      <c r="G212" s="2260"/>
      <c r="H212" s="2255"/>
      <c r="I212" s="2256"/>
      <c r="J212" s="3899"/>
      <c r="K212" s="3890"/>
      <c r="L212" s="3864"/>
      <c r="M212" s="3864"/>
      <c r="N212" s="2299" t="s">
        <v>2289</v>
      </c>
      <c r="O212" s="3864"/>
      <c r="P212" s="3867"/>
      <c r="Q212" s="3918"/>
      <c r="R212" s="3884"/>
      <c r="S212" s="3867"/>
      <c r="T212" s="3867"/>
      <c r="U212" s="2287" t="s">
        <v>2290</v>
      </c>
      <c r="V212" s="2296">
        <v>20000000</v>
      </c>
      <c r="W212" s="2235">
        <v>63</v>
      </c>
      <c r="X212" s="3864"/>
      <c r="Y212" s="3864"/>
      <c r="Z212" s="3864"/>
      <c r="AA212" s="3864"/>
      <c r="AB212" s="3864"/>
      <c r="AC212" s="3864"/>
      <c r="AD212" s="3864"/>
      <c r="AE212" s="3864"/>
      <c r="AF212" s="3864"/>
      <c r="AG212" s="3864"/>
      <c r="AH212" s="3864"/>
      <c r="AI212" s="3864"/>
      <c r="AJ212" s="3864"/>
      <c r="AK212" s="3864"/>
      <c r="AL212" s="3864"/>
      <c r="AM212" s="3864"/>
      <c r="AN212" s="3864"/>
      <c r="AO212" s="3982"/>
      <c r="AP212" s="3982"/>
      <c r="AQ212" s="3881"/>
    </row>
    <row r="213" spans="1:43" ht="92.25" customHeight="1" x14ac:dyDescent="0.2">
      <c r="A213" s="2254"/>
      <c r="B213" s="2255"/>
      <c r="C213" s="2256"/>
      <c r="D213" s="2255"/>
      <c r="E213" s="2255"/>
      <c r="F213" s="2256"/>
      <c r="G213" s="2260"/>
      <c r="H213" s="2255"/>
      <c r="I213" s="2256"/>
      <c r="J213" s="3899"/>
      <c r="K213" s="3890"/>
      <c r="L213" s="3864"/>
      <c r="M213" s="3864"/>
      <c r="N213" s="2300" t="s">
        <v>2291</v>
      </c>
      <c r="O213" s="3864"/>
      <c r="P213" s="3867"/>
      <c r="Q213" s="3918"/>
      <c r="R213" s="3884"/>
      <c r="S213" s="3867"/>
      <c r="T213" s="3867"/>
      <c r="U213" s="2287" t="s">
        <v>2292</v>
      </c>
      <c r="V213" s="2296">
        <v>20000000</v>
      </c>
      <c r="W213" s="2235">
        <v>63</v>
      </c>
      <c r="X213" s="3864"/>
      <c r="Y213" s="3864"/>
      <c r="Z213" s="3864"/>
      <c r="AA213" s="3864"/>
      <c r="AB213" s="3864"/>
      <c r="AC213" s="3864"/>
      <c r="AD213" s="3864"/>
      <c r="AE213" s="3864"/>
      <c r="AF213" s="3864"/>
      <c r="AG213" s="3864"/>
      <c r="AH213" s="3864"/>
      <c r="AI213" s="3864"/>
      <c r="AJ213" s="3864"/>
      <c r="AK213" s="3864"/>
      <c r="AL213" s="3864"/>
      <c r="AM213" s="3864"/>
      <c r="AN213" s="3864"/>
      <c r="AO213" s="3982"/>
      <c r="AP213" s="3982"/>
      <c r="AQ213" s="3881"/>
    </row>
    <row r="214" spans="1:43" ht="87.75" customHeight="1" x14ac:dyDescent="0.2">
      <c r="A214" s="2254"/>
      <c r="B214" s="2255"/>
      <c r="C214" s="2256"/>
      <c r="D214" s="2255"/>
      <c r="E214" s="2255"/>
      <c r="F214" s="2256"/>
      <c r="G214" s="2260"/>
      <c r="H214" s="2255"/>
      <c r="I214" s="2256"/>
      <c r="J214" s="3899"/>
      <c r="K214" s="3890"/>
      <c r="L214" s="3864"/>
      <c r="M214" s="3864"/>
      <c r="N214" s="2302"/>
      <c r="O214" s="3864"/>
      <c r="P214" s="3867"/>
      <c r="Q214" s="3918"/>
      <c r="R214" s="3884"/>
      <c r="S214" s="3867"/>
      <c r="T214" s="3867"/>
      <c r="U214" s="2287" t="s">
        <v>2293</v>
      </c>
      <c r="V214" s="2296">
        <v>20000000</v>
      </c>
      <c r="W214" s="2235">
        <v>63</v>
      </c>
      <c r="X214" s="3864"/>
      <c r="Y214" s="3864"/>
      <c r="Z214" s="3864"/>
      <c r="AA214" s="3864"/>
      <c r="AB214" s="3864"/>
      <c r="AC214" s="3864"/>
      <c r="AD214" s="3864"/>
      <c r="AE214" s="3864"/>
      <c r="AF214" s="3864"/>
      <c r="AG214" s="3864"/>
      <c r="AH214" s="3864"/>
      <c r="AI214" s="3864"/>
      <c r="AJ214" s="3864"/>
      <c r="AK214" s="3864"/>
      <c r="AL214" s="3864"/>
      <c r="AM214" s="3864"/>
      <c r="AN214" s="3864"/>
      <c r="AO214" s="3982"/>
      <c r="AP214" s="3982"/>
      <c r="AQ214" s="3881"/>
    </row>
    <row r="215" spans="1:43" ht="62.25" customHeight="1" x14ac:dyDescent="0.2">
      <c r="A215" s="2254"/>
      <c r="B215" s="2255"/>
      <c r="C215" s="2256"/>
      <c r="D215" s="2255"/>
      <c r="E215" s="2255"/>
      <c r="F215" s="2256"/>
      <c r="G215" s="2260"/>
      <c r="H215" s="2255"/>
      <c r="I215" s="2256"/>
      <c r="J215" s="3899"/>
      <c r="K215" s="3890"/>
      <c r="L215" s="3864"/>
      <c r="M215" s="3864"/>
      <c r="O215" s="3864"/>
      <c r="P215" s="3867"/>
      <c r="Q215" s="3918"/>
      <c r="R215" s="3884"/>
      <c r="S215" s="3867"/>
      <c r="T215" s="3867"/>
      <c r="U215" s="2287" t="s">
        <v>2294</v>
      </c>
      <c r="V215" s="2296">
        <v>20000000</v>
      </c>
      <c r="W215" s="2235">
        <v>63</v>
      </c>
      <c r="X215" s="3864"/>
      <c r="Y215" s="3864"/>
      <c r="Z215" s="3864"/>
      <c r="AA215" s="3864"/>
      <c r="AB215" s="3864"/>
      <c r="AC215" s="3864"/>
      <c r="AD215" s="3864"/>
      <c r="AE215" s="3864"/>
      <c r="AF215" s="3864"/>
      <c r="AG215" s="3864"/>
      <c r="AH215" s="3864"/>
      <c r="AI215" s="3864"/>
      <c r="AJ215" s="3864"/>
      <c r="AK215" s="3864"/>
      <c r="AL215" s="3864"/>
      <c r="AM215" s="3864"/>
      <c r="AN215" s="3864"/>
      <c r="AO215" s="3982"/>
      <c r="AP215" s="3982"/>
      <c r="AQ215" s="3881"/>
    </row>
    <row r="216" spans="1:43" ht="81" customHeight="1" x14ac:dyDescent="0.2">
      <c r="A216" s="2229"/>
      <c r="B216" s="2230"/>
      <c r="C216" s="2231"/>
      <c r="D216" s="2230"/>
      <c r="E216" s="2230"/>
      <c r="F216" s="2231"/>
      <c r="G216" s="2241"/>
      <c r="H216" s="2239"/>
      <c r="I216" s="2240"/>
      <c r="J216" s="3900"/>
      <c r="K216" s="3891"/>
      <c r="L216" s="3865"/>
      <c r="M216" s="3865"/>
      <c r="N216" s="2304"/>
      <c r="O216" s="3865"/>
      <c r="P216" s="3868"/>
      <c r="Q216" s="3919"/>
      <c r="R216" s="3904"/>
      <c r="S216" s="3868"/>
      <c r="T216" s="3868"/>
      <c r="U216" s="2287" t="s">
        <v>2295</v>
      </c>
      <c r="V216" s="2296">
        <v>20000000</v>
      </c>
      <c r="W216" s="2235">
        <v>61</v>
      </c>
      <c r="X216" s="3865"/>
      <c r="Y216" s="3865"/>
      <c r="Z216" s="3865"/>
      <c r="AA216" s="3865"/>
      <c r="AB216" s="3865"/>
      <c r="AC216" s="3865"/>
      <c r="AD216" s="3865"/>
      <c r="AE216" s="3865"/>
      <c r="AF216" s="3865"/>
      <c r="AG216" s="3865"/>
      <c r="AH216" s="3865"/>
      <c r="AI216" s="3865"/>
      <c r="AJ216" s="3865"/>
      <c r="AK216" s="3865"/>
      <c r="AL216" s="3865"/>
      <c r="AM216" s="3865"/>
      <c r="AN216" s="3865"/>
      <c r="AO216" s="3983"/>
      <c r="AP216" s="3983"/>
      <c r="AQ216" s="3887"/>
    </row>
    <row r="217" spans="1:43" ht="36" customHeight="1" x14ac:dyDescent="0.2">
      <c r="A217" s="2215"/>
      <c r="B217" s="2216"/>
      <c r="C217" s="2217"/>
      <c r="D217" s="2216"/>
      <c r="E217" s="2216"/>
      <c r="F217" s="2217"/>
      <c r="G217" s="2249">
        <v>44</v>
      </c>
      <c r="H217" s="2221" t="s">
        <v>2296</v>
      </c>
      <c r="I217" s="2221"/>
      <c r="J217" s="2221"/>
      <c r="K217" s="2222"/>
      <c r="L217" s="2221"/>
      <c r="M217" s="2221"/>
      <c r="N217" s="2223"/>
      <c r="O217" s="2221"/>
      <c r="P217" s="2222"/>
      <c r="Q217" s="2221"/>
      <c r="R217" s="2250"/>
      <c r="S217" s="2222"/>
      <c r="T217" s="2222"/>
      <c r="U217" s="2222"/>
      <c r="V217" s="2305"/>
      <c r="W217" s="2294"/>
      <c r="X217" s="2295"/>
      <c r="Y217" s="2223"/>
      <c r="Z217" s="2223"/>
      <c r="AA217" s="2223"/>
      <c r="AB217" s="2223"/>
      <c r="AC217" s="2223"/>
      <c r="AD217" s="2223"/>
      <c r="AE217" s="2223"/>
      <c r="AF217" s="2223"/>
      <c r="AG217" s="2223"/>
      <c r="AH217" s="2223"/>
      <c r="AI217" s="2223"/>
      <c r="AJ217" s="2223"/>
      <c r="AK217" s="2223"/>
      <c r="AL217" s="2223"/>
      <c r="AM217" s="2223"/>
      <c r="AN217" s="2223"/>
      <c r="AO217" s="2223"/>
      <c r="AP217" s="2221"/>
      <c r="AQ217" s="2228"/>
    </row>
    <row r="218" spans="1:43" ht="100.5" customHeight="1" x14ac:dyDescent="0.2">
      <c r="A218" s="2229"/>
      <c r="B218" s="2230"/>
      <c r="C218" s="2231"/>
      <c r="D218" s="2230"/>
      <c r="E218" s="2230"/>
      <c r="F218" s="2231"/>
      <c r="G218" s="2232"/>
      <c r="H218" s="2233"/>
      <c r="I218" s="2234"/>
      <c r="J218" s="3898">
        <v>154</v>
      </c>
      <c r="K218" s="3866" t="s">
        <v>2297</v>
      </c>
      <c r="L218" s="3863" t="s">
        <v>2040</v>
      </c>
      <c r="M218" s="3863">
        <v>5</v>
      </c>
      <c r="N218" s="3863" t="s">
        <v>2298</v>
      </c>
      <c r="O218" s="3863" t="s">
        <v>2299</v>
      </c>
      <c r="P218" s="3866" t="s">
        <v>2300</v>
      </c>
      <c r="Q218" s="3917">
        <f>SUM(V218:V224)/R218</f>
        <v>0.18272536398900383</v>
      </c>
      <c r="R218" s="3883">
        <f>SUM(V218:V248)</f>
        <v>317416251</v>
      </c>
      <c r="S218" s="3866" t="s">
        <v>2301</v>
      </c>
      <c r="T218" s="3866" t="s">
        <v>2302</v>
      </c>
      <c r="U218" s="2287" t="s">
        <v>2303</v>
      </c>
      <c r="V218" s="2296">
        <v>4000000</v>
      </c>
      <c r="W218" s="2235">
        <v>61</v>
      </c>
      <c r="X218" s="3863" t="s">
        <v>2304</v>
      </c>
      <c r="Y218" s="3978">
        <v>292684</v>
      </c>
      <c r="Z218" s="3978">
        <v>292686</v>
      </c>
      <c r="AA218" s="3978">
        <v>292688</v>
      </c>
      <c r="AB218" s="3978">
        <v>292690</v>
      </c>
      <c r="AC218" s="3978">
        <v>292692</v>
      </c>
      <c r="AD218" s="3978">
        <v>292694</v>
      </c>
      <c r="AE218" s="3978">
        <v>292696</v>
      </c>
      <c r="AF218" s="3978">
        <v>292698</v>
      </c>
      <c r="AG218" s="3978">
        <v>292700</v>
      </c>
      <c r="AH218" s="3978">
        <v>292702</v>
      </c>
      <c r="AI218" s="3978">
        <v>292704</v>
      </c>
      <c r="AJ218" s="3978">
        <v>292706</v>
      </c>
      <c r="AK218" s="3978">
        <v>292708</v>
      </c>
      <c r="AL218" s="3978">
        <v>292710</v>
      </c>
      <c r="AM218" s="3978">
        <v>292712</v>
      </c>
      <c r="AN218" s="3978">
        <v>292714</v>
      </c>
      <c r="AO218" s="3981">
        <v>43467</v>
      </c>
      <c r="AP218" s="3981">
        <v>43830</v>
      </c>
      <c r="AQ218" s="3975" t="s">
        <v>2048</v>
      </c>
    </row>
    <row r="219" spans="1:43" ht="72" customHeight="1" x14ac:dyDescent="0.2">
      <c r="A219" s="2229"/>
      <c r="B219" s="2230"/>
      <c r="C219" s="2231"/>
      <c r="D219" s="2230"/>
      <c r="E219" s="2230"/>
      <c r="F219" s="2231"/>
      <c r="G219" s="2237"/>
      <c r="H219" s="2230"/>
      <c r="I219" s="2231"/>
      <c r="J219" s="3899"/>
      <c r="K219" s="3867"/>
      <c r="L219" s="3864"/>
      <c r="M219" s="3864"/>
      <c r="N219" s="3864"/>
      <c r="O219" s="3864"/>
      <c r="P219" s="3867"/>
      <c r="Q219" s="3918"/>
      <c r="R219" s="3884"/>
      <c r="S219" s="3867"/>
      <c r="T219" s="3867"/>
      <c r="U219" s="2287" t="s">
        <v>2305</v>
      </c>
      <c r="V219" s="2296">
        <v>3000000</v>
      </c>
      <c r="W219" s="2235">
        <v>61</v>
      </c>
      <c r="X219" s="3864"/>
      <c r="Y219" s="3979"/>
      <c r="Z219" s="3979"/>
      <c r="AA219" s="3979"/>
      <c r="AB219" s="3979"/>
      <c r="AC219" s="3979"/>
      <c r="AD219" s="3979"/>
      <c r="AE219" s="3979"/>
      <c r="AF219" s="3979"/>
      <c r="AG219" s="3979"/>
      <c r="AH219" s="3979"/>
      <c r="AI219" s="3979"/>
      <c r="AJ219" s="3979"/>
      <c r="AK219" s="3979"/>
      <c r="AL219" s="3979"/>
      <c r="AM219" s="3979"/>
      <c r="AN219" s="3979"/>
      <c r="AO219" s="3982"/>
      <c r="AP219" s="3982"/>
      <c r="AQ219" s="3976"/>
    </row>
    <row r="220" spans="1:43" ht="85.5" customHeight="1" x14ac:dyDescent="0.2">
      <c r="A220" s="2229"/>
      <c r="B220" s="2230"/>
      <c r="C220" s="2231"/>
      <c r="D220" s="2230"/>
      <c r="E220" s="2230"/>
      <c r="F220" s="2231"/>
      <c r="G220" s="2237"/>
      <c r="H220" s="2230"/>
      <c r="I220" s="2231"/>
      <c r="J220" s="3899"/>
      <c r="K220" s="3867"/>
      <c r="L220" s="3864"/>
      <c r="M220" s="3864"/>
      <c r="N220" s="3864"/>
      <c r="O220" s="3864"/>
      <c r="P220" s="3867"/>
      <c r="Q220" s="3918"/>
      <c r="R220" s="3884"/>
      <c r="S220" s="3867"/>
      <c r="T220" s="3867"/>
      <c r="U220" s="2287" t="s">
        <v>2306</v>
      </c>
      <c r="V220" s="2296">
        <v>16000000</v>
      </c>
      <c r="W220" s="2235">
        <v>61</v>
      </c>
      <c r="X220" s="3864"/>
      <c r="Y220" s="3979"/>
      <c r="Z220" s="3979"/>
      <c r="AA220" s="3979"/>
      <c r="AB220" s="3979"/>
      <c r="AC220" s="3979"/>
      <c r="AD220" s="3979"/>
      <c r="AE220" s="3979"/>
      <c r="AF220" s="3979"/>
      <c r="AG220" s="3979"/>
      <c r="AH220" s="3979"/>
      <c r="AI220" s="3979"/>
      <c r="AJ220" s="3979"/>
      <c r="AK220" s="3979"/>
      <c r="AL220" s="3979"/>
      <c r="AM220" s="3979"/>
      <c r="AN220" s="3979"/>
      <c r="AO220" s="3982"/>
      <c r="AP220" s="3982"/>
      <c r="AQ220" s="3976"/>
    </row>
    <row r="221" spans="1:43" ht="67.5" customHeight="1" x14ac:dyDescent="0.2">
      <c r="A221" s="2229"/>
      <c r="B221" s="2230"/>
      <c r="C221" s="2231"/>
      <c r="D221" s="2230"/>
      <c r="E221" s="2230"/>
      <c r="F221" s="2231"/>
      <c r="G221" s="2237"/>
      <c r="H221" s="2230"/>
      <c r="I221" s="2231"/>
      <c r="J221" s="3899"/>
      <c r="K221" s="3867"/>
      <c r="L221" s="3864"/>
      <c r="M221" s="3864"/>
      <c r="N221" s="3864"/>
      <c r="O221" s="3864"/>
      <c r="P221" s="3867"/>
      <c r="Q221" s="3918"/>
      <c r="R221" s="3884"/>
      <c r="S221" s="3867"/>
      <c r="T221" s="3867"/>
      <c r="U221" s="2287" t="s">
        <v>2307</v>
      </c>
      <c r="V221" s="2296">
        <v>6000000</v>
      </c>
      <c r="W221" s="2235">
        <v>61</v>
      </c>
      <c r="X221" s="3864"/>
      <c r="Y221" s="3979"/>
      <c r="Z221" s="3979"/>
      <c r="AA221" s="3979"/>
      <c r="AB221" s="3979"/>
      <c r="AC221" s="3979"/>
      <c r="AD221" s="3979"/>
      <c r="AE221" s="3979"/>
      <c r="AF221" s="3979"/>
      <c r="AG221" s="3979"/>
      <c r="AH221" s="3979"/>
      <c r="AI221" s="3979"/>
      <c r="AJ221" s="3979"/>
      <c r="AK221" s="3979"/>
      <c r="AL221" s="3979"/>
      <c r="AM221" s="3979"/>
      <c r="AN221" s="3979"/>
      <c r="AO221" s="3982"/>
      <c r="AP221" s="3982"/>
      <c r="AQ221" s="3976"/>
    </row>
    <row r="222" spans="1:43" ht="135.75" customHeight="1" x14ac:dyDescent="0.2">
      <c r="A222" s="2229"/>
      <c r="B222" s="2230"/>
      <c r="C222" s="2231"/>
      <c r="D222" s="2230"/>
      <c r="E222" s="2230"/>
      <c r="F222" s="2231"/>
      <c r="G222" s="2237"/>
      <c r="H222" s="2230"/>
      <c r="I222" s="2231"/>
      <c r="J222" s="3899"/>
      <c r="K222" s="3867"/>
      <c r="L222" s="3864"/>
      <c r="M222" s="3864"/>
      <c r="N222" s="3864"/>
      <c r="O222" s="3864"/>
      <c r="P222" s="3867"/>
      <c r="Q222" s="3918"/>
      <c r="R222" s="3884"/>
      <c r="S222" s="3867"/>
      <c r="T222" s="3867"/>
      <c r="U222" s="2287" t="s">
        <v>2308</v>
      </c>
      <c r="V222" s="2296">
        <v>3000000</v>
      </c>
      <c r="W222" s="2235">
        <v>61</v>
      </c>
      <c r="X222" s="3864"/>
      <c r="Y222" s="3979"/>
      <c r="Z222" s="3979"/>
      <c r="AA222" s="3979"/>
      <c r="AB222" s="3979"/>
      <c r="AC222" s="3979"/>
      <c r="AD222" s="3979"/>
      <c r="AE222" s="3979"/>
      <c r="AF222" s="3979"/>
      <c r="AG222" s="3979"/>
      <c r="AH222" s="3979"/>
      <c r="AI222" s="3979"/>
      <c r="AJ222" s="3979"/>
      <c r="AK222" s="3979"/>
      <c r="AL222" s="3979"/>
      <c r="AM222" s="3979"/>
      <c r="AN222" s="3979"/>
      <c r="AO222" s="3982"/>
      <c r="AP222" s="3982"/>
      <c r="AQ222" s="3976"/>
    </row>
    <row r="223" spans="1:43" ht="32.25" customHeight="1" x14ac:dyDescent="0.2">
      <c r="A223" s="2229"/>
      <c r="B223" s="2230"/>
      <c r="C223" s="2231"/>
      <c r="D223" s="2230"/>
      <c r="E223" s="2230"/>
      <c r="F223" s="2231"/>
      <c r="G223" s="2237"/>
      <c r="H223" s="2230"/>
      <c r="I223" s="2231"/>
      <c r="J223" s="3899"/>
      <c r="K223" s="3867"/>
      <c r="L223" s="3864"/>
      <c r="M223" s="3864"/>
      <c r="N223" s="3864"/>
      <c r="O223" s="3864"/>
      <c r="P223" s="3867"/>
      <c r="Q223" s="3918"/>
      <c r="R223" s="3884"/>
      <c r="S223" s="3867"/>
      <c r="T223" s="3867"/>
      <c r="U223" s="3964" t="s">
        <v>2309</v>
      </c>
      <c r="V223" s="2296">
        <v>12000000</v>
      </c>
      <c r="W223" s="2235">
        <v>61</v>
      </c>
      <c r="X223" s="3864"/>
      <c r="Y223" s="3979"/>
      <c r="Z223" s="3979"/>
      <c r="AA223" s="3979"/>
      <c r="AB223" s="3979"/>
      <c r="AC223" s="3979"/>
      <c r="AD223" s="3979"/>
      <c r="AE223" s="3979"/>
      <c r="AF223" s="3979"/>
      <c r="AG223" s="3979"/>
      <c r="AH223" s="3979"/>
      <c r="AI223" s="3979"/>
      <c r="AJ223" s="3979"/>
      <c r="AK223" s="3979"/>
      <c r="AL223" s="3979"/>
      <c r="AM223" s="3979"/>
      <c r="AN223" s="3979"/>
      <c r="AO223" s="3982"/>
      <c r="AP223" s="3982"/>
      <c r="AQ223" s="3976"/>
    </row>
    <row r="224" spans="1:43" ht="105" customHeight="1" x14ac:dyDescent="0.2">
      <c r="A224" s="2229"/>
      <c r="B224" s="2230"/>
      <c r="C224" s="2231"/>
      <c r="D224" s="2230"/>
      <c r="E224" s="2230"/>
      <c r="F224" s="2231"/>
      <c r="G224" s="2237"/>
      <c r="H224" s="2230"/>
      <c r="I224" s="2231"/>
      <c r="J224" s="3900"/>
      <c r="K224" s="3868"/>
      <c r="L224" s="3865"/>
      <c r="M224" s="3865"/>
      <c r="N224" s="3864"/>
      <c r="O224" s="3864"/>
      <c r="P224" s="3867"/>
      <c r="Q224" s="3919"/>
      <c r="R224" s="3884"/>
      <c r="S224" s="3867"/>
      <c r="T224" s="3868"/>
      <c r="U224" s="3965"/>
      <c r="V224" s="2296">
        <v>14000000</v>
      </c>
      <c r="W224" s="2235">
        <v>98</v>
      </c>
      <c r="X224" s="3864"/>
      <c r="Y224" s="3979"/>
      <c r="Z224" s="3979"/>
      <c r="AA224" s="3979"/>
      <c r="AB224" s="3979"/>
      <c r="AC224" s="3979"/>
      <c r="AD224" s="3979"/>
      <c r="AE224" s="3979"/>
      <c r="AF224" s="3979"/>
      <c r="AG224" s="3979"/>
      <c r="AH224" s="3979"/>
      <c r="AI224" s="3979"/>
      <c r="AJ224" s="3979"/>
      <c r="AK224" s="3979"/>
      <c r="AL224" s="3979"/>
      <c r="AM224" s="3979"/>
      <c r="AN224" s="3979"/>
      <c r="AO224" s="3982"/>
      <c r="AP224" s="3982"/>
      <c r="AQ224" s="3976"/>
    </row>
    <row r="225" spans="1:43" ht="76.5" customHeight="1" x14ac:dyDescent="0.2">
      <c r="A225" s="2229"/>
      <c r="B225" s="2230"/>
      <c r="C225" s="2231"/>
      <c r="D225" s="2230"/>
      <c r="E225" s="2230"/>
      <c r="F225" s="2231"/>
      <c r="G225" s="2237"/>
      <c r="H225" s="2230"/>
      <c r="I225" s="2231"/>
      <c r="J225" s="3898">
        <v>155</v>
      </c>
      <c r="K225" s="3866" t="s">
        <v>2310</v>
      </c>
      <c r="L225" s="3863" t="s">
        <v>2040</v>
      </c>
      <c r="M225" s="3863">
        <v>1</v>
      </c>
      <c r="N225" s="3864"/>
      <c r="O225" s="3864"/>
      <c r="P225" s="3867"/>
      <c r="Q225" s="3917">
        <f>SUM(V225:V233)/R218</f>
        <v>0.31346851236044621</v>
      </c>
      <c r="R225" s="3884"/>
      <c r="S225" s="3867"/>
      <c r="T225" s="3866" t="s">
        <v>2311</v>
      </c>
      <c r="U225" s="2287" t="s">
        <v>2312</v>
      </c>
      <c r="V225" s="2296">
        <v>1000000</v>
      </c>
      <c r="W225" s="2235">
        <v>61</v>
      </c>
      <c r="X225" s="3864"/>
      <c r="Y225" s="3979"/>
      <c r="Z225" s="3979"/>
      <c r="AA225" s="3979"/>
      <c r="AB225" s="3979"/>
      <c r="AC225" s="3979"/>
      <c r="AD225" s="3979"/>
      <c r="AE225" s="3979"/>
      <c r="AF225" s="3979"/>
      <c r="AG225" s="3979"/>
      <c r="AH225" s="3979"/>
      <c r="AI225" s="3979"/>
      <c r="AJ225" s="3979"/>
      <c r="AK225" s="3979"/>
      <c r="AL225" s="3979"/>
      <c r="AM225" s="3979"/>
      <c r="AN225" s="3979"/>
      <c r="AO225" s="3982"/>
      <c r="AP225" s="3982"/>
      <c r="AQ225" s="3976"/>
    </row>
    <row r="226" spans="1:43" ht="85.5" x14ac:dyDescent="0.2">
      <c r="A226" s="2229"/>
      <c r="B226" s="2230"/>
      <c r="C226" s="2231"/>
      <c r="D226" s="2230"/>
      <c r="E226" s="2230"/>
      <c r="F226" s="2231"/>
      <c r="G226" s="2237"/>
      <c r="H226" s="2230"/>
      <c r="I226" s="2231"/>
      <c r="J226" s="3899"/>
      <c r="K226" s="3867"/>
      <c r="L226" s="3864"/>
      <c r="M226" s="3864"/>
      <c r="N226" s="3864"/>
      <c r="O226" s="3864"/>
      <c r="P226" s="3867"/>
      <c r="Q226" s="3918"/>
      <c r="R226" s="3884"/>
      <c r="S226" s="3867"/>
      <c r="T226" s="3867"/>
      <c r="U226" s="2287" t="s">
        <v>2313</v>
      </c>
      <c r="V226" s="2296">
        <v>18000000</v>
      </c>
      <c r="W226" s="2235">
        <v>61</v>
      </c>
      <c r="X226" s="3864"/>
      <c r="Y226" s="3979"/>
      <c r="Z226" s="3979"/>
      <c r="AA226" s="3979"/>
      <c r="AB226" s="3979"/>
      <c r="AC226" s="3979"/>
      <c r="AD226" s="3979"/>
      <c r="AE226" s="3979"/>
      <c r="AF226" s="3979"/>
      <c r="AG226" s="3979"/>
      <c r="AH226" s="3979"/>
      <c r="AI226" s="3979"/>
      <c r="AJ226" s="3979"/>
      <c r="AK226" s="3979"/>
      <c r="AL226" s="3979"/>
      <c r="AM226" s="3979"/>
      <c r="AN226" s="3979"/>
      <c r="AO226" s="3982"/>
      <c r="AP226" s="3982"/>
      <c r="AQ226" s="3976"/>
    </row>
    <row r="227" spans="1:43" ht="26.25" customHeight="1" x14ac:dyDescent="0.2">
      <c r="A227" s="2229"/>
      <c r="B227" s="2230"/>
      <c r="C227" s="2231"/>
      <c r="D227" s="2230"/>
      <c r="E227" s="2230"/>
      <c r="F227" s="2231"/>
      <c r="G227" s="2237"/>
      <c r="H227" s="2230"/>
      <c r="I227" s="2231"/>
      <c r="J227" s="3899"/>
      <c r="K227" s="3867"/>
      <c r="L227" s="3864"/>
      <c r="M227" s="3864"/>
      <c r="N227" s="3864"/>
      <c r="O227" s="3864"/>
      <c r="P227" s="3867"/>
      <c r="Q227" s="3918"/>
      <c r="R227" s="3884"/>
      <c r="S227" s="3867"/>
      <c r="T227" s="3867"/>
      <c r="U227" s="3964" t="s">
        <v>2314</v>
      </c>
      <c r="V227" s="2296">
        <v>45000000</v>
      </c>
      <c r="W227" s="2235">
        <v>61</v>
      </c>
      <c r="X227" s="3864"/>
      <c r="Y227" s="3979"/>
      <c r="Z227" s="3979"/>
      <c r="AA227" s="3979"/>
      <c r="AB227" s="3979"/>
      <c r="AC227" s="3979"/>
      <c r="AD227" s="3979"/>
      <c r="AE227" s="3979"/>
      <c r="AF227" s="3979"/>
      <c r="AG227" s="3979"/>
      <c r="AH227" s="3979"/>
      <c r="AI227" s="3979"/>
      <c r="AJ227" s="3979"/>
      <c r="AK227" s="3979"/>
      <c r="AL227" s="3979"/>
      <c r="AM227" s="3979"/>
      <c r="AN227" s="3979"/>
      <c r="AO227" s="3982"/>
      <c r="AP227" s="3982"/>
      <c r="AQ227" s="3976"/>
    </row>
    <row r="228" spans="1:43" ht="27.75" customHeight="1" x14ac:dyDescent="0.2">
      <c r="A228" s="2229"/>
      <c r="B228" s="2230"/>
      <c r="C228" s="2231"/>
      <c r="D228" s="2230"/>
      <c r="E228" s="2230"/>
      <c r="F228" s="2231"/>
      <c r="G228" s="2237"/>
      <c r="H228" s="2230"/>
      <c r="I228" s="2231"/>
      <c r="J228" s="3899"/>
      <c r="K228" s="3867"/>
      <c r="L228" s="3864"/>
      <c r="M228" s="3864"/>
      <c r="N228" s="3864"/>
      <c r="O228" s="3864"/>
      <c r="P228" s="3867"/>
      <c r="Q228" s="3918"/>
      <c r="R228" s="3884"/>
      <c r="S228" s="3867"/>
      <c r="T228" s="3867"/>
      <c r="U228" s="3965"/>
      <c r="V228" s="2296">
        <v>15500000</v>
      </c>
      <c r="W228" s="2267">
        <v>98</v>
      </c>
      <c r="X228" s="3864"/>
      <c r="Y228" s="3979"/>
      <c r="Z228" s="3979"/>
      <c r="AA228" s="3979"/>
      <c r="AB228" s="3979"/>
      <c r="AC228" s="3979"/>
      <c r="AD228" s="3979"/>
      <c r="AE228" s="3979"/>
      <c r="AF228" s="3979"/>
      <c r="AG228" s="3979"/>
      <c r="AH228" s="3979"/>
      <c r="AI228" s="3979"/>
      <c r="AJ228" s="3979"/>
      <c r="AK228" s="3979"/>
      <c r="AL228" s="3979"/>
      <c r="AM228" s="3979"/>
      <c r="AN228" s="3979"/>
      <c r="AO228" s="3982"/>
      <c r="AP228" s="3982"/>
      <c r="AQ228" s="3976"/>
    </row>
    <row r="229" spans="1:43" ht="57" customHeight="1" x14ac:dyDescent="0.2">
      <c r="A229" s="2229"/>
      <c r="B229" s="2230"/>
      <c r="C229" s="2231"/>
      <c r="D229" s="2230"/>
      <c r="E229" s="2230"/>
      <c r="F229" s="2231"/>
      <c r="G229" s="2237"/>
      <c r="H229" s="2230"/>
      <c r="I229" s="2231"/>
      <c r="J229" s="3899"/>
      <c r="K229" s="3867"/>
      <c r="L229" s="3864"/>
      <c r="M229" s="3864"/>
      <c r="N229" s="3864"/>
      <c r="O229" s="3864"/>
      <c r="P229" s="3867"/>
      <c r="Q229" s="3918"/>
      <c r="R229" s="3884"/>
      <c r="S229" s="3867"/>
      <c r="T229" s="3867"/>
      <c r="U229" s="2287" t="s">
        <v>2315</v>
      </c>
      <c r="V229" s="2296">
        <v>1000000</v>
      </c>
      <c r="W229" s="2235">
        <v>61</v>
      </c>
      <c r="X229" s="3864"/>
      <c r="Y229" s="3979"/>
      <c r="Z229" s="3979"/>
      <c r="AA229" s="3979"/>
      <c r="AB229" s="3979"/>
      <c r="AC229" s="3979"/>
      <c r="AD229" s="3979"/>
      <c r="AE229" s="3979"/>
      <c r="AF229" s="3979"/>
      <c r="AG229" s="3979"/>
      <c r="AH229" s="3979"/>
      <c r="AI229" s="3979"/>
      <c r="AJ229" s="3979"/>
      <c r="AK229" s="3979"/>
      <c r="AL229" s="3979"/>
      <c r="AM229" s="3979"/>
      <c r="AN229" s="3979"/>
      <c r="AO229" s="3982"/>
      <c r="AP229" s="3982"/>
      <c r="AQ229" s="3976"/>
    </row>
    <row r="230" spans="1:43" ht="57" x14ac:dyDescent="0.2">
      <c r="A230" s="2229"/>
      <c r="B230" s="2230"/>
      <c r="C230" s="2231"/>
      <c r="D230" s="2230"/>
      <c r="E230" s="2230"/>
      <c r="F230" s="2231"/>
      <c r="G230" s="2237"/>
      <c r="H230" s="2230"/>
      <c r="I230" s="2231"/>
      <c r="J230" s="3899"/>
      <c r="K230" s="3867"/>
      <c r="L230" s="3864"/>
      <c r="M230" s="3864"/>
      <c r="N230" s="3864"/>
      <c r="O230" s="3864"/>
      <c r="P230" s="3867"/>
      <c r="Q230" s="3918"/>
      <c r="R230" s="3884"/>
      <c r="S230" s="3867"/>
      <c r="T230" s="3867"/>
      <c r="U230" s="2287" t="s">
        <v>2316</v>
      </c>
      <c r="V230" s="2296">
        <v>1000000</v>
      </c>
      <c r="W230" s="2235">
        <v>61</v>
      </c>
      <c r="X230" s="3864"/>
      <c r="Y230" s="3979"/>
      <c r="Z230" s="3979"/>
      <c r="AA230" s="3979"/>
      <c r="AB230" s="3979"/>
      <c r="AC230" s="3979"/>
      <c r="AD230" s="3979"/>
      <c r="AE230" s="3979"/>
      <c r="AF230" s="3979"/>
      <c r="AG230" s="3979"/>
      <c r="AH230" s="3979"/>
      <c r="AI230" s="3979"/>
      <c r="AJ230" s="3979"/>
      <c r="AK230" s="3979"/>
      <c r="AL230" s="3979"/>
      <c r="AM230" s="3979"/>
      <c r="AN230" s="3979"/>
      <c r="AO230" s="3982"/>
      <c r="AP230" s="3982"/>
      <c r="AQ230" s="3976"/>
    </row>
    <row r="231" spans="1:43" ht="54" customHeight="1" x14ac:dyDescent="0.2">
      <c r="A231" s="2229"/>
      <c r="B231" s="2230"/>
      <c r="C231" s="2231"/>
      <c r="D231" s="2230"/>
      <c r="E231" s="2230"/>
      <c r="F231" s="2231"/>
      <c r="G231" s="2237"/>
      <c r="H231" s="2230"/>
      <c r="I231" s="2231"/>
      <c r="J231" s="3899"/>
      <c r="K231" s="3867"/>
      <c r="L231" s="3864"/>
      <c r="M231" s="3864"/>
      <c r="N231" s="3864"/>
      <c r="O231" s="3864"/>
      <c r="P231" s="3867"/>
      <c r="Q231" s="3918"/>
      <c r="R231" s="3884"/>
      <c r="S231" s="3867"/>
      <c r="T231" s="3867"/>
      <c r="U231" s="2287" t="s">
        <v>2317</v>
      </c>
      <c r="V231" s="2296">
        <v>13500000</v>
      </c>
      <c r="W231" s="2235">
        <v>61</v>
      </c>
      <c r="X231" s="3864"/>
      <c r="Y231" s="3979"/>
      <c r="Z231" s="3979"/>
      <c r="AA231" s="3979"/>
      <c r="AB231" s="3979"/>
      <c r="AC231" s="3979"/>
      <c r="AD231" s="3979"/>
      <c r="AE231" s="3979"/>
      <c r="AF231" s="3979"/>
      <c r="AG231" s="3979"/>
      <c r="AH231" s="3979"/>
      <c r="AI231" s="3979"/>
      <c r="AJ231" s="3979"/>
      <c r="AK231" s="3979"/>
      <c r="AL231" s="3979"/>
      <c r="AM231" s="3979"/>
      <c r="AN231" s="3979"/>
      <c r="AO231" s="3982"/>
      <c r="AP231" s="3982"/>
      <c r="AQ231" s="3976"/>
    </row>
    <row r="232" spans="1:43" ht="51" customHeight="1" x14ac:dyDescent="0.2">
      <c r="A232" s="2229"/>
      <c r="B232" s="2230"/>
      <c r="C232" s="2231"/>
      <c r="D232" s="2230"/>
      <c r="E232" s="2230"/>
      <c r="F232" s="2231"/>
      <c r="G232" s="2237"/>
      <c r="H232" s="2230"/>
      <c r="I232" s="2231"/>
      <c r="J232" s="3899"/>
      <c r="K232" s="3867"/>
      <c r="L232" s="3864"/>
      <c r="M232" s="3864"/>
      <c r="N232" s="3864"/>
      <c r="O232" s="3864"/>
      <c r="P232" s="3867"/>
      <c r="Q232" s="3918"/>
      <c r="R232" s="3884"/>
      <c r="S232" s="3867"/>
      <c r="T232" s="3867"/>
      <c r="U232" s="2287" t="s">
        <v>2318</v>
      </c>
      <c r="V232" s="2296">
        <v>3500000</v>
      </c>
      <c r="W232" s="2235">
        <v>61</v>
      </c>
      <c r="X232" s="3864"/>
      <c r="Y232" s="3979"/>
      <c r="Z232" s="3979"/>
      <c r="AA232" s="3979"/>
      <c r="AB232" s="3979"/>
      <c r="AC232" s="3979"/>
      <c r="AD232" s="3979"/>
      <c r="AE232" s="3979"/>
      <c r="AF232" s="3979"/>
      <c r="AG232" s="3979"/>
      <c r="AH232" s="3979"/>
      <c r="AI232" s="3979"/>
      <c r="AJ232" s="3979"/>
      <c r="AK232" s="3979"/>
      <c r="AL232" s="3979"/>
      <c r="AM232" s="3979"/>
      <c r="AN232" s="3979"/>
      <c r="AO232" s="3982"/>
      <c r="AP232" s="3982"/>
      <c r="AQ232" s="3976"/>
    </row>
    <row r="233" spans="1:43" ht="51.75" customHeight="1" x14ac:dyDescent="0.2">
      <c r="A233" s="2229"/>
      <c r="B233" s="2230"/>
      <c r="C233" s="2231"/>
      <c r="D233" s="2230"/>
      <c r="E233" s="2230"/>
      <c r="F233" s="2231"/>
      <c r="G233" s="2237"/>
      <c r="H233" s="2230"/>
      <c r="I233" s="2231"/>
      <c r="J233" s="3900"/>
      <c r="K233" s="3868"/>
      <c r="L233" s="3865"/>
      <c r="M233" s="3865"/>
      <c r="N233" s="3864"/>
      <c r="O233" s="3864"/>
      <c r="P233" s="3867"/>
      <c r="Q233" s="3919"/>
      <c r="R233" s="3884"/>
      <c r="S233" s="3867"/>
      <c r="T233" s="3868"/>
      <c r="U233" s="2287" t="s">
        <v>2319</v>
      </c>
      <c r="V233" s="2296">
        <v>1000000</v>
      </c>
      <c r="W233" s="2235">
        <v>61</v>
      </c>
      <c r="X233" s="3864"/>
      <c r="Y233" s="3979"/>
      <c r="Z233" s="3979"/>
      <c r="AA233" s="3979"/>
      <c r="AB233" s="3979"/>
      <c r="AC233" s="3979"/>
      <c r="AD233" s="3979"/>
      <c r="AE233" s="3979"/>
      <c r="AF233" s="3979"/>
      <c r="AG233" s="3979"/>
      <c r="AH233" s="3979"/>
      <c r="AI233" s="3979"/>
      <c r="AJ233" s="3979"/>
      <c r="AK233" s="3979"/>
      <c r="AL233" s="3979"/>
      <c r="AM233" s="3979"/>
      <c r="AN233" s="3979"/>
      <c r="AO233" s="3982"/>
      <c r="AP233" s="3982"/>
      <c r="AQ233" s="3976"/>
    </row>
    <row r="234" spans="1:43" ht="68.25" customHeight="1" x14ac:dyDescent="0.2">
      <c r="A234" s="2229"/>
      <c r="B234" s="2230"/>
      <c r="C234" s="2231"/>
      <c r="D234" s="2230"/>
      <c r="E234" s="2230"/>
      <c r="F234" s="2231"/>
      <c r="G234" s="2237"/>
      <c r="H234" s="2230"/>
      <c r="I234" s="2231"/>
      <c r="J234" s="3898">
        <v>156</v>
      </c>
      <c r="K234" s="3866" t="s">
        <v>2320</v>
      </c>
      <c r="L234" s="3863" t="s">
        <v>2040</v>
      </c>
      <c r="M234" s="3863">
        <v>12</v>
      </c>
      <c r="N234" s="3864"/>
      <c r="O234" s="3864"/>
      <c r="P234" s="3867"/>
      <c r="Q234" s="3917">
        <f>SUM(V234:V240)/R218</f>
        <v>0.32738163428185663</v>
      </c>
      <c r="R234" s="3884"/>
      <c r="S234" s="3867"/>
      <c r="T234" s="3866" t="s">
        <v>2321</v>
      </c>
      <c r="U234" s="2287" t="s">
        <v>2322</v>
      </c>
      <c r="V234" s="2296">
        <v>20000000</v>
      </c>
      <c r="W234" s="2235">
        <v>61</v>
      </c>
      <c r="X234" s="3864"/>
      <c r="Y234" s="3979"/>
      <c r="Z234" s="3979"/>
      <c r="AA234" s="3979"/>
      <c r="AB234" s="3979"/>
      <c r="AC234" s="3979"/>
      <c r="AD234" s="3979"/>
      <c r="AE234" s="3979"/>
      <c r="AF234" s="3979"/>
      <c r="AG234" s="3979"/>
      <c r="AH234" s="3979"/>
      <c r="AI234" s="3979"/>
      <c r="AJ234" s="3979"/>
      <c r="AK234" s="3979"/>
      <c r="AL234" s="3979"/>
      <c r="AM234" s="3979"/>
      <c r="AN234" s="3979"/>
      <c r="AO234" s="3982"/>
      <c r="AP234" s="3982"/>
      <c r="AQ234" s="3976"/>
    </row>
    <row r="235" spans="1:43" ht="69.75" customHeight="1" x14ac:dyDescent="0.2">
      <c r="A235" s="2229"/>
      <c r="B235" s="2230"/>
      <c r="C235" s="2231"/>
      <c r="D235" s="2230"/>
      <c r="E235" s="2230"/>
      <c r="F235" s="2231"/>
      <c r="G235" s="2237"/>
      <c r="H235" s="2230"/>
      <c r="I235" s="2231"/>
      <c r="J235" s="3899"/>
      <c r="K235" s="3867"/>
      <c r="L235" s="3864"/>
      <c r="M235" s="3864"/>
      <c r="N235" s="3864"/>
      <c r="O235" s="3864"/>
      <c r="P235" s="3867"/>
      <c r="Q235" s="3918"/>
      <c r="R235" s="3884"/>
      <c r="S235" s="3867"/>
      <c r="T235" s="3867"/>
      <c r="U235" s="2287" t="s">
        <v>2323</v>
      </c>
      <c r="V235" s="2296">
        <v>20000000</v>
      </c>
      <c r="W235" s="2235">
        <v>61</v>
      </c>
      <c r="X235" s="3864"/>
      <c r="Y235" s="3979"/>
      <c r="Z235" s="3979"/>
      <c r="AA235" s="3979"/>
      <c r="AB235" s="3979"/>
      <c r="AC235" s="3979"/>
      <c r="AD235" s="3979"/>
      <c r="AE235" s="3979"/>
      <c r="AF235" s="3979"/>
      <c r="AG235" s="3979"/>
      <c r="AH235" s="3979"/>
      <c r="AI235" s="3979"/>
      <c r="AJ235" s="3979"/>
      <c r="AK235" s="3979"/>
      <c r="AL235" s="3979"/>
      <c r="AM235" s="3979"/>
      <c r="AN235" s="3979"/>
      <c r="AO235" s="3982"/>
      <c r="AP235" s="3982"/>
      <c r="AQ235" s="3976"/>
    </row>
    <row r="236" spans="1:43" ht="57" x14ac:dyDescent="0.2">
      <c r="A236" s="2229"/>
      <c r="B236" s="2230"/>
      <c r="C236" s="2231"/>
      <c r="D236" s="2230"/>
      <c r="E236" s="2230"/>
      <c r="F236" s="2231"/>
      <c r="G236" s="2237"/>
      <c r="H236" s="2230"/>
      <c r="I236" s="2231"/>
      <c r="J236" s="3899"/>
      <c r="K236" s="3867"/>
      <c r="L236" s="3864"/>
      <c r="M236" s="3864"/>
      <c r="N236" s="3864"/>
      <c r="O236" s="3864"/>
      <c r="P236" s="3867"/>
      <c r="Q236" s="3918"/>
      <c r="R236" s="3884"/>
      <c r="S236" s="3867"/>
      <c r="T236" s="3867"/>
      <c r="U236" s="2287" t="s">
        <v>2324</v>
      </c>
      <c r="V236" s="2296">
        <v>4000000</v>
      </c>
      <c r="W236" s="2235">
        <v>61</v>
      </c>
      <c r="X236" s="3864"/>
      <c r="Y236" s="3979"/>
      <c r="Z236" s="3979"/>
      <c r="AA236" s="3979"/>
      <c r="AB236" s="3979"/>
      <c r="AC236" s="3979"/>
      <c r="AD236" s="3979"/>
      <c r="AE236" s="3979"/>
      <c r="AF236" s="3979"/>
      <c r="AG236" s="3979"/>
      <c r="AH236" s="3979"/>
      <c r="AI236" s="3979"/>
      <c r="AJ236" s="3979"/>
      <c r="AK236" s="3979"/>
      <c r="AL236" s="3979"/>
      <c r="AM236" s="3979"/>
      <c r="AN236" s="3979"/>
      <c r="AO236" s="3982"/>
      <c r="AP236" s="3982"/>
      <c r="AQ236" s="3976"/>
    </row>
    <row r="237" spans="1:43" ht="57" customHeight="1" x14ac:dyDescent="0.2">
      <c r="A237" s="2229"/>
      <c r="B237" s="2230"/>
      <c r="C237" s="2231"/>
      <c r="D237" s="2230"/>
      <c r="E237" s="2230"/>
      <c r="F237" s="2231"/>
      <c r="G237" s="2237"/>
      <c r="H237" s="2230"/>
      <c r="I237" s="2231"/>
      <c r="J237" s="3899"/>
      <c r="K237" s="3867"/>
      <c r="L237" s="3864"/>
      <c r="M237" s="3864"/>
      <c r="N237" s="3864"/>
      <c r="O237" s="3864"/>
      <c r="P237" s="3867"/>
      <c r="Q237" s="3918"/>
      <c r="R237" s="3884"/>
      <c r="S237" s="3867"/>
      <c r="T237" s="3867"/>
      <c r="U237" s="3964" t="s">
        <v>2325</v>
      </c>
      <c r="V237" s="2296">
        <v>16000000</v>
      </c>
      <c r="W237" s="2235">
        <v>61</v>
      </c>
      <c r="X237" s="3864"/>
      <c r="Y237" s="3979"/>
      <c r="Z237" s="3979"/>
      <c r="AA237" s="3979"/>
      <c r="AB237" s="3979"/>
      <c r="AC237" s="3979"/>
      <c r="AD237" s="3979"/>
      <c r="AE237" s="3979"/>
      <c r="AF237" s="3979"/>
      <c r="AG237" s="3979"/>
      <c r="AH237" s="3979"/>
      <c r="AI237" s="3979"/>
      <c r="AJ237" s="3979"/>
      <c r="AK237" s="3979"/>
      <c r="AL237" s="3979"/>
      <c r="AM237" s="3979"/>
      <c r="AN237" s="3979"/>
      <c r="AO237" s="3982"/>
      <c r="AP237" s="3982"/>
      <c r="AQ237" s="3976"/>
    </row>
    <row r="238" spans="1:43" ht="27.75" customHeight="1" x14ac:dyDescent="0.2">
      <c r="A238" s="2229"/>
      <c r="B238" s="2230"/>
      <c r="C238" s="2231"/>
      <c r="D238" s="2230"/>
      <c r="E238" s="2230"/>
      <c r="F238" s="2231"/>
      <c r="G238" s="2237"/>
      <c r="H238" s="2230"/>
      <c r="I238" s="2231"/>
      <c r="J238" s="3899"/>
      <c r="K238" s="3867"/>
      <c r="L238" s="3864"/>
      <c r="M238" s="3864"/>
      <c r="N238" s="3864"/>
      <c r="O238" s="3864"/>
      <c r="P238" s="3867"/>
      <c r="Q238" s="3918"/>
      <c r="R238" s="3884"/>
      <c r="S238" s="3867"/>
      <c r="T238" s="3867"/>
      <c r="U238" s="3965"/>
      <c r="V238" s="2296">
        <v>11916251</v>
      </c>
      <c r="W238" s="2267">
        <v>98</v>
      </c>
      <c r="X238" s="3864"/>
      <c r="Y238" s="3979"/>
      <c r="Z238" s="3979"/>
      <c r="AA238" s="3979"/>
      <c r="AB238" s="3979"/>
      <c r="AC238" s="3979"/>
      <c r="AD238" s="3979"/>
      <c r="AE238" s="3979"/>
      <c r="AF238" s="3979"/>
      <c r="AG238" s="3979"/>
      <c r="AH238" s="3979"/>
      <c r="AI238" s="3979"/>
      <c r="AJ238" s="3979"/>
      <c r="AK238" s="3979"/>
      <c r="AL238" s="3979"/>
      <c r="AM238" s="3979"/>
      <c r="AN238" s="3979"/>
      <c r="AO238" s="3982"/>
      <c r="AP238" s="3982"/>
      <c r="AQ238" s="3976"/>
    </row>
    <row r="239" spans="1:43" ht="57.75" customHeight="1" x14ac:dyDescent="0.2">
      <c r="A239" s="2229"/>
      <c r="B239" s="2230"/>
      <c r="C239" s="2231"/>
      <c r="D239" s="2230"/>
      <c r="E239" s="2230"/>
      <c r="F239" s="2231"/>
      <c r="G239" s="2237"/>
      <c r="H239" s="2230"/>
      <c r="I239" s="2231"/>
      <c r="J239" s="3899"/>
      <c r="K239" s="3867"/>
      <c r="L239" s="3864"/>
      <c r="M239" s="3864"/>
      <c r="N239" s="3864"/>
      <c r="O239" s="3864"/>
      <c r="P239" s="3867"/>
      <c r="Q239" s="3918"/>
      <c r="R239" s="3884"/>
      <c r="S239" s="3867"/>
      <c r="T239" s="3867"/>
      <c r="U239" s="2287" t="s">
        <v>2326</v>
      </c>
      <c r="V239" s="2296">
        <v>16000000</v>
      </c>
      <c r="W239" s="2235">
        <v>61</v>
      </c>
      <c r="X239" s="3864"/>
      <c r="Y239" s="3979"/>
      <c r="Z239" s="3979"/>
      <c r="AA239" s="3979"/>
      <c r="AB239" s="3979"/>
      <c r="AC239" s="3979"/>
      <c r="AD239" s="3979"/>
      <c r="AE239" s="3979"/>
      <c r="AF239" s="3979"/>
      <c r="AG239" s="3979"/>
      <c r="AH239" s="3979"/>
      <c r="AI239" s="3979"/>
      <c r="AJ239" s="3979"/>
      <c r="AK239" s="3979"/>
      <c r="AL239" s="3979"/>
      <c r="AM239" s="3979"/>
      <c r="AN239" s="3979"/>
      <c r="AO239" s="3982"/>
      <c r="AP239" s="3982"/>
      <c r="AQ239" s="3976"/>
    </row>
    <row r="240" spans="1:43" ht="80.25" customHeight="1" x14ac:dyDescent="0.2">
      <c r="A240" s="2229"/>
      <c r="B240" s="2230"/>
      <c r="C240" s="2231"/>
      <c r="D240" s="2230"/>
      <c r="E240" s="2230"/>
      <c r="F240" s="2231"/>
      <c r="G240" s="2237"/>
      <c r="H240" s="2230"/>
      <c r="I240" s="2231"/>
      <c r="J240" s="3900"/>
      <c r="K240" s="3868"/>
      <c r="L240" s="3865"/>
      <c r="M240" s="3865"/>
      <c r="N240" s="3864"/>
      <c r="O240" s="3864"/>
      <c r="P240" s="3867"/>
      <c r="Q240" s="3919"/>
      <c r="R240" s="3884"/>
      <c r="S240" s="3867"/>
      <c r="T240" s="3868"/>
      <c r="U240" s="2287" t="s">
        <v>2327</v>
      </c>
      <c r="V240" s="2296">
        <v>16000000</v>
      </c>
      <c r="W240" s="2235">
        <v>61</v>
      </c>
      <c r="X240" s="3864"/>
      <c r="Y240" s="3979"/>
      <c r="Z240" s="3979"/>
      <c r="AA240" s="3979"/>
      <c r="AB240" s="3979"/>
      <c r="AC240" s="3979"/>
      <c r="AD240" s="3979"/>
      <c r="AE240" s="3979"/>
      <c r="AF240" s="3979"/>
      <c r="AG240" s="3979"/>
      <c r="AH240" s="3979"/>
      <c r="AI240" s="3979"/>
      <c r="AJ240" s="3979"/>
      <c r="AK240" s="3979"/>
      <c r="AL240" s="3979"/>
      <c r="AM240" s="3979"/>
      <c r="AN240" s="3979"/>
      <c r="AO240" s="3982"/>
      <c r="AP240" s="3982"/>
      <c r="AQ240" s="3976"/>
    </row>
    <row r="241" spans="1:43" ht="65.25" customHeight="1" x14ac:dyDescent="0.2">
      <c r="A241" s="2229"/>
      <c r="B241" s="2230"/>
      <c r="C241" s="2231"/>
      <c r="D241" s="2230"/>
      <c r="E241" s="2230"/>
      <c r="F241" s="2231"/>
      <c r="G241" s="2237"/>
      <c r="H241" s="2230"/>
      <c r="I241" s="2231"/>
      <c r="J241" s="3898">
        <v>157</v>
      </c>
      <c r="K241" s="3866" t="s">
        <v>2328</v>
      </c>
      <c r="L241" s="3863" t="s">
        <v>2040</v>
      </c>
      <c r="M241" s="3863">
        <v>12</v>
      </c>
      <c r="N241" s="3864"/>
      <c r="O241" s="3864"/>
      <c r="P241" s="3867"/>
      <c r="Q241" s="3917">
        <f>SUM(V241:V248)/R218</f>
        <v>0.17642448936869334</v>
      </c>
      <c r="R241" s="3884"/>
      <c r="S241" s="3867"/>
      <c r="T241" s="3866" t="s">
        <v>2329</v>
      </c>
      <c r="U241" s="2287" t="s">
        <v>2330</v>
      </c>
      <c r="V241" s="2296">
        <v>4800000</v>
      </c>
      <c r="W241" s="2235">
        <v>61</v>
      </c>
      <c r="X241" s="3864"/>
      <c r="Y241" s="3979"/>
      <c r="Z241" s="3979"/>
      <c r="AA241" s="3979"/>
      <c r="AB241" s="3979"/>
      <c r="AC241" s="3979"/>
      <c r="AD241" s="3979"/>
      <c r="AE241" s="3979"/>
      <c r="AF241" s="3979"/>
      <c r="AG241" s="3979"/>
      <c r="AH241" s="3979"/>
      <c r="AI241" s="3979"/>
      <c r="AJ241" s="3979"/>
      <c r="AK241" s="3979"/>
      <c r="AL241" s="3979"/>
      <c r="AM241" s="3979"/>
      <c r="AN241" s="3979"/>
      <c r="AO241" s="3982"/>
      <c r="AP241" s="3982"/>
      <c r="AQ241" s="3976"/>
    </row>
    <row r="242" spans="1:43" ht="67.5" customHeight="1" x14ac:dyDescent="0.2">
      <c r="A242" s="2229"/>
      <c r="B242" s="2230"/>
      <c r="C242" s="2231"/>
      <c r="D242" s="2230"/>
      <c r="E242" s="2230"/>
      <c r="F242" s="2231"/>
      <c r="G242" s="2237"/>
      <c r="H242" s="2230"/>
      <c r="I242" s="2231"/>
      <c r="J242" s="3899"/>
      <c r="K242" s="3867"/>
      <c r="L242" s="3864"/>
      <c r="M242" s="3864"/>
      <c r="N242" s="3864"/>
      <c r="O242" s="3864"/>
      <c r="P242" s="3867"/>
      <c r="Q242" s="3918"/>
      <c r="R242" s="3884"/>
      <c r="S242" s="3867"/>
      <c r="T242" s="3867"/>
      <c r="U242" s="2287" t="s">
        <v>2331</v>
      </c>
      <c r="V242" s="2296">
        <v>10800000</v>
      </c>
      <c r="W242" s="2235">
        <v>61</v>
      </c>
      <c r="X242" s="3864"/>
      <c r="Y242" s="3979"/>
      <c r="Z242" s="3979"/>
      <c r="AA242" s="3979"/>
      <c r="AB242" s="3979"/>
      <c r="AC242" s="3979"/>
      <c r="AD242" s="3979"/>
      <c r="AE242" s="3979"/>
      <c r="AF242" s="3979"/>
      <c r="AG242" s="3979"/>
      <c r="AH242" s="3979"/>
      <c r="AI242" s="3979"/>
      <c r="AJ242" s="3979"/>
      <c r="AK242" s="3979"/>
      <c r="AL242" s="3979"/>
      <c r="AM242" s="3979"/>
      <c r="AN242" s="3979"/>
      <c r="AO242" s="3982"/>
      <c r="AP242" s="3982"/>
      <c r="AQ242" s="3976"/>
    </row>
    <row r="243" spans="1:43" ht="87.75" customHeight="1" x14ac:dyDescent="0.2">
      <c r="A243" s="2229"/>
      <c r="B243" s="2230"/>
      <c r="C243" s="2231"/>
      <c r="D243" s="2230"/>
      <c r="E243" s="2230"/>
      <c r="F243" s="2231"/>
      <c r="G243" s="2237"/>
      <c r="H243" s="2230"/>
      <c r="I243" s="2231"/>
      <c r="J243" s="3899"/>
      <c r="K243" s="3867"/>
      <c r="L243" s="3864"/>
      <c r="M243" s="3864"/>
      <c r="N243" s="3864"/>
      <c r="O243" s="3864"/>
      <c r="P243" s="3867"/>
      <c r="Q243" s="3918"/>
      <c r="R243" s="3884"/>
      <c r="S243" s="3867"/>
      <c r="T243" s="3867"/>
      <c r="U243" s="2287" t="s">
        <v>2332</v>
      </c>
      <c r="V243" s="2296">
        <v>4800000</v>
      </c>
      <c r="W243" s="2235">
        <v>61</v>
      </c>
      <c r="X243" s="3864"/>
      <c r="Y243" s="3979"/>
      <c r="Z243" s="3979"/>
      <c r="AA243" s="3979"/>
      <c r="AB243" s="3979"/>
      <c r="AC243" s="3979"/>
      <c r="AD243" s="3979"/>
      <c r="AE243" s="3979"/>
      <c r="AF243" s="3979"/>
      <c r="AG243" s="3979"/>
      <c r="AH243" s="3979"/>
      <c r="AI243" s="3979"/>
      <c r="AJ243" s="3979"/>
      <c r="AK243" s="3979"/>
      <c r="AL243" s="3979"/>
      <c r="AM243" s="3979"/>
      <c r="AN243" s="3979"/>
      <c r="AO243" s="3982"/>
      <c r="AP243" s="3982"/>
      <c r="AQ243" s="3976"/>
    </row>
    <row r="244" spans="1:43" ht="60" customHeight="1" x14ac:dyDescent="0.2">
      <c r="A244" s="2229"/>
      <c r="B244" s="2230"/>
      <c r="C244" s="2231"/>
      <c r="D244" s="2230"/>
      <c r="E244" s="2230"/>
      <c r="F244" s="2231"/>
      <c r="G244" s="2237"/>
      <c r="H244" s="2230"/>
      <c r="I244" s="2231"/>
      <c r="J244" s="3899"/>
      <c r="K244" s="3867"/>
      <c r="L244" s="3864"/>
      <c r="M244" s="3864"/>
      <c r="N244" s="3864"/>
      <c r="O244" s="3864"/>
      <c r="P244" s="3867"/>
      <c r="Q244" s="3918"/>
      <c r="R244" s="3884"/>
      <c r="S244" s="3867"/>
      <c r="T244" s="3867"/>
      <c r="U244" s="2287" t="s">
        <v>2333</v>
      </c>
      <c r="V244" s="2296">
        <v>3600000</v>
      </c>
      <c r="W244" s="2235">
        <v>61</v>
      </c>
      <c r="X244" s="3864"/>
      <c r="Y244" s="3979"/>
      <c r="Z244" s="3979"/>
      <c r="AA244" s="3979"/>
      <c r="AB244" s="3979"/>
      <c r="AC244" s="3979"/>
      <c r="AD244" s="3979"/>
      <c r="AE244" s="3979"/>
      <c r="AF244" s="3979"/>
      <c r="AG244" s="3979"/>
      <c r="AH244" s="3979"/>
      <c r="AI244" s="3979"/>
      <c r="AJ244" s="3979"/>
      <c r="AK244" s="3979"/>
      <c r="AL244" s="3979"/>
      <c r="AM244" s="3979"/>
      <c r="AN244" s="3979"/>
      <c r="AO244" s="3982"/>
      <c r="AP244" s="3982"/>
      <c r="AQ244" s="3976"/>
    </row>
    <row r="245" spans="1:43" ht="65.25" customHeight="1" x14ac:dyDescent="0.2">
      <c r="A245" s="2229"/>
      <c r="B245" s="2230"/>
      <c r="C245" s="2231"/>
      <c r="D245" s="2230"/>
      <c r="E245" s="2230"/>
      <c r="F245" s="2231"/>
      <c r="G245" s="2237"/>
      <c r="H245" s="2230"/>
      <c r="I245" s="2231"/>
      <c r="J245" s="3899"/>
      <c r="K245" s="3867"/>
      <c r="L245" s="3864"/>
      <c r="M245" s="3864"/>
      <c r="N245" s="3864"/>
      <c r="O245" s="3864"/>
      <c r="P245" s="3867"/>
      <c r="Q245" s="3918"/>
      <c r="R245" s="3884"/>
      <c r="S245" s="3867"/>
      <c r="T245" s="3867"/>
      <c r="U245" s="2287" t="s">
        <v>2334</v>
      </c>
      <c r="V245" s="2296">
        <v>6000000</v>
      </c>
      <c r="W245" s="2235">
        <v>61</v>
      </c>
      <c r="X245" s="3864"/>
      <c r="Y245" s="3979"/>
      <c r="Z245" s="3979"/>
      <c r="AA245" s="3979"/>
      <c r="AB245" s="3979"/>
      <c r="AC245" s="3979"/>
      <c r="AD245" s="3979"/>
      <c r="AE245" s="3979"/>
      <c r="AF245" s="3979"/>
      <c r="AG245" s="3979"/>
      <c r="AH245" s="3979"/>
      <c r="AI245" s="3979"/>
      <c r="AJ245" s="3979"/>
      <c r="AK245" s="3979"/>
      <c r="AL245" s="3979"/>
      <c r="AM245" s="3979"/>
      <c r="AN245" s="3979"/>
      <c r="AO245" s="3982"/>
      <c r="AP245" s="3982"/>
      <c r="AQ245" s="3976"/>
    </row>
    <row r="246" spans="1:43" ht="63" customHeight="1" x14ac:dyDescent="0.2">
      <c r="A246" s="2229"/>
      <c r="B246" s="2230"/>
      <c r="C246" s="2231"/>
      <c r="D246" s="2230"/>
      <c r="E246" s="2230"/>
      <c r="F246" s="2231"/>
      <c r="G246" s="2237"/>
      <c r="H246" s="2230"/>
      <c r="I246" s="2231"/>
      <c r="J246" s="3899"/>
      <c r="K246" s="3867"/>
      <c r="L246" s="3864"/>
      <c r="M246" s="3864"/>
      <c r="N246" s="3864"/>
      <c r="O246" s="3864"/>
      <c r="P246" s="3867"/>
      <c r="Q246" s="3918"/>
      <c r="R246" s="3884"/>
      <c r="S246" s="3867"/>
      <c r="T246" s="3867"/>
      <c r="U246" s="2287" t="s">
        <v>2335</v>
      </c>
      <c r="V246" s="2296">
        <v>8000000</v>
      </c>
      <c r="W246" s="2235">
        <v>61</v>
      </c>
      <c r="X246" s="3864"/>
      <c r="Y246" s="3979"/>
      <c r="Z246" s="3979"/>
      <c r="AA246" s="3979"/>
      <c r="AB246" s="3979"/>
      <c r="AC246" s="3979"/>
      <c r="AD246" s="3979"/>
      <c r="AE246" s="3979"/>
      <c r="AF246" s="3979"/>
      <c r="AG246" s="3979"/>
      <c r="AH246" s="3979"/>
      <c r="AI246" s="3979"/>
      <c r="AJ246" s="3979"/>
      <c r="AK246" s="3979"/>
      <c r="AL246" s="3979"/>
      <c r="AM246" s="3979"/>
      <c r="AN246" s="3979"/>
      <c r="AO246" s="3982"/>
      <c r="AP246" s="3982"/>
      <c r="AQ246" s="3976"/>
    </row>
    <row r="247" spans="1:43" ht="57" x14ac:dyDescent="0.2">
      <c r="A247" s="2229"/>
      <c r="B247" s="2230"/>
      <c r="C247" s="2231"/>
      <c r="D247" s="2230"/>
      <c r="E247" s="2230"/>
      <c r="F247" s="2231"/>
      <c r="G247" s="2237"/>
      <c r="H247" s="2230"/>
      <c r="I247" s="2231"/>
      <c r="J247" s="3899"/>
      <c r="K247" s="3867"/>
      <c r="L247" s="3864"/>
      <c r="M247" s="3864"/>
      <c r="N247" s="3864"/>
      <c r="O247" s="3864"/>
      <c r="P247" s="3867"/>
      <c r="Q247" s="3918"/>
      <c r="R247" s="3884"/>
      <c r="S247" s="3867"/>
      <c r="T247" s="3867"/>
      <c r="U247" s="2287" t="s">
        <v>2336</v>
      </c>
      <c r="V247" s="2296">
        <v>12000000</v>
      </c>
      <c r="W247" s="2235">
        <v>61</v>
      </c>
      <c r="X247" s="3864"/>
      <c r="Y247" s="3979"/>
      <c r="Z247" s="3979"/>
      <c r="AA247" s="3979"/>
      <c r="AB247" s="3979"/>
      <c r="AC247" s="3979"/>
      <c r="AD247" s="3979"/>
      <c r="AE247" s="3979"/>
      <c r="AF247" s="3979"/>
      <c r="AG247" s="3979"/>
      <c r="AH247" s="3979"/>
      <c r="AI247" s="3979"/>
      <c r="AJ247" s="3979"/>
      <c r="AK247" s="3979"/>
      <c r="AL247" s="3979"/>
      <c r="AM247" s="3979"/>
      <c r="AN247" s="3979"/>
      <c r="AO247" s="3982"/>
      <c r="AP247" s="3982"/>
      <c r="AQ247" s="3976"/>
    </row>
    <row r="248" spans="1:43" ht="57" x14ac:dyDescent="0.2">
      <c r="A248" s="2229"/>
      <c r="B248" s="2230"/>
      <c r="C248" s="2231"/>
      <c r="D248" s="2230"/>
      <c r="E248" s="2230"/>
      <c r="F248" s="2231"/>
      <c r="G248" s="2241"/>
      <c r="H248" s="2239"/>
      <c r="I248" s="2240"/>
      <c r="J248" s="3900"/>
      <c r="K248" s="3868"/>
      <c r="L248" s="3865"/>
      <c r="M248" s="3865"/>
      <c r="N248" s="3865"/>
      <c r="O248" s="3865"/>
      <c r="P248" s="3868"/>
      <c r="Q248" s="3919"/>
      <c r="R248" s="3904"/>
      <c r="S248" s="3868"/>
      <c r="T248" s="3868"/>
      <c r="U248" s="2287" t="s">
        <v>2337</v>
      </c>
      <c r="V248" s="2296">
        <v>6000000</v>
      </c>
      <c r="W248" s="2235">
        <v>61</v>
      </c>
      <c r="X248" s="3865"/>
      <c r="Y248" s="3980"/>
      <c r="Z248" s="3980"/>
      <c r="AA248" s="3980"/>
      <c r="AB248" s="3980"/>
      <c r="AC248" s="3980"/>
      <c r="AD248" s="3980"/>
      <c r="AE248" s="3980"/>
      <c r="AF248" s="3980"/>
      <c r="AG248" s="3980"/>
      <c r="AH248" s="3980"/>
      <c r="AI248" s="3980"/>
      <c r="AJ248" s="3980"/>
      <c r="AK248" s="3980"/>
      <c r="AL248" s="3980"/>
      <c r="AM248" s="3980"/>
      <c r="AN248" s="3980"/>
      <c r="AO248" s="3983"/>
      <c r="AP248" s="3983"/>
      <c r="AQ248" s="3977"/>
    </row>
    <row r="249" spans="1:43" ht="36" customHeight="1" x14ac:dyDescent="0.2">
      <c r="A249" s="2215"/>
      <c r="B249" s="2216"/>
      <c r="C249" s="2217"/>
      <c r="D249" s="2216"/>
      <c r="E249" s="2216"/>
      <c r="F249" s="2217"/>
      <c r="G249" s="2249">
        <v>45</v>
      </c>
      <c r="H249" s="2221" t="s">
        <v>2338</v>
      </c>
      <c r="I249" s="2221"/>
      <c r="J249" s="2221"/>
      <c r="K249" s="2222"/>
      <c r="L249" s="2221"/>
      <c r="M249" s="2221"/>
      <c r="N249" s="2223"/>
      <c r="O249" s="2221"/>
      <c r="P249" s="2222"/>
      <c r="Q249" s="2221"/>
      <c r="R249" s="2250"/>
      <c r="S249" s="2222"/>
      <c r="T249" s="2222"/>
      <c r="U249" s="2222"/>
      <c r="V249" s="2305"/>
      <c r="W249" s="2294"/>
      <c r="X249" s="2295"/>
      <c r="Y249" s="2223"/>
      <c r="Z249" s="2223"/>
      <c r="AA249" s="2223"/>
      <c r="AB249" s="2223"/>
      <c r="AC249" s="2223"/>
      <c r="AD249" s="2223"/>
      <c r="AE249" s="2223"/>
      <c r="AF249" s="2223"/>
      <c r="AG249" s="2223"/>
      <c r="AH249" s="2223"/>
      <c r="AI249" s="2223"/>
      <c r="AJ249" s="2223"/>
      <c r="AK249" s="2223"/>
      <c r="AL249" s="2223"/>
      <c r="AM249" s="2223"/>
      <c r="AN249" s="2223"/>
      <c r="AO249" s="2223"/>
      <c r="AP249" s="2221"/>
      <c r="AQ249" s="2228"/>
    </row>
    <row r="250" spans="1:43" s="2236" customFormat="1" ht="24" customHeight="1" x14ac:dyDescent="0.2">
      <c r="A250" s="2229"/>
      <c r="B250" s="2230"/>
      <c r="C250" s="2231"/>
      <c r="D250" s="2230"/>
      <c r="E250" s="2230"/>
      <c r="F250" s="2231"/>
      <c r="G250" s="2232"/>
      <c r="H250" s="2233"/>
      <c r="I250" s="2234"/>
      <c r="J250" s="3898">
        <v>158</v>
      </c>
      <c r="K250" s="3866" t="s">
        <v>2339</v>
      </c>
      <c r="L250" s="3863" t="s">
        <v>2040</v>
      </c>
      <c r="M250" s="3863">
        <v>11</v>
      </c>
      <c r="N250" s="3863" t="s">
        <v>2340</v>
      </c>
      <c r="O250" s="3863" t="s">
        <v>2341</v>
      </c>
      <c r="P250" s="3866" t="s">
        <v>2342</v>
      </c>
      <c r="Q250" s="3917">
        <f>+SUM(V250:V256)/R250</f>
        <v>1</v>
      </c>
      <c r="R250" s="3883">
        <f>SUM(V250:V257)</f>
        <v>1538707111</v>
      </c>
      <c r="S250" s="3866" t="s">
        <v>2343</v>
      </c>
      <c r="T250" s="3866" t="s">
        <v>2344</v>
      </c>
      <c r="U250" s="3964" t="s">
        <v>2345</v>
      </c>
      <c r="V250" s="2296">
        <v>180000000</v>
      </c>
      <c r="W250" s="2235">
        <v>61</v>
      </c>
      <c r="X250" s="3863" t="s">
        <v>2304</v>
      </c>
      <c r="Y250" s="3863">
        <v>292684</v>
      </c>
      <c r="Z250" s="3863">
        <v>282326</v>
      </c>
      <c r="AA250" s="3863">
        <v>135912</v>
      </c>
      <c r="AB250" s="3863">
        <v>45122</v>
      </c>
      <c r="AC250" s="3863">
        <v>307101</v>
      </c>
      <c r="AD250" s="3863">
        <v>86875</v>
      </c>
      <c r="AE250" s="3863">
        <v>2145</v>
      </c>
      <c r="AF250" s="3863">
        <v>12718</v>
      </c>
      <c r="AG250" s="3863">
        <v>26</v>
      </c>
      <c r="AH250" s="3863">
        <v>37</v>
      </c>
      <c r="AI250" s="3863" t="s">
        <v>2047</v>
      </c>
      <c r="AJ250" s="3863" t="s">
        <v>2047</v>
      </c>
      <c r="AK250" s="3863">
        <v>53164</v>
      </c>
      <c r="AL250" s="3863">
        <v>16982</v>
      </c>
      <c r="AM250" s="3863">
        <v>60013</v>
      </c>
      <c r="AN250" s="3863">
        <v>575010</v>
      </c>
      <c r="AO250" s="3878">
        <v>43467</v>
      </c>
      <c r="AP250" s="3878">
        <v>43830</v>
      </c>
      <c r="AQ250" s="3880" t="s">
        <v>2048</v>
      </c>
    </row>
    <row r="251" spans="1:43" s="2236" customFormat="1" ht="24" customHeight="1" x14ac:dyDescent="0.2">
      <c r="A251" s="2229"/>
      <c r="B251" s="2230"/>
      <c r="C251" s="2231"/>
      <c r="D251" s="2230"/>
      <c r="E251" s="2230"/>
      <c r="F251" s="2231"/>
      <c r="G251" s="2237"/>
      <c r="H251" s="2230"/>
      <c r="I251" s="2231"/>
      <c r="J251" s="3899"/>
      <c r="K251" s="3867"/>
      <c r="L251" s="3864"/>
      <c r="M251" s="3864"/>
      <c r="N251" s="3864"/>
      <c r="O251" s="3864"/>
      <c r="P251" s="3867"/>
      <c r="Q251" s="3918"/>
      <c r="R251" s="3884"/>
      <c r="S251" s="3867"/>
      <c r="T251" s="3867"/>
      <c r="U251" s="3965"/>
      <c r="V251" s="2296">
        <v>33000000</v>
      </c>
      <c r="W251" s="2235">
        <v>98</v>
      </c>
      <c r="X251" s="3864"/>
      <c r="Y251" s="3864"/>
      <c r="Z251" s="3864"/>
      <c r="AA251" s="3864"/>
      <c r="AB251" s="3864"/>
      <c r="AC251" s="3864"/>
      <c r="AD251" s="3864"/>
      <c r="AE251" s="3864"/>
      <c r="AF251" s="3864"/>
      <c r="AG251" s="3864"/>
      <c r="AH251" s="3864"/>
      <c r="AI251" s="3864"/>
      <c r="AJ251" s="3864"/>
      <c r="AK251" s="3864"/>
      <c r="AL251" s="3864"/>
      <c r="AM251" s="3864"/>
      <c r="AN251" s="3864"/>
      <c r="AO251" s="3879"/>
      <c r="AP251" s="3879"/>
      <c r="AQ251" s="3881"/>
    </row>
    <row r="252" spans="1:43" s="2236" customFormat="1" ht="24" customHeight="1" x14ac:dyDescent="0.2">
      <c r="A252" s="2229"/>
      <c r="B252" s="2230"/>
      <c r="C252" s="2231"/>
      <c r="D252" s="2230"/>
      <c r="E252" s="2230"/>
      <c r="F252" s="2231"/>
      <c r="G252" s="2237"/>
      <c r="H252" s="2230"/>
      <c r="I252" s="2231"/>
      <c r="J252" s="3899"/>
      <c r="K252" s="3867"/>
      <c r="L252" s="3864"/>
      <c r="M252" s="3864"/>
      <c r="N252" s="3864"/>
      <c r="O252" s="3864"/>
      <c r="P252" s="3867"/>
      <c r="Q252" s="3918"/>
      <c r="R252" s="3884"/>
      <c r="S252" s="3867"/>
      <c r="T252" s="3867"/>
      <c r="U252" s="3964" t="s">
        <v>2346</v>
      </c>
      <c r="V252" s="2296">
        <f>20000000+102300000</f>
        <v>122300000</v>
      </c>
      <c r="W252" s="2235">
        <v>61</v>
      </c>
      <c r="X252" s="3864"/>
      <c r="Y252" s="3864"/>
      <c r="Z252" s="3864"/>
      <c r="AA252" s="3864"/>
      <c r="AB252" s="3864"/>
      <c r="AC252" s="3864"/>
      <c r="AD252" s="3864"/>
      <c r="AE252" s="3864"/>
      <c r="AF252" s="3864"/>
      <c r="AG252" s="3864"/>
      <c r="AH252" s="3864"/>
      <c r="AI252" s="3864"/>
      <c r="AJ252" s="3864"/>
      <c r="AK252" s="3864"/>
      <c r="AL252" s="3864"/>
      <c r="AM252" s="3864"/>
      <c r="AN252" s="3864"/>
      <c r="AO252" s="3879"/>
      <c r="AP252" s="3879"/>
      <c r="AQ252" s="3881"/>
    </row>
    <row r="253" spans="1:43" s="2236" customFormat="1" ht="22.5" customHeight="1" x14ac:dyDescent="0.2">
      <c r="A253" s="2229"/>
      <c r="B253" s="2230"/>
      <c r="C253" s="2231"/>
      <c r="D253" s="2230"/>
      <c r="E253" s="2230"/>
      <c r="F253" s="2231"/>
      <c r="G253" s="2237"/>
      <c r="H253" s="2230"/>
      <c r="I253" s="2231"/>
      <c r="J253" s="3899"/>
      <c r="K253" s="3867"/>
      <c r="L253" s="3864"/>
      <c r="M253" s="3864"/>
      <c r="N253" s="3864"/>
      <c r="O253" s="3864"/>
      <c r="P253" s="3867"/>
      <c r="Q253" s="3918"/>
      <c r="R253" s="3884"/>
      <c r="S253" s="3867"/>
      <c r="T253" s="3867"/>
      <c r="U253" s="3965"/>
      <c r="V253" s="2296">
        <v>100000000</v>
      </c>
      <c r="W253" s="2235">
        <v>98</v>
      </c>
      <c r="X253" s="3864"/>
      <c r="Y253" s="3864"/>
      <c r="Z253" s="3864"/>
      <c r="AA253" s="3864"/>
      <c r="AB253" s="3864"/>
      <c r="AC253" s="3864"/>
      <c r="AD253" s="3864"/>
      <c r="AE253" s="3864"/>
      <c r="AF253" s="3864"/>
      <c r="AG253" s="3864"/>
      <c r="AH253" s="3864"/>
      <c r="AI253" s="3864"/>
      <c r="AJ253" s="3864"/>
      <c r="AK253" s="3864"/>
      <c r="AL253" s="3864"/>
      <c r="AM253" s="3864"/>
      <c r="AN253" s="3864"/>
      <c r="AO253" s="3879"/>
      <c r="AP253" s="3879"/>
      <c r="AQ253" s="3881"/>
    </row>
    <row r="254" spans="1:43" s="2236" customFormat="1" ht="37.5" customHeight="1" x14ac:dyDescent="0.2">
      <c r="A254" s="2229"/>
      <c r="B254" s="2230"/>
      <c r="C254" s="2231"/>
      <c r="D254" s="2230"/>
      <c r="E254" s="2230"/>
      <c r="F254" s="2231"/>
      <c r="G254" s="2237"/>
      <c r="H254" s="2230"/>
      <c r="I254" s="2231"/>
      <c r="J254" s="3899"/>
      <c r="K254" s="3867"/>
      <c r="L254" s="3864"/>
      <c r="M254" s="3864"/>
      <c r="N254" s="3864"/>
      <c r="O254" s="3864"/>
      <c r="P254" s="3867"/>
      <c r="Q254" s="3918"/>
      <c r="R254" s="3884"/>
      <c r="S254" s="3867"/>
      <c r="T254" s="3867"/>
      <c r="U254" s="2287" t="s">
        <v>2347</v>
      </c>
      <c r="V254" s="2296">
        <v>300000000</v>
      </c>
      <c r="W254" s="2235">
        <v>61</v>
      </c>
      <c r="X254" s="3864"/>
      <c r="Y254" s="3864"/>
      <c r="Z254" s="3864"/>
      <c r="AA254" s="3864"/>
      <c r="AB254" s="3864"/>
      <c r="AC254" s="3864"/>
      <c r="AD254" s="3864"/>
      <c r="AE254" s="3864"/>
      <c r="AF254" s="3864"/>
      <c r="AG254" s="3864"/>
      <c r="AH254" s="3864"/>
      <c r="AI254" s="3864"/>
      <c r="AJ254" s="3864"/>
      <c r="AK254" s="3864"/>
      <c r="AL254" s="3864"/>
      <c r="AM254" s="3864"/>
      <c r="AN254" s="3864"/>
      <c r="AO254" s="3879"/>
      <c r="AP254" s="3879"/>
      <c r="AQ254" s="3881"/>
    </row>
    <row r="255" spans="1:43" s="2236" customFormat="1" ht="23.25" customHeight="1" x14ac:dyDescent="0.2">
      <c r="A255" s="2229"/>
      <c r="B255" s="2230"/>
      <c r="C255" s="2231"/>
      <c r="D255" s="2230"/>
      <c r="E255" s="2230"/>
      <c r="F255" s="2231"/>
      <c r="G255" s="2237"/>
      <c r="H255" s="2230"/>
      <c r="I255" s="2231"/>
      <c r="J255" s="3899"/>
      <c r="K255" s="3867"/>
      <c r="L255" s="3864"/>
      <c r="M255" s="3864"/>
      <c r="N255" s="3864"/>
      <c r="O255" s="3864"/>
      <c r="P255" s="3867"/>
      <c r="Q255" s="3918"/>
      <c r="R255" s="3884"/>
      <c r="S255" s="3867"/>
      <c r="T255" s="3867"/>
      <c r="U255" s="3964" t="s">
        <v>2348</v>
      </c>
      <c r="V255" s="2296">
        <f>722110000+21200000</f>
        <v>743310000</v>
      </c>
      <c r="W255" s="2235">
        <v>61</v>
      </c>
      <c r="X255" s="3864"/>
      <c r="Y255" s="3864"/>
      <c r="Z255" s="3864"/>
      <c r="AA255" s="3864"/>
      <c r="AB255" s="3864"/>
      <c r="AC255" s="3864"/>
      <c r="AD255" s="3864"/>
      <c r="AE255" s="3864"/>
      <c r="AF255" s="3864"/>
      <c r="AG255" s="3864"/>
      <c r="AH255" s="3864"/>
      <c r="AI255" s="3864"/>
      <c r="AJ255" s="3864"/>
      <c r="AK255" s="3864"/>
      <c r="AL255" s="3864"/>
      <c r="AM255" s="3864"/>
      <c r="AN255" s="3864"/>
      <c r="AO255" s="3879"/>
      <c r="AP255" s="3879"/>
      <c r="AQ255" s="3881"/>
    </row>
    <row r="256" spans="1:43" s="2236" customFormat="1" ht="28.5" customHeight="1" x14ac:dyDescent="0.2">
      <c r="A256" s="2229"/>
      <c r="B256" s="2230"/>
      <c r="C256" s="2231"/>
      <c r="D256" s="2230"/>
      <c r="E256" s="2230"/>
      <c r="F256" s="2231"/>
      <c r="G256" s="2237"/>
      <c r="H256" s="2230"/>
      <c r="I256" s="2231"/>
      <c r="J256" s="3900"/>
      <c r="K256" s="3868"/>
      <c r="L256" s="3865"/>
      <c r="M256" s="3865"/>
      <c r="N256" s="3864"/>
      <c r="O256" s="3864"/>
      <c r="P256" s="3867"/>
      <c r="Q256" s="3919"/>
      <c r="R256" s="3884"/>
      <c r="S256" s="3867"/>
      <c r="T256" s="3868"/>
      <c r="U256" s="3965"/>
      <c r="V256" s="2296">
        <v>60097111</v>
      </c>
      <c r="W256" s="2235">
        <v>98</v>
      </c>
      <c r="X256" s="3864"/>
      <c r="Y256" s="3864"/>
      <c r="Z256" s="3864"/>
      <c r="AA256" s="3864"/>
      <c r="AB256" s="3864"/>
      <c r="AC256" s="3864"/>
      <c r="AD256" s="3864"/>
      <c r="AE256" s="3864"/>
      <c r="AF256" s="3864"/>
      <c r="AG256" s="3864"/>
      <c r="AH256" s="3864"/>
      <c r="AI256" s="3864"/>
      <c r="AJ256" s="3864"/>
      <c r="AK256" s="3864"/>
      <c r="AL256" s="3864"/>
      <c r="AM256" s="3864"/>
      <c r="AN256" s="3864"/>
      <c r="AO256" s="3879"/>
      <c r="AP256" s="3879"/>
      <c r="AQ256" s="3881"/>
    </row>
    <row r="257" spans="1:43" s="2236" customFormat="1" ht="87.75" customHeight="1" x14ac:dyDescent="0.2">
      <c r="A257" s="2229"/>
      <c r="B257" s="2230"/>
      <c r="C257" s="2231"/>
      <c r="D257" s="2230"/>
      <c r="E257" s="2230"/>
      <c r="F257" s="2231"/>
      <c r="G257" s="2241"/>
      <c r="H257" s="2239"/>
      <c r="I257" s="2240"/>
      <c r="J257" s="2306">
        <v>159</v>
      </c>
      <c r="K257" s="2264" t="s">
        <v>2349</v>
      </c>
      <c r="L257" s="2304" t="s">
        <v>2040</v>
      </c>
      <c r="M257" s="2307">
        <v>8</v>
      </c>
      <c r="N257" s="3865"/>
      <c r="O257" s="3865"/>
      <c r="P257" s="3868"/>
      <c r="Q257" s="2308">
        <f>+V257/R250</f>
        <v>0</v>
      </c>
      <c r="R257" s="3904"/>
      <c r="S257" s="3868"/>
      <c r="T257" s="2264" t="s">
        <v>2350</v>
      </c>
      <c r="U257" s="2287" t="s">
        <v>2351</v>
      </c>
      <c r="V257" s="2296">
        <v>0</v>
      </c>
      <c r="W257" s="2267">
        <v>61</v>
      </c>
      <c r="X257" s="3865"/>
      <c r="Y257" s="3865"/>
      <c r="Z257" s="3865"/>
      <c r="AA257" s="3865"/>
      <c r="AB257" s="3865"/>
      <c r="AC257" s="3865"/>
      <c r="AD257" s="3865"/>
      <c r="AE257" s="3865"/>
      <c r="AF257" s="3865"/>
      <c r="AG257" s="3865"/>
      <c r="AH257" s="3865"/>
      <c r="AI257" s="3865"/>
      <c r="AJ257" s="3865"/>
      <c r="AK257" s="3865"/>
      <c r="AL257" s="3865"/>
      <c r="AM257" s="3865"/>
      <c r="AN257" s="3865"/>
      <c r="AO257" s="3901"/>
      <c r="AP257" s="3901"/>
      <c r="AQ257" s="3887"/>
    </row>
    <row r="258" spans="1:43" ht="36" customHeight="1" x14ac:dyDescent="0.2">
      <c r="A258" s="2215"/>
      <c r="B258" s="2216"/>
      <c r="C258" s="2217"/>
      <c r="D258" s="2216"/>
      <c r="E258" s="2216"/>
      <c r="F258" s="2217"/>
      <c r="G258" s="2249">
        <v>46</v>
      </c>
      <c r="H258" s="2221" t="s">
        <v>2352</v>
      </c>
      <c r="I258" s="2221"/>
      <c r="J258" s="2221"/>
      <c r="K258" s="2222"/>
      <c r="L258" s="2221"/>
      <c r="M258" s="2221"/>
      <c r="N258" s="2223"/>
      <c r="O258" s="2221"/>
      <c r="P258" s="2222"/>
      <c r="Q258" s="2221"/>
      <c r="R258" s="2250"/>
      <c r="S258" s="2222"/>
      <c r="T258" s="2222"/>
      <c r="U258" s="2222"/>
      <c r="V258" s="2297"/>
      <c r="W258" s="2294"/>
      <c r="X258" s="2295"/>
      <c r="Y258" s="2223"/>
      <c r="Z258" s="2223"/>
      <c r="AA258" s="2223"/>
      <c r="AB258" s="2223"/>
      <c r="AC258" s="2223"/>
      <c r="AD258" s="2223"/>
      <c r="AE258" s="2223"/>
      <c r="AF258" s="2223"/>
      <c r="AG258" s="2223"/>
      <c r="AH258" s="2223"/>
      <c r="AI258" s="2223"/>
      <c r="AJ258" s="2223"/>
      <c r="AK258" s="2223"/>
      <c r="AL258" s="2223"/>
      <c r="AM258" s="2223"/>
      <c r="AN258" s="2223"/>
      <c r="AO258" s="2221"/>
      <c r="AP258" s="2221"/>
      <c r="AQ258" s="2228"/>
    </row>
    <row r="259" spans="1:43" ht="31.5" customHeight="1" x14ac:dyDescent="0.2">
      <c r="A259" s="2229"/>
      <c r="B259" s="2230"/>
      <c r="C259" s="2231"/>
      <c r="D259" s="2230"/>
      <c r="E259" s="2230"/>
      <c r="F259" s="2231"/>
      <c r="G259" s="2232"/>
      <c r="H259" s="2233"/>
      <c r="I259" s="2234"/>
      <c r="J259" s="3956">
        <v>160</v>
      </c>
      <c r="K259" s="3866" t="s">
        <v>2353</v>
      </c>
      <c r="L259" s="3863" t="s">
        <v>2040</v>
      </c>
      <c r="M259" s="3863">
        <v>300</v>
      </c>
      <c r="N259" s="3863" t="s">
        <v>2354</v>
      </c>
      <c r="O259" s="3863" t="s">
        <v>2355</v>
      </c>
      <c r="P259" s="3866" t="s">
        <v>2356</v>
      </c>
      <c r="Q259" s="3917">
        <v>1</v>
      </c>
      <c r="R259" s="3883">
        <f>SUM(V259:V273)</f>
        <v>1210233390</v>
      </c>
      <c r="S259" s="3903" t="s">
        <v>2357</v>
      </c>
      <c r="T259" s="3974" t="s">
        <v>2358</v>
      </c>
      <c r="U259" s="3964" t="s">
        <v>2359</v>
      </c>
      <c r="V259" s="2296">
        <f>238058000+175133457</f>
        <v>413191457</v>
      </c>
      <c r="W259" s="2309">
        <v>61</v>
      </c>
      <c r="X259" s="3863" t="s">
        <v>2360</v>
      </c>
      <c r="Y259" s="3863">
        <v>292684</v>
      </c>
      <c r="Z259" s="3863">
        <v>282326</v>
      </c>
      <c r="AA259" s="3863">
        <v>135912</v>
      </c>
      <c r="AB259" s="3863">
        <v>45122</v>
      </c>
      <c r="AC259" s="3863">
        <f t="shared" ref="AC259:AD259" si="0">SUM(AC253)</f>
        <v>0</v>
      </c>
      <c r="AD259" s="3863">
        <f t="shared" si="0"/>
        <v>0</v>
      </c>
      <c r="AE259" s="3863">
        <v>2145</v>
      </c>
      <c r="AF259" s="3863">
        <v>12718</v>
      </c>
      <c r="AG259" s="3863">
        <v>26</v>
      </c>
      <c r="AH259" s="3863">
        <v>37</v>
      </c>
      <c r="AI259" s="3863" t="s">
        <v>2047</v>
      </c>
      <c r="AJ259" s="3863" t="s">
        <v>2047</v>
      </c>
      <c r="AK259" s="3863">
        <v>53164</v>
      </c>
      <c r="AL259" s="3863">
        <v>16982</v>
      </c>
      <c r="AM259" s="3863">
        <v>60013</v>
      </c>
      <c r="AN259" s="3863">
        <v>575010</v>
      </c>
      <c r="AO259" s="3926">
        <v>43467</v>
      </c>
      <c r="AP259" s="3926">
        <v>43830</v>
      </c>
      <c r="AQ259" s="3880" t="s">
        <v>2048</v>
      </c>
    </row>
    <row r="260" spans="1:43" ht="31.5" customHeight="1" x14ac:dyDescent="0.2">
      <c r="A260" s="2229"/>
      <c r="B260" s="2230"/>
      <c r="C260" s="2231"/>
      <c r="D260" s="2230"/>
      <c r="E260" s="2230"/>
      <c r="F260" s="2231"/>
      <c r="G260" s="2237"/>
      <c r="H260" s="2230"/>
      <c r="I260" s="2231"/>
      <c r="J260" s="3956"/>
      <c r="K260" s="3867"/>
      <c r="L260" s="3864"/>
      <c r="M260" s="3864"/>
      <c r="N260" s="3864"/>
      <c r="O260" s="3864"/>
      <c r="P260" s="3867"/>
      <c r="Q260" s="3918"/>
      <c r="R260" s="3884"/>
      <c r="S260" s="3903"/>
      <c r="T260" s="3974"/>
      <c r="U260" s="3966"/>
      <c r="V260" s="2296">
        <f>30000000-30000000</f>
        <v>0</v>
      </c>
      <c r="W260" s="2310">
        <v>88</v>
      </c>
      <c r="X260" s="3864"/>
      <c r="Y260" s="3864"/>
      <c r="Z260" s="3864"/>
      <c r="AA260" s="3864"/>
      <c r="AB260" s="3864"/>
      <c r="AC260" s="3864"/>
      <c r="AD260" s="3864"/>
      <c r="AE260" s="3864"/>
      <c r="AF260" s="3864"/>
      <c r="AG260" s="3864"/>
      <c r="AH260" s="3864"/>
      <c r="AI260" s="3864"/>
      <c r="AJ260" s="3864"/>
      <c r="AK260" s="3864"/>
      <c r="AL260" s="3864"/>
      <c r="AM260" s="3864"/>
      <c r="AN260" s="3864"/>
      <c r="AO260" s="3926"/>
      <c r="AP260" s="3926"/>
      <c r="AQ260" s="3881"/>
    </row>
    <row r="261" spans="1:43" ht="31.5" customHeight="1" x14ac:dyDescent="0.2">
      <c r="A261" s="2229"/>
      <c r="B261" s="2230"/>
      <c r="C261" s="2231"/>
      <c r="D261" s="2230"/>
      <c r="E261" s="2230"/>
      <c r="F261" s="2231"/>
      <c r="G261" s="2237"/>
      <c r="H261" s="2230"/>
      <c r="I261" s="2231"/>
      <c r="J261" s="3956"/>
      <c r="K261" s="3867"/>
      <c r="L261" s="3864"/>
      <c r="M261" s="3864"/>
      <c r="N261" s="3864"/>
      <c r="O261" s="3864"/>
      <c r="P261" s="3867"/>
      <c r="Q261" s="3918"/>
      <c r="R261" s="3884"/>
      <c r="S261" s="3903"/>
      <c r="T261" s="3974"/>
      <c r="U261" s="3966"/>
      <c r="V261" s="2296">
        <v>211942000</v>
      </c>
      <c r="W261" s="2310">
        <v>20</v>
      </c>
      <c r="X261" s="3864"/>
      <c r="Y261" s="3864"/>
      <c r="Z261" s="3864"/>
      <c r="AA261" s="3864"/>
      <c r="AB261" s="3864"/>
      <c r="AC261" s="3864"/>
      <c r="AD261" s="3864"/>
      <c r="AE261" s="3864"/>
      <c r="AF261" s="3864"/>
      <c r="AG261" s="3864"/>
      <c r="AH261" s="3864"/>
      <c r="AI261" s="3864"/>
      <c r="AJ261" s="3864"/>
      <c r="AK261" s="3864"/>
      <c r="AL261" s="3864"/>
      <c r="AM261" s="3864"/>
      <c r="AN261" s="3864"/>
      <c r="AO261" s="3926"/>
      <c r="AP261" s="3926"/>
      <c r="AQ261" s="3881"/>
    </row>
    <row r="262" spans="1:43" ht="31.5" customHeight="1" x14ac:dyDescent="0.2">
      <c r="A262" s="2229"/>
      <c r="B262" s="2230"/>
      <c r="C262" s="2231"/>
      <c r="D262" s="2230"/>
      <c r="E262" s="2230"/>
      <c r="F262" s="2231"/>
      <c r="G262" s="2237"/>
      <c r="H262" s="2230"/>
      <c r="I262" s="2231"/>
      <c r="J262" s="3956"/>
      <c r="K262" s="3867"/>
      <c r="L262" s="3864"/>
      <c r="M262" s="3864"/>
      <c r="N262" s="3864"/>
      <c r="O262" s="3864"/>
      <c r="P262" s="3867"/>
      <c r="Q262" s="3918"/>
      <c r="R262" s="3884"/>
      <c r="S262" s="3903"/>
      <c r="T262" s="3974"/>
      <c r="U262" s="3965"/>
      <c r="V262" s="2296">
        <f>15000000-15000000</f>
        <v>0</v>
      </c>
      <c r="W262" s="2310">
        <v>98</v>
      </c>
      <c r="X262" s="3864"/>
      <c r="Y262" s="3864"/>
      <c r="Z262" s="3864"/>
      <c r="AA262" s="3864"/>
      <c r="AB262" s="3864"/>
      <c r="AC262" s="3864"/>
      <c r="AD262" s="3864"/>
      <c r="AE262" s="3864"/>
      <c r="AF262" s="3864"/>
      <c r="AG262" s="3864"/>
      <c r="AH262" s="3864"/>
      <c r="AI262" s="3864"/>
      <c r="AJ262" s="3864"/>
      <c r="AK262" s="3864"/>
      <c r="AL262" s="3864"/>
      <c r="AM262" s="3864"/>
      <c r="AN262" s="3864"/>
      <c r="AO262" s="3926"/>
      <c r="AP262" s="3926"/>
      <c r="AQ262" s="3881"/>
    </row>
    <row r="263" spans="1:43" ht="31.5" customHeight="1" x14ac:dyDescent="0.2">
      <c r="A263" s="2229"/>
      <c r="B263" s="2230"/>
      <c r="C263" s="2231"/>
      <c r="D263" s="2230"/>
      <c r="E263" s="2230"/>
      <c r="F263" s="2231"/>
      <c r="G263" s="2237"/>
      <c r="H263" s="2230"/>
      <c r="I263" s="2231"/>
      <c r="J263" s="3956"/>
      <c r="K263" s="3867"/>
      <c r="L263" s="3864"/>
      <c r="M263" s="3864"/>
      <c r="N263" s="3864"/>
      <c r="O263" s="3864"/>
      <c r="P263" s="3867"/>
      <c r="Q263" s="3918"/>
      <c r="R263" s="3884"/>
      <c r="S263" s="3903"/>
      <c r="T263" s="3974"/>
      <c r="U263" s="3967" t="s">
        <v>2361</v>
      </c>
      <c r="V263" s="2296">
        <f>50000000+4282248</f>
        <v>54282248</v>
      </c>
      <c r="W263" s="2309">
        <v>61</v>
      </c>
      <c r="X263" s="3864"/>
      <c r="Y263" s="3864"/>
      <c r="Z263" s="3864"/>
      <c r="AA263" s="3864"/>
      <c r="AB263" s="3864"/>
      <c r="AC263" s="3864"/>
      <c r="AD263" s="3864"/>
      <c r="AE263" s="3864"/>
      <c r="AF263" s="3864"/>
      <c r="AG263" s="3864"/>
      <c r="AH263" s="3864"/>
      <c r="AI263" s="3864"/>
      <c r="AJ263" s="3864"/>
      <c r="AK263" s="3864"/>
      <c r="AL263" s="3864"/>
      <c r="AM263" s="3864"/>
      <c r="AN263" s="3864"/>
      <c r="AO263" s="3926"/>
      <c r="AP263" s="3926"/>
      <c r="AQ263" s="3881"/>
    </row>
    <row r="264" spans="1:43" ht="31.5" customHeight="1" x14ac:dyDescent="0.2">
      <c r="A264" s="2229"/>
      <c r="B264" s="2230"/>
      <c r="C264" s="2231"/>
      <c r="D264" s="2230"/>
      <c r="E264" s="2230"/>
      <c r="F264" s="2231"/>
      <c r="G264" s="2237"/>
      <c r="H264" s="2230"/>
      <c r="I264" s="2231"/>
      <c r="J264" s="3956"/>
      <c r="K264" s="3867"/>
      <c r="L264" s="3864"/>
      <c r="M264" s="3864"/>
      <c r="N264" s="3864"/>
      <c r="O264" s="3864"/>
      <c r="P264" s="3867"/>
      <c r="Q264" s="3918"/>
      <c r="R264" s="3884"/>
      <c r="S264" s="3903"/>
      <c r="T264" s="3974"/>
      <c r="U264" s="3968"/>
      <c r="V264" s="2311">
        <f>0+29104095</f>
        <v>29104095</v>
      </c>
      <c r="W264" s="2312">
        <v>96</v>
      </c>
      <c r="X264" s="3864"/>
      <c r="Y264" s="3864"/>
      <c r="Z264" s="3864"/>
      <c r="AA264" s="3864"/>
      <c r="AB264" s="3864"/>
      <c r="AC264" s="3864"/>
      <c r="AD264" s="3864"/>
      <c r="AE264" s="3864"/>
      <c r="AF264" s="3864"/>
      <c r="AG264" s="3864"/>
      <c r="AH264" s="3864"/>
      <c r="AI264" s="3864"/>
      <c r="AJ264" s="3864"/>
      <c r="AK264" s="3864"/>
      <c r="AL264" s="3864"/>
      <c r="AM264" s="3864"/>
      <c r="AN264" s="3864"/>
      <c r="AO264" s="3926"/>
      <c r="AP264" s="3926"/>
      <c r="AQ264" s="3881"/>
    </row>
    <row r="265" spans="1:43" ht="57" x14ac:dyDescent="0.2">
      <c r="A265" s="2229"/>
      <c r="B265" s="2230"/>
      <c r="C265" s="2231"/>
      <c r="D265" s="2230"/>
      <c r="E265" s="2230"/>
      <c r="F265" s="2231"/>
      <c r="G265" s="2237"/>
      <c r="H265" s="2230"/>
      <c r="I265" s="2231"/>
      <c r="J265" s="3956"/>
      <c r="K265" s="3867"/>
      <c r="L265" s="3864"/>
      <c r="M265" s="3864"/>
      <c r="N265" s="3864"/>
      <c r="O265" s="3864"/>
      <c r="P265" s="3867"/>
      <c r="Q265" s="3918"/>
      <c r="R265" s="3884"/>
      <c r="S265" s="3903"/>
      <c r="T265" s="3969" t="s">
        <v>2362</v>
      </c>
      <c r="U265" s="2287" t="s">
        <v>2363</v>
      </c>
      <c r="V265" s="2296">
        <v>74900000</v>
      </c>
      <c r="W265" s="2309">
        <v>61</v>
      </c>
      <c r="X265" s="3864"/>
      <c r="Y265" s="3864"/>
      <c r="Z265" s="3864"/>
      <c r="AA265" s="3864"/>
      <c r="AB265" s="3864"/>
      <c r="AC265" s="3864"/>
      <c r="AD265" s="3864"/>
      <c r="AE265" s="3864"/>
      <c r="AF265" s="3864"/>
      <c r="AG265" s="3864"/>
      <c r="AH265" s="3864"/>
      <c r="AI265" s="3864"/>
      <c r="AJ265" s="3864"/>
      <c r="AK265" s="3864"/>
      <c r="AL265" s="3864"/>
      <c r="AM265" s="3864"/>
      <c r="AN265" s="3864"/>
      <c r="AO265" s="3926"/>
      <c r="AP265" s="3926"/>
      <c r="AQ265" s="3881"/>
    </row>
    <row r="266" spans="1:43" ht="57" customHeight="1" x14ac:dyDescent="0.2">
      <c r="A266" s="2229"/>
      <c r="B266" s="2230"/>
      <c r="C266" s="2231"/>
      <c r="D266" s="2230"/>
      <c r="E266" s="2230"/>
      <c r="F266" s="2231"/>
      <c r="G266" s="2237"/>
      <c r="H266" s="2230"/>
      <c r="I266" s="2231"/>
      <c r="J266" s="3956"/>
      <c r="K266" s="3867"/>
      <c r="L266" s="3864"/>
      <c r="M266" s="3864"/>
      <c r="N266" s="3864"/>
      <c r="O266" s="3864"/>
      <c r="P266" s="3867"/>
      <c r="Q266" s="3918"/>
      <c r="R266" s="3884"/>
      <c r="S266" s="3903"/>
      <c r="T266" s="3970"/>
      <c r="U266" s="2287" t="s">
        <v>2364</v>
      </c>
      <c r="V266" s="2296">
        <f>40630000+220000000-175133457-4282248</f>
        <v>81214295</v>
      </c>
      <c r="W266" s="2309">
        <v>61</v>
      </c>
      <c r="X266" s="3864"/>
      <c r="Y266" s="3864"/>
      <c r="Z266" s="3864"/>
      <c r="AA266" s="3864"/>
      <c r="AB266" s="3864"/>
      <c r="AC266" s="3864"/>
      <c r="AD266" s="3864"/>
      <c r="AE266" s="3864"/>
      <c r="AF266" s="3864"/>
      <c r="AG266" s="3864"/>
      <c r="AH266" s="3864"/>
      <c r="AI266" s="3864"/>
      <c r="AJ266" s="3864"/>
      <c r="AK266" s="3864"/>
      <c r="AL266" s="3864"/>
      <c r="AM266" s="3864"/>
      <c r="AN266" s="3864"/>
      <c r="AO266" s="3926"/>
      <c r="AP266" s="3926"/>
      <c r="AQ266" s="3881"/>
    </row>
    <row r="267" spans="1:43" ht="57" customHeight="1" x14ac:dyDescent="0.2">
      <c r="A267" s="2229"/>
      <c r="B267" s="2230"/>
      <c r="C267" s="2231"/>
      <c r="D267" s="2230"/>
      <c r="E267" s="2230"/>
      <c r="F267" s="2231"/>
      <c r="G267" s="2237"/>
      <c r="H267" s="2230"/>
      <c r="I267" s="2231"/>
      <c r="J267" s="3956"/>
      <c r="K267" s="3867"/>
      <c r="L267" s="3864"/>
      <c r="M267" s="3864"/>
      <c r="N267" s="3864"/>
      <c r="O267" s="3864"/>
      <c r="P267" s="3867"/>
      <c r="Q267" s="3918"/>
      <c r="R267" s="3884"/>
      <c r="S267" s="3903"/>
      <c r="T267" s="3970"/>
      <c r="U267" s="2287" t="s">
        <v>2365</v>
      </c>
      <c r="V267" s="2296">
        <v>44000000</v>
      </c>
      <c r="W267" s="2309">
        <v>61</v>
      </c>
      <c r="X267" s="3864"/>
      <c r="Y267" s="3864"/>
      <c r="Z267" s="3864"/>
      <c r="AA267" s="3864"/>
      <c r="AB267" s="3864"/>
      <c r="AC267" s="3864"/>
      <c r="AD267" s="3864"/>
      <c r="AE267" s="3864"/>
      <c r="AF267" s="3864"/>
      <c r="AG267" s="3864"/>
      <c r="AH267" s="3864"/>
      <c r="AI267" s="3864"/>
      <c r="AJ267" s="3864"/>
      <c r="AK267" s="3864"/>
      <c r="AL267" s="3864"/>
      <c r="AM267" s="3864"/>
      <c r="AN267" s="3864"/>
      <c r="AO267" s="3926"/>
      <c r="AP267" s="3926"/>
      <c r="AQ267" s="3881"/>
    </row>
    <row r="268" spans="1:43" ht="41.25" customHeight="1" x14ac:dyDescent="0.2">
      <c r="A268" s="2229"/>
      <c r="B268" s="2230"/>
      <c r="C268" s="2231"/>
      <c r="D268" s="2230"/>
      <c r="E268" s="2230"/>
      <c r="F268" s="2231"/>
      <c r="G268" s="2237"/>
      <c r="H268" s="2230"/>
      <c r="I268" s="2231"/>
      <c r="J268" s="3956"/>
      <c r="K268" s="3867"/>
      <c r="L268" s="3864"/>
      <c r="M268" s="3864"/>
      <c r="N268" s="3864"/>
      <c r="O268" s="3864"/>
      <c r="P268" s="3867"/>
      <c r="Q268" s="3918"/>
      <c r="R268" s="3884"/>
      <c r="S268" s="3903"/>
      <c r="T268" s="3970"/>
      <c r="U268" s="3967" t="s">
        <v>2366</v>
      </c>
      <c r="V268" s="2296">
        <v>140470000</v>
      </c>
      <c r="W268" s="2309">
        <v>61</v>
      </c>
      <c r="X268" s="3864"/>
      <c r="Y268" s="3864"/>
      <c r="Z268" s="3864"/>
      <c r="AA268" s="3864"/>
      <c r="AB268" s="3864"/>
      <c r="AC268" s="3864"/>
      <c r="AD268" s="3864"/>
      <c r="AE268" s="3864"/>
      <c r="AF268" s="3864"/>
      <c r="AG268" s="3864"/>
      <c r="AH268" s="3864"/>
      <c r="AI268" s="3864"/>
      <c r="AJ268" s="3864"/>
      <c r="AK268" s="3864"/>
      <c r="AL268" s="3864"/>
      <c r="AM268" s="3864"/>
      <c r="AN268" s="3864"/>
      <c r="AO268" s="3926"/>
      <c r="AP268" s="3926"/>
      <c r="AQ268" s="3881"/>
    </row>
    <row r="269" spans="1:43" ht="41.25" customHeight="1" x14ac:dyDescent="0.2">
      <c r="A269" s="2229"/>
      <c r="B269" s="2230"/>
      <c r="C269" s="2231"/>
      <c r="D269" s="2230"/>
      <c r="E269" s="2230"/>
      <c r="F269" s="2231"/>
      <c r="G269" s="2237"/>
      <c r="H269" s="2230"/>
      <c r="I269" s="2231"/>
      <c r="J269" s="3956"/>
      <c r="K269" s="3867"/>
      <c r="L269" s="3864"/>
      <c r="M269" s="3864"/>
      <c r="N269" s="3864"/>
      <c r="O269" s="3864"/>
      <c r="P269" s="3867"/>
      <c r="Q269" s="3918"/>
      <c r="R269" s="3884"/>
      <c r="S269" s="3903"/>
      <c r="T269" s="3970"/>
      <c r="U269" s="3972"/>
      <c r="V269" s="2296">
        <v>30000000</v>
      </c>
      <c r="W269" s="2309">
        <v>88</v>
      </c>
      <c r="X269" s="3864"/>
      <c r="Y269" s="3864"/>
      <c r="Z269" s="3864"/>
      <c r="AA269" s="3864"/>
      <c r="AB269" s="3864"/>
      <c r="AC269" s="3864"/>
      <c r="AD269" s="3864"/>
      <c r="AE269" s="3864"/>
      <c r="AF269" s="3864"/>
      <c r="AG269" s="3864"/>
      <c r="AH269" s="3864"/>
      <c r="AI269" s="3864"/>
      <c r="AJ269" s="3864"/>
      <c r="AK269" s="3864"/>
      <c r="AL269" s="3864"/>
      <c r="AM269" s="3864"/>
      <c r="AN269" s="3864"/>
      <c r="AO269" s="3926"/>
      <c r="AP269" s="3926"/>
      <c r="AQ269" s="3881"/>
    </row>
    <row r="270" spans="1:43" ht="41.25" customHeight="1" x14ac:dyDescent="0.2">
      <c r="A270" s="2229"/>
      <c r="B270" s="2230"/>
      <c r="C270" s="2231"/>
      <c r="D270" s="2230"/>
      <c r="E270" s="2230"/>
      <c r="F270" s="2231"/>
      <c r="G270" s="2237"/>
      <c r="H270" s="2230"/>
      <c r="I270" s="2231"/>
      <c r="J270" s="3956"/>
      <c r="K270" s="3867"/>
      <c r="L270" s="3864"/>
      <c r="M270" s="3864"/>
      <c r="N270" s="3864"/>
      <c r="O270" s="3864"/>
      <c r="P270" s="3867"/>
      <c r="Q270" s="3918"/>
      <c r="R270" s="3884"/>
      <c r="S270" s="3903"/>
      <c r="T270" s="3970"/>
      <c r="U270" s="3972"/>
      <c r="V270" s="2296">
        <v>15000000</v>
      </c>
      <c r="W270" s="2309">
        <v>98</v>
      </c>
      <c r="X270" s="3864"/>
      <c r="Y270" s="3864"/>
      <c r="Z270" s="3864"/>
      <c r="AA270" s="3864"/>
      <c r="AB270" s="3864"/>
      <c r="AC270" s="3864"/>
      <c r="AD270" s="3864"/>
      <c r="AE270" s="3864"/>
      <c r="AF270" s="3864"/>
      <c r="AG270" s="3864"/>
      <c r="AH270" s="3864"/>
      <c r="AI270" s="3864"/>
      <c r="AJ270" s="3864"/>
      <c r="AK270" s="3864"/>
      <c r="AL270" s="3864"/>
      <c r="AM270" s="3864"/>
      <c r="AN270" s="3864"/>
      <c r="AO270" s="3926"/>
      <c r="AP270" s="3926"/>
      <c r="AQ270" s="3881"/>
    </row>
    <row r="271" spans="1:43" ht="27.75" customHeight="1" x14ac:dyDescent="0.2">
      <c r="A271" s="2229"/>
      <c r="B271" s="2230"/>
      <c r="C271" s="2231"/>
      <c r="D271" s="2230"/>
      <c r="E271" s="2230"/>
      <c r="F271" s="2231"/>
      <c r="G271" s="2237"/>
      <c r="H271" s="2230"/>
      <c r="I271" s="2231"/>
      <c r="J271" s="3956"/>
      <c r="K271" s="3867"/>
      <c r="L271" s="3864"/>
      <c r="M271" s="3864"/>
      <c r="N271" s="3864"/>
      <c r="O271" s="3864"/>
      <c r="P271" s="3867"/>
      <c r="Q271" s="3918"/>
      <c r="R271" s="3884"/>
      <c r="S271" s="3903"/>
      <c r="T271" s="3971"/>
      <c r="U271" s="3968"/>
      <c r="V271" s="2296">
        <f>57233390-29104095</f>
        <v>28129295</v>
      </c>
      <c r="W271" s="2309">
        <v>96</v>
      </c>
      <c r="X271" s="3864"/>
      <c r="Y271" s="3864"/>
      <c r="Z271" s="3864"/>
      <c r="AA271" s="3864"/>
      <c r="AB271" s="3864"/>
      <c r="AC271" s="3864"/>
      <c r="AD271" s="3864"/>
      <c r="AE271" s="3864"/>
      <c r="AF271" s="3864"/>
      <c r="AG271" s="3864"/>
      <c r="AH271" s="3864"/>
      <c r="AI271" s="3864"/>
      <c r="AJ271" s="3864"/>
      <c r="AK271" s="3864"/>
      <c r="AL271" s="3864"/>
      <c r="AM271" s="3864"/>
      <c r="AN271" s="3864"/>
      <c r="AO271" s="3926"/>
      <c r="AP271" s="3926"/>
      <c r="AQ271" s="3881"/>
    </row>
    <row r="272" spans="1:43" ht="32.25" customHeight="1" x14ac:dyDescent="0.2">
      <c r="A272" s="2229"/>
      <c r="B272" s="2230"/>
      <c r="C272" s="2231"/>
      <c r="D272" s="2230"/>
      <c r="E272" s="2230"/>
      <c r="F272" s="2231"/>
      <c r="G272" s="2237"/>
      <c r="H272" s="2230"/>
      <c r="I272" s="2231"/>
      <c r="J272" s="3956"/>
      <c r="K272" s="3867"/>
      <c r="L272" s="3864"/>
      <c r="M272" s="3864"/>
      <c r="N272" s="3864"/>
      <c r="O272" s="3864"/>
      <c r="P272" s="3867"/>
      <c r="Q272" s="3918"/>
      <c r="R272" s="3884"/>
      <c r="S272" s="3903"/>
      <c r="T272" s="3973" t="s">
        <v>2367</v>
      </c>
      <c r="U272" s="3964" t="s">
        <v>2368</v>
      </c>
      <c r="V272" s="2296">
        <v>88000000</v>
      </c>
      <c r="W272" s="2309">
        <v>61</v>
      </c>
      <c r="X272" s="3864"/>
      <c r="Y272" s="3864"/>
      <c r="Z272" s="3864"/>
      <c r="AA272" s="3864"/>
      <c r="AB272" s="3864"/>
      <c r="AC272" s="3864"/>
      <c r="AD272" s="3864"/>
      <c r="AE272" s="3864"/>
      <c r="AF272" s="3864"/>
      <c r="AG272" s="3864"/>
      <c r="AH272" s="3864"/>
      <c r="AI272" s="3864"/>
      <c r="AJ272" s="3864"/>
      <c r="AK272" s="3864"/>
      <c r="AL272" s="3864"/>
      <c r="AM272" s="3864"/>
      <c r="AN272" s="3864"/>
      <c r="AO272" s="3926"/>
      <c r="AP272" s="3926"/>
      <c r="AQ272" s="3881"/>
    </row>
    <row r="273" spans="1:297" ht="33.75" customHeight="1" x14ac:dyDescent="0.2">
      <c r="A273" s="2229"/>
      <c r="B273" s="2230"/>
      <c r="C273" s="2231"/>
      <c r="D273" s="2230"/>
      <c r="E273" s="2230"/>
      <c r="F273" s="2231"/>
      <c r="G273" s="2237"/>
      <c r="H273" s="2230"/>
      <c r="I273" s="2231"/>
      <c r="J273" s="3956"/>
      <c r="K273" s="3868"/>
      <c r="L273" s="3865"/>
      <c r="M273" s="3865"/>
      <c r="N273" s="3865"/>
      <c r="O273" s="3865"/>
      <c r="P273" s="3868"/>
      <c r="Q273" s="3919"/>
      <c r="R273" s="3904"/>
      <c r="S273" s="3903"/>
      <c r="T273" s="3973"/>
      <c r="U273" s="3965"/>
      <c r="V273" s="2296">
        <f>57233390-57233390</f>
        <v>0</v>
      </c>
      <c r="W273" s="2310">
        <v>96</v>
      </c>
      <c r="X273" s="3865"/>
      <c r="Y273" s="3865"/>
      <c r="Z273" s="3865"/>
      <c r="AA273" s="3865"/>
      <c r="AB273" s="3865"/>
      <c r="AC273" s="3865"/>
      <c r="AD273" s="3865"/>
      <c r="AE273" s="3865"/>
      <c r="AF273" s="3865"/>
      <c r="AG273" s="3865"/>
      <c r="AH273" s="3865"/>
      <c r="AI273" s="3865"/>
      <c r="AJ273" s="3865"/>
      <c r="AK273" s="3865"/>
      <c r="AL273" s="3865"/>
      <c r="AM273" s="3865"/>
      <c r="AN273" s="3865"/>
      <c r="AO273" s="3926"/>
      <c r="AP273" s="3926"/>
      <c r="AQ273" s="3887"/>
    </row>
    <row r="274" spans="1:297" s="2266" customFormat="1" ht="47.25" customHeight="1" x14ac:dyDescent="0.2">
      <c r="A274" s="2229"/>
      <c r="B274" s="2230"/>
      <c r="C274" s="2231"/>
      <c r="D274" s="2230"/>
      <c r="E274" s="2230"/>
      <c r="F274" s="2231"/>
      <c r="G274" s="2237"/>
      <c r="H274" s="2230"/>
      <c r="I274" s="2231"/>
      <c r="J274" s="3898">
        <v>161</v>
      </c>
      <c r="K274" s="3866" t="s">
        <v>2369</v>
      </c>
      <c r="L274" s="3863" t="s">
        <v>2040</v>
      </c>
      <c r="M274" s="3863">
        <v>100</v>
      </c>
      <c r="N274" s="3863" t="s">
        <v>2370</v>
      </c>
      <c r="O274" s="3863" t="s">
        <v>2371</v>
      </c>
      <c r="P274" s="3866" t="s">
        <v>2372</v>
      </c>
      <c r="Q274" s="3917">
        <f>SUM(V274:V279)/R274</f>
        <v>0.25432610708385361</v>
      </c>
      <c r="R274" s="3883">
        <f>SUM(V274:V285)</f>
        <v>412466385</v>
      </c>
      <c r="S274" s="3866" t="s">
        <v>2373</v>
      </c>
      <c r="T274" s="3866" t="s">
        <v>2374</v>
      </c>
      <c r="U274" s="2287" t="s">
        <v>2375</v>
      </c>
      <c r="V274" s="2296">
        <v>15000000</v>
      </c>
      <c r="W274" s="2235">
        <v>61</v>
      </c>
      <c r="X274" s="3863" t="s">
        <v>2376</v>
      </c>
      <c r="Y274" s="3863">
        <v>292684</v>
      </c>
      <c r="Z274" s="3863">
        <v>282326</v>
      </c>
      <c r="AA274" s="3863">
        <v>135912</v>
      </c>
      <c r="AB274" s="3863">
        <v>45122</v>
      </c>
      <c r="AC274" s="3863">
        <v>307101</v>
      </c>
      <c r="AD274" s="3863">
        <v>86875</v>
      </c>
      <c r="AE274" s="3863">
        <v>2145</v>
      </c>
      <c r="AF274" s="3863">
        <v>12718</v>
      </c>
      <c r="AG274" s="3863">
        <v>26</v>
      </c>
      <c r="AH274" s="3863">
        <v>37</v>
      </c>
      <c r="AI274" s="3863" t="s">
        <v>2047</v>
      </c>
      <c r="AJ274" s="3863" t="s">
        <v>2047</v>
      </c>
      <c r="AK274" s="3863">
        <v>53164</v>
      </c>
      <c r="AL274" s="3863">
        <v>16982</v>
      </c>
      <c r="AM274" s="3863">
        <v>60013</v>
      </c>
      <c r="AN274" s="3863">
        <v>575010</v>
      </c>
      <c r="AO274" s="3878">
        <v>43467</v>
      </c>
      <c r="AP274" s="3878">
        <v>43830</v>
      </c>
      <c r="AQ274" s="3880" t="s">
        <v>2048</v>
      </c>
      <c r="AR274" s="2204"/>
      <c r="AS274" s="2204"/>
      <c r="AT274" s="2204"/>
      <c r="AU274" s="2204"/>
      <c r="AV274" s="2204"/>
      <c r="AW274" s="2204"/>
      <c r="AX274" s="2204"/>
      <c r="AY274" s="2204"/>
      <c r="AZ274" s="2204"/>
      <c r="BA274" s="2204"/>
      <c r="BB274" s="2204"/>
      <c r="BC274" s="2204"/>
      <c r="BD274" s="2204"/>
      <c r="BE274" s="2204"/>
      <c r="BF274" s="2204"/>
      <c r="BG274" s="2204"/>
      <c r="BH274" s="2204"/>
      <c r="BI274" s="2204"/>
      <c r="BJ274" s="2204"/>
      <c r="BK274" s="2204"/>
      <c r="BL274" s="2204"/>
      <c r="BM274" s="2204"/>
      <c r="BN274" s="2204"/>
      <c r="BO274" s="2204"/>
      <c r="BP274" s="2204"/>
      <c r="BQ274" s="2204"/>
      <c r="BR274" s="2204"/>
      <c r="BS274" s="2204"/>
      <c r="BT274" s="2204"/>
      <c r="BU274" s="2204"/>
      <c r="BV274" s="2204"/>
      <c r="BW274" s="2204"/>
      <c r="BX274" s="2204"/>
      <c r="BY274" s="2204"/>
      <c r="BZ274" s="2204"/>
      <c r="CA274" s="2204"/>
      <c r="CB274" s="2204"/>
      <c r="CC274" s="2204"/>
      <c r="CD274" s="2204"/>
      <c r="CE274" s="2204"/>
      <c r="CF274" s="2204"/>
      <c r="CG274" s="2204"/>
      <c r="CH274" s="2204"/>
      <c r="CI274" s="2204"/>
      <c r="CJ274" s="2204"/>
      <c r="CK274" s="2204"/>
      <c r="CL274" s="2204"/>
      <c r="CM274" s="2204"/>
      <c r="CN274" s="2204"/>
      <c r="CO274" s="2204"/>
      <c r="CP274" s="2204"/>
      <c r="CQ274" s="2204"/>
      <c r="CR274" s="2204"/>
      <c r="CS274" s="2204"/>
      <c r="CT274" s="2204"/>
      <c r="CU274" s="2204"/>
      <c r="CV274" s="2204"/>
      <c r="CW274" s="2204"/>
      <c r="CX274" s="2204"/>
      <c r="CY274" s="2204"/>
      <c r="CZ274" s="2204"/>
      <c r="DA274" s="2204"/>
      <c r="DB274" s="2204"/>
      <c r="DC274" s="2204"/>
      <c r="DD274" s="2204"/>
      <c r="DE274" s="2204"/>
      <c r="DF274" s="2204"/>
      <c r="DG274" s="2204"/>
      <c r="DH274" s="2204"/>
      <c r="DI274" s="2204"/>
      <c r="DJ274" s="2204"/>
      <c r="DK274" s="2204"/>
      <c r="DL274" s="2204"/>
      <c r="DM274" s="2204"/>
      <c r="DN274" s="2204"/>
      <c r="DO274" s="2204"/>
      <c r="DP274" s="2204"/>
      <c r="DQ274" s="2204"/>
      <c r="DR274" s="2204"/>
      <c r="DS274" s="2204"/>
      <c r="DT274" s="2204"/>
      <c r="DU274" s="2204"/>
      <c r="DV274" s="2204"/>
      <c r="DW274" s="2204"/>
      <c r="DX274" s="2204"/>
      <c r="DY274" s="2204"/>
      <c r="DZ274" s="2204"/>
      <c r="EA274" s="2204"/>
      <c r="EB274" s="2204"/>
      <c r="EC274" s="2204"/>
      <c r="ED274" s="2204"/>
      <c r="EE274" s="2204"/>
      <c r="EF274" s="2204"/>
      <c r="EG274" s="2204"/>
      <c r="EH274" s="2204"/>
      <c r="EI274" s="2204"/>
      <c r="EJ274" s="2204"/>
      <c r="EK274" s="2204"/>
      <c r="EL274" s="2204"/>
      <c r="EM274" s="2204"/>
      <c r="EN274" s="2204"/>
      <c r="EO274" s="2204"/>
      <c r="EP274" s="2204"/>
      <c r="EQ274" s="2204"/>
      <c r="ER274" s="2204"/>
      <c r="ES274" s="2204"/>
      <c r="ET274" s="2204"/>
      <c r="EU274" s="2204"/>
      <c r="EV274" s="2204"/>
      <c r="EW274" s="2204"/>
      <c r="EX274" s="2204"/>
      <c r="EY274" s="2204"/>
      <c r="EZ274" s="2204"/>
      <c r="FA274" s="2204"/>
      <c r="FB274" s="2204"/>
      <c r="FC274" s="2204"/>
      <c r="FD274" s="2204"/>
      <c r="FE274" s="2204"/>
      <c r="FF274" s="2204"/>
      <c r="FG274" s="2204"/>
      <c r="FH274" s="2204"/>
      <c r="FI274" s="2204"/>
      <c r="FJ274" s="2204"/>
      <c r="FK274" s="2204"/>
      <c r="FL274" s="2204"/>
      <c r="FM274" s="2204"/>
      <c r="FN274" s="2204"/>
      <c r="FO274" s="2204"/>
      <c r="FP274" s="2204"/>
      <c r="FQ274" s="2204"/>
      <c r="FR274" s="2204"/>
      <c r="FS274" s="2204"/>
      <c r="FT274" s="2204"/>
      <c r="FU274" s="2204"/>
      <c r="FV274" s="2204"/>
      <c r="FW274" s="2204"/>
      <c r="FX274" s="2204"/>
      <c r="FY274" s="2204"/>
      <c r="FZ274" s="2204"/>
      <c r="GA274" s="2204"/>
      <c r="GB274" s="2204"/>
      <c r="GC274" s="2204"/>
      <c r="GD274" s="2204"/>
      <c r="GE274" s="2204"/>
      <c r="GF274" s="2204"/>
      <c r="GG274" s="2204"/>
      <c r="GH274" s="2204"/>
      <c r="GI274" s="2204"/>
      <c r="GJ274" s="2204"/>
      <c r="GK274" s="2204"/>
      <c r="GL274" s="2204"/>
      <c r="GM274" s="2204"/>
      <c r="GN274" s="2204"/>
      <c r="GO274" s="2204"/>
      <c r="GP274" s="2204"/>
      <c r="GQ274" s="2204"/>
      <c r="GR274" s="2204"/>
      <c r="GS274" s="2204"/>
      <c r="GT274" s="2204"/>
      <c r="GU274" s="2204"/>
      <c r="GV274" s="2204"/>
      <c r="GW274" s="2204"/>
      <c r="GX274" s="2204"/>
      <c r="GY274" s="2204"/>
      <c r="GZ274" s="2204"/>
      <c r="HA274" s="2204"/>
      <c r="HB274" s="2204"/>
      <c r="HC274" s="2204"/>
      <c r="HD274" s="2204"/>
      <c r="HE274" s="2204"/>
      <c r="HF274" s="2204"/>
      <c r="HG274" s="2204"/>
      <c r="HH274" s="2204"/>
      <c r="HI274" s="2204"/>
      <c r="HJ274" s="2204"/>
      <c r="HK274" s="2204"/>
      <c r="HL274" s="2204"/>
      <c r="HM274" s="2204"/>
      <c r="HN274" s="2204"/>
      <c r="HO274" s="2204"/>
      <c r="HP274" s="2204"/>
      <c r="HQ274" s="2204"/>
      <c r="HR274" s="2204"/>
      <c r="HS274" s="2204"/>
      <c r="HT274" s="2204"/>
      <c r="HU274" s="2204"/>
      <c r="HV274" s="2204"/>
      <c r="HW274" s="2204"/>
      <c r="HX274" s="2204"/>
      <c r="HY274" s="2204"/>
      <c r="HZ274" s="2204"/>
      <c r="IA274" s="2204"/>
      <c r="IB274" s="2204"/>
      <c r="IC274" s="2204"/>
      <c r="ID274" s="2204"/>
      <c r="IE274" s="2204"/>
      <c r="IF274" s="2204"/>
      <c r="IG274" s="2204"/>
      <c r="IH274" s="2204"/>
      <c r="II274" s="2204"/>
      <c r="IJ274" s="2204"/>
      <c r="IK274" s="2204"/>
      <c r="IL274" s="2204"/>
      <c r="IM274" s="2204"/>
      <c r="IN274" s="2204"/>
      <c r="IO274" s="2204"/>
      <c r="IP274" s="2204"/>
      <c r="IQ274" s="2204"/>
      <c r="IR274" s="2204"/>
      <c r="IS274" s="2204"/>
      <c r="IT274" s="2204"/>
      <c r="IU274" s="2204"/>
      <c r="IV274" s="2204"/>
      <c r="IW274" s="2204"/>
      <c r="IX274" s="2204"/>
      <c r="IY274" s="2204"/>
      <c r="IZ274" s="2204"/>
      <c r="JA274" s="2204"/>
      <c r="JB274" s="2204"/>
      <c r="JC274" s="2204"/>
      <c r="JD274" s="2204"/>
      <c r="JE274" s="2204"/>
      <c r="JF274" s="2204"/>
      <c r="JG274" s="2204"/>
      <c r="JH274" s="2204"/>
      <c r="JI274" s="2204"/>
      <c r="JJ274" s="2204"/>
      <c r="JK274" s="2204"/>
      <c r="JL274" s="2204"/>
      <c r="JM274" s="2204"/>
      <c r="JN274" s="2204"/>
      <c r="JO274" s="2204"/>
      <c r="JP274" s="2204"/>
      <c r="JQ274" s="2204"/>
      <c r="JR274" s="2204"/>
      <c r="JS274" s="2204"/>
      <c r="JT274" s="2204"/>
      <c r="JU274" s="2204"/>
      <c r="JV274" s="2204"/>
      <c r="JW274" s="2204"/>
      <c r="JX274" s="2204"/>
      <c r="JY274" s="2204"/>
      <c r="JZ274" s="2204"/>
      <c r="KA274" s="2204"/>
      <c r="KB274" s="2204"/>
      <c r="KC274" s="2204"/>
      <c r="KD274" s="2204"/>
      <c r="KE274" s="2204"/>
      <c r="KF274" s="2204"/>
      <c r="KG274" s="2204"/>
      <c r="KH274" s="2204"/>
      <c r="KI274" s="2204"/>
      <c r="KJ274" s="2204"/>
      <c r="KK274" s="2204"/>
    </row>
    <row r="275" spans="1:297" s="2266" customFormat="1" ht="34.5" customHeight="1" x14ac:dyDescent="0.2">
      <c r="A275" s="2229"/>
      <c r="B275" s="2230"/>
      <c r="C275" s="2231"/>
      <c r="D275" s="2230"/>
      <c r="E275" s="2230"/>
      <c r="F275" s="2231"/>
      <c r="G275" s="2237"/>
      <c r="H275" s="2230"/>
      <c r="I275" s="2231"/>
      <c r="J275" s="3899"/>
      <c r="K275" s="3867"/>
      <c r="L275" s="3864"/>
      <c r="M275" s="3864"/>
      <c r="N275" s="3864"/>
      <c r="O275" s="3864"/>
      <c r="P275" s="3867"/>
      <c r="Q275" s="3918"/>
      <c r="R275" s="3884"/>
      <c r="S275" s="3867"/>
      <c r="T275" s="3867"/>
      <c r="U275" s="3964" t="s">
        <v>2377</v>
      </c>
      <c r="V275" s="2296">
        <v>25000000</v>
      </c>
      <c r="W275" s="2235">
        <v>61</v>
      </c>
      <c r="X275" s="3864"/>
      <c r="Y275" s="3864"/>
      <c r="Z275" s="3864"/>
      <c r="AA275" s="3864"/>
      <c r="AB275" s="3864"/>
      <c r="AC275" s="3864"/>
      <c r="AD275" s="3864"/>
      <c r="AE275" s="3864"/>
      <c r="AF275" s="3864"/>
      <c r="AG275" s="3864"/>
      <c r="AH275" s="3864"/>
      <c r="AI275" s="3864"/>
      <c r="AJ275" s="3864"/>
      <c r="AK275" s="3864"/>
      <c r="AL275" s="3864"/>
      <c r="AM275" s="3864"/>
      <c r="AN275" s="3864"/>
      <c r="AO275" s="3879"/>
      <c r="AP275" s="3879"/>
      <c r="AQ275" s="3881"/>
      <c r="AR275" s="2204"/>
      <c r="AS275" s="2204"/>
      <c r="AT275" s="2204"/>
      <c r="AU275" s="2204"/>
      <c r="AV275" s="2204"/>
      <c r="AW275" s="2204"/>
      <c r="AX275" s="2204"/>
      <c r="AY275" s="2204"/>
      <c r="AZ275" s="2204"/>
      <c r="BA275" s="2204"/>
      <c r="BB275" s="2204"/>
      <c r="BC275" s="2204"/>
      <c r="BD275" s="2204"/>
      <c r="BE275" s="2204"/>
      <c r="BF275" s="2204"/>
      <c r="BG275" s="2204"/>
      <c r="BH275" s="2204"/>
      <c r="BI275" s="2204"/>
      <c r="BJ275" s="2204"/>
      <c r="BK275" s="2204"/>
      <c r="BL275" s="2204"/>
      <c r="BM275" s="2204"/>
      <c r="BN275" s="2204"/>
      <c r="BO275" s="2204"/>
      <c r="BP275" s="2204"/>
      <c r="BQ275" s="2204"/>
      <c r="BR275" s="2204"/>
      <c r="BS275" s="2204"/>
      <c r="BT275" s="2204"/>
      <c r="BU275" s="2204"/>
      <c r="BV275" s="2204"/>
      <c r="BW275" s="2204"/>
      <c r="BX275" s="2204"/>
      <c r="BY275" s="2204"/>
      <c r="BZ275" s="2204"/>
      <c r="CA275" s="2204"/>
      <c r="CB275" s="2204"/>
      <c r="CC275" s="2204"/>
      <c r="CD275" s="2204"/>
      <c r="CE275" s="2204"/>
      <c r="CF275" s="2204"/>
      <c r="CG275" s="2204"/>
      <c r="CH275" s="2204"/>
      <c r="CI275" s="2204"/>
      <c r="CJ275" s="2204"/>
      <c r="CK275" s="2204"/>
      <c r="CL275" s="2204"/>
      <c r="CM275" s="2204"/>
      <c r="CN275" s="2204"/>
      <c r="CO275" s="2204"/>
      <c r="CP275" s="2204"/>
      <c r="CQ275" s="2204"/>
      <c r="CR275" s="2204"/>
      <c r="CS275" s="2204"/>
      <c r="CT275" s="2204"/>
      <c r="CU275" s="2204"/>
      <c r="CV275" s="2204"/>
      <c r="CW275" s="2204"/>
      <c r="CX275" s="2204"/>
      <c r="CY275" s="2204"/>
      <c r="CZ275" s="2204"/>
      <c r="DA275" s="2204"/>
      <c r="DB275" s="2204"/>
      <c r="DC275" s="2204"/>
      <c r="DD275" s="2204"/>
      <c r="DE275" s="2204"/>
      <c r="DF275" s="2204"/>
      <c r="DG275" s="2204"/>
      <c r="DH275" s="2204"/>
      <c r="DI275" s="2204"/>
      <c r="DJ275" s="2204"/>
      <c r="DK275" s="2204"/>
      <c r="DL275" s="2204"/>
      <c r="DM275" s="2204"/>
      <c r="DN275" s="2204"/>
      <c r="DO275" s="2204"/>
      <c r="DP275" s="2204"/>
      <c r="DQ275" s="2204"/>
      <c r="DR275" s="2204"/>
      <c r="DS275" s="2204"/>
      <c r="DT275" s="2204"/>
      <c r="DU275" s="2204"/>
      <c r="DV275" s="2204"/>
      <c r="DW275" s="2204"/>
      <c r="DX275" s="2204"/>
      <c r="DY275" s="2204"/>
      <c r="DZ275" s="2204"/>
      <c r="EA275" s="2204"/>
      <c r="EB275" s="2204"/>
      <c r="EC275" s="2204"/>
      <c r="ED275" s="2204"/>
      <c r="EE275" s="2204"/>
      <c r="EF275" s="2204"/>
      <c r="EG275" s="2204"/>
      <c r="EH275" s="2204"/>
      <c r="EI275" s="2204"/>
      <c r="EJ275" s="2204"/>
      <c r="EK275" s="2204"/>
      <c r="EL275" s="2204"/>
      <c r="EM275" s="2204"/>
      <c r="EN275" s="2204"/>
      <c r="EO275" s="2204"/>
      <c r="EP275" s="2204"/>
      <c r="EQ275" s="2204"/>
      <c r="ER275" s="2204"/>
      <c r="ES275" s="2204"/>
      <c r="ET275" s="2204"/>
      <c r="EU275" s="2204"/>
      <c r="EV275" s="2204"/>
      <c r="EW275" s="2204"/>
      <c r="EX275" s="2204"/>
      <c r="EY275" s="2204"/>
      <c r="EZ275" s="2204"/>
      <c r="FA275" s="2204"/>
      <c r="FB275" s="2204"/>
      <c r="FC275" s="2204"/>
      <c r="FD275" s="2204"/>
      <c r="FE275" s="2204"/>
      <c r="FF275" s="2204"/>
      <c r="FG275" s="2204"/>
      <c r="FH275" s="2204"/>
      <c r="FI275" s="2204"/>
      <c r="FJ275" s="2204"/>
      <c r="FK275" s="2204"/>
      <c r="FL275" s="2204"/>
      <c r="FM275" s="2204"/>
      <c r="FN275" s="2204"/>
      <c r="FO275" s="2204"/>
      <c r="FP275" s="2204"/>
      <c r="FQ275" s="2204"/>
      <c r="FR275" s="2204"/>
      <c r="FS275" s="2204"/>
      <c r="FT275" s="2204"/>
      <c r="FU275" s="2204"/>
      <c r="FV275" s="2204"/>
      <c r="FW275" s="2204"/>
      <c r="FX275" s="2204"/>
      <c r="FY275" s="2204"/>
      <c r="FZ275" s="2204"/>
      <c r="GA275" s="2204"/>
      <c r="GB275" s="2204"/>
      <c r="GC275" s="2204"/>
      <c r="GD275" s="2204"/>
      <c r="GE275" s="2204"/>
      <c r="GF275" s="2204"/>
      <c r="GG275" s="2204"/>
      <c r="GH275" s="2204"/>
      <c r="GI275" s="2204"/>
      <c r="GJ275" s="2204"/>
      <c r="GK275" s="2204"/>
      <c r="GL275" s="2204"/>
      <c r="GM275" s="2204"/>
      <c r="GN275" s="2204"/>
      <c r="GO275" s="2204"/>
      <c r="GP275" s="2204"/>
      <c r="GQ275" s="2204"/>
      <c r="GR275" s="2204"/>
      <c r="GS275" s="2204"/>
      <c r="GT275" s="2204"/>
      <c r="GU275" s="2204"/>
      <c r="GV275" s="2204"/>
      <c r="GW275" s="2204"/>
      <c r="GX275" s="2204"/>
      <c r="GY275" s="2204"/>
      <c r="GZ275" s="2204"/>
      <c r="HA275" s="2204"/>
      <c r="HB275" s="2204"/>
      <c r="HC275" s="2204"/>
      <c r="HD275" s="2204"/>
      <c r="HE275" s="2204"/>
      <c r="HF275" s="2204"/>
      <c r="HG275" s="2204"/>
      <c r="HH275" s="2204"/>
      <c r="HI275" s="2204"/>
      <c r="HJ275" s="2204"/>
      <c r="HK275" s="2204"/>
      <c r="HL275" s="2204"/>
      <c r="HM275" s="2204"/>
      <c r="HN275" s="2204"/>
      <c r="HO275" s="2204"/>
      <c r="HP275" s="2204"/>
      <c r="HQ275" s="2204"/>
      <c r="HR275" s="2204"/>
      <c r="HS275" s="2204"/>
      <c r="HT275" s="2204"/>
      <c r="HU275" s="2204"/>
      <c r="HV275" s="2204"/>
      <c r="HW275" s="2204"/>
      <c r="HX275" s="2204"/>
      <c r="HY275" s="2204"/>
      <c r="HZ275" s="2204"/>
      <c r="IA275" s="2204"/>
      <c r="IB275" s="2204"/>
      <c r="IC275" s="2204"/>
      <c r="ID275" s="2204"/>
      <c r="IE275" s="2204"/>
      <c r="IF275" s="2204"/>
      <c r="IG275" s="2204"/>
      <c r="IH275" s="2204"/>
      <c r="II275" s="2204"/>
      <c r="IJ275" s="2204"/>
      <c r="IK275" s="2204"/>
      <c r="IL275" s="2204"/>
      <c r="IM275" s="2204"/>
      <c r="IN275" s="2204"/>
      <c r="IO275" s="2204"/>
      <c r="IP275" s="2204"/>
      <c r="IQ275" s="2204"/>
      <c r="IR275" s="2204"/>
      <c r="IS275" s="2204"/>
      <c r="IT275" s="2204"/>
      <c r="IU275" s="2204"/>
      <c r="IV275" s="2204"/>
      <c r="IW275" s="2204"/>
      <c r="IX275" s="2204"/>
      <c r="IY275" s="2204"/>
      <c r="IZ275" s="2204"/>
      <c r="JA275" s="2204"/>
      <c r="JB275" s="2204"/>
      <c r="JC275" s="2204"/>
      <c r="JD275" s="2204"/>
      <c r="JE275" s="2204"/>
      <c r="JF275" s="2204"/>
      <c r="JG275" s="2204"/>
      <c r="JH275" s="2204"/>
      <c r="JI275" s="2204"/>
      <c r="JJ275" s="2204"/>
      <c r="JK275" s="2204"/>
      <c r="JL275" s="2204"/>
      <c r="JM275" s="2204"/>
      <c r="JN275" s="2204"/>
      <c r="JO275" s="2204"/>
      <c r="JP275" s="2204"/>
      <c r="JQ275" s="2204"/>
      <c r="JR275" s="2204"/>
      <c r="JS275" s="2204"/>
      <c r="JT275" s="2204"/>
      <c r="JU275" s="2204"/>
      <c r="JV275" s="2204"/>
      <c r="JW275" s="2204"/>
      <c r="JX275" s="2204"/>
      <c r="JY275" s="2204"/>
      <c r="JZ275" s="2204"/>
      <c r="KA275" s="2204"/>
      <c r="KB275" s="2204"/>
      <c r="KC275" s="2204"/>
      <c r="KD275" s="2204"/>
      <c r="KE275" s="2204"/>
      <c r="KF275" s="2204"/>
      <c r="KG275" s="2204"/>
      <c r="KH275" s="2204"/>
      <c r="KI275" s="2204"/>
      <c r="KJ275" s="2204"/>
      <c r="KK275" s="2204"/>
    </row>
    <row r="276" spans="1:297" s="2266" customFormat="1" ht="30" customHeight="1" x14ac:dyDescent="0.2">
      <c r="A276" s="2229"/>
      <c r="B276" s="2230"/>
      <c r="C276" s="2231"/>
      <c r="D276" s="2230"/>
      <c r="E276" s="2230"/>
      <c r="F276" s="2231"/>
      <c r="G276" s="2237"/>
      <c r="H276" s="2230"/>
      <c r="I276" s="2231"/>
      <c r="J276" s="3899"/>
      <c r="K276" s="3867"/>
      <c r="L276" s="3864"/>
      <c r="M276" s="3864"/>
      <c r="N276" s="3864"/>
      <c r="O276" s="3864"/>
      <c r="P276" s="3867"/>
      <c r="Q276" s="3918"/>
      <c r="R276" s="3884"/>
      <c r="S276" s="3867"/>
      <c r="T276" s="3867"/>
      <c r="U276" s="3965"/>
      <c r="V276" s="2296">
        <v>14450485</v>
      </c>
      <c r="W276" s="2235">
        <v>98</v>
      </c>
      <c r="X276" s="3864"/>
      <c r="Y276" s="3864"/>
      <c r="Z276" s="3864"/>
      <c r="AA276" s="3864"/>
      <c r="AB276" s="3864"/>
      <c r="AC276" s="3864"/>
      <c r="AD276" s="3864"/>
      <c r="AE276" s="3864"/>
      <c r="AF276" s="3864"/>
      <c r="AG276" s="3864"/>
      <c r="AH276" s="3864"/>
      <c r="AI276" s="3864"/>
      <c r="AJ276" s="3864"/>
      <c r="AK276" s="3864"/>
      <c r="AL276" s="3864"/>
      <c r="AM276" s="3864"/>
      <c r="AN276" s="3864"/>
      <c r="AO276" s="3879"/>
      <c r="AP276" s="3879"/>
      <c r="AQ276" s="3881"/>
      <c r="AR276" s="2204"/>
      <c r="AS276" s="2204"/>
      <c r="AT276" s="2204"/>
      <c r="AU276" s="2204"/>
      <c r="AV276" s="2204"/>
      <c r="AW276" s="2204"/>
      <c r="AX276" s="2204"/>
      <c r="AY276" s="2204"/>
      <c r="AZ276" s="2204"/>
      <c r="BA276" s="2204"/>
      <c r="BB276" s="2204"/>
      <c r="BC276" s="2204"/>
      <c r="BD276" s="2204"/>
      <c r="BE276" s="2204"/>
      <c r="BF276" s="2204"/>
      <c r="BG276" s="2204"/>
      <c r="BH276" s="2204"/>
      <c r="BI276" s="2204"/>
      <c r="BJ276" s="2204"/>
      <c r="BK276" s="2204"/>
      <c r="BL276" s="2204"/>
      <c r="BM276" s="2204"/>
      <c r="BN276" s="2204"/>
      <c r="BO276" s="2204"/>
      <c r="BP276" s="2204"/>
      <c r="BQ276" s="2204"/>
      <c r="BR276" s="2204"/>
      <c r="BS276" s="2204"/>
      <c r="BT276" s="2204"/>
      <c r="BU276" s="2204"/>
      <c r="BV276" s="2204"/>
      <c r="BW276" s="2204"/>
      <c r="BX276" s="2204"/>
      <c r="BY276" s="2204"/>
      <c r="BZ276" s="2204"/>
      <c r="CA276" s="2204"/>
      <c r="CB276" s="2204"/>
      <c r="CC276" s="2204"/>
      <c r="CD276" s="2204"/>
      <c r="CE276" s="2204"/>
      <c r="CF276" s="2204"/>
      <c r="CG276" s="2204"/>
      <c r="CH276" s="2204"/>
      <c r="CI276" s="2204"/>
      <c r="CJ276" s="2204"/>
      <c r="CK276" s="2204"/>
      <c r="CL276" s="2204"/>
      <c r="CM276" s="2204"/>
      <c r="CN276" s="2204"/>
      <c r="CO276" s="2204"/>
      <c r="CP276" s="2204"/>
      <c r="CQ276" s="2204"/>
      <c r="CR276" s="2204"/>
      <c r="CS276" s="2204"/>
      <c r="CT276" s="2204"/>
      <c r="CU276" s="2204"/>
      <c r="CV276" s="2204"/>
      <c r="CW276" s="2204"/>
      <c r="CX276" s="2204"/>
      <c r="CY276" s="2204"/>
      <c r="CZ276" s="2204"/>
      <c r="DA276" s="2204"/>
      <c r="DB276" s="2204"/>
      <c r="DC276" s="2204"/>
      <c r="DD276" s="2204"/>
      <c r="DE276" s="2204"/>
      <c r="DF276" s="2204"/>
      <c r="DG276" s="2204"/>
      <c r="DH276" s="2204"/>
      <c r="DI276" s="2204"/>
      <c r="DJ276" s="2204"/>
      <c r="DK276" s="2204"/>
      <c r="DL276" s="2204"/>
      <c r="DM276" s="2204"/>
      <c r="DN276" s="2204"/>
      <c r="DO276" s="2204"/>
      <c r="DP276" s="2204"/>
      <c r="DQ276" s="2204"/>
      <c r="DR276" s="2204"/>
      <c r="DS276" s="2204"/>
      <c r="DT276" s="2204"/>
      <c r="DU276" s="2204"/>
      <c r="DV276" s="2204"/>
      <c r="DW276" s="2204"/>
      <c r="DX276" s="2204"/>
      <c r="DY276" s="2204"/>
      <c r="DZ276" s="2204"/>
      <c r="EA276" s="2204"/>
      <c r="EB276" s="2204"/>
      <c r="EC276" s="2204"/>
      <c r="ED276" s="2204"/>
      <c r="EE276" s="2204"/>
      <c r="EF276" s="2204"/>
      <c r="EG276" s="2204"/>
      <c r="EH276" s="2204"/>
      <c r="EI276" s="2204"/>
      <c r="EJ276" s="2204"/>
      <c r="EK276" s="2204"/>
      <c r="EL276" s="2204"/>
      <c r="EM276" s="2204"/>
      <c r="EN276" s="2204"/>
      <c r="EO276" s="2204"/>
      <c r="EP276" s="2204"/>
      <c r="EQ276" s="2204"/>
      <c r="ER276" s="2204"/>
      <c r="ES276" s="2204"/>
      <c r="ET276" s="2204"/>
      <c r="EU276" s="2204"/>
      <c r="EV276" s="2204"/>
      <c r="EW276" s="2204"/>
      <c r="EX276" s="2204"/>
      <c r="EY276" s="2204"/>
      <c r="EZ276" s="2204"/>
      <c r="FA276" s="2204"/>
      <c r="FB276" s="2204"/>
      <c r="FC276" s="2204"/>
      <c r="FD276" s="2204"/>
      <c r="FE276" s="2204"/>
      <c r="FF276" s="2204"/>
      <c r="FG276" s="2204"/>
      <c r="FH276" s="2204"/>
      <c r="FI276" s="2204"/>
      <c r="FJ276" s="2204"/>
      <c r="FK276" s="2204"/>
      <c r="FL276" s="2204"/>
      <c r="FM276" s="2204"/>
      <c r="FN276" s="2204"/>
      <c r="FO276" s="2204"/>
      <c r="FP276" s="2204"/>
      <c r="FQ276" s="2204"/>
      <c r="FR276" s="2204"/>
      <c r="FS276" s="2204"/>
      <c r="FT276" s="2204"/>
      <c r="FU276" s="2204"/>
      <c r="FV276" s="2204"/>
      <c r="FW276" s="2204"/>
      <c r="FX276" s="2204"/>
      <c r="FY276" s="2204"/>
      <c r="FZ276" s="2204"/>
      <c r="GA276" s="2204"/>
      <c r="GB276" s="2204"/>
      <c r="GC276" s="2204"/>
      <c r="GD276" s="2204"/>
      <c r="GE276" s="2204"/>
      <c r="GF276" s="2204"/>
      <c r="GG276" s="2204"/>
      <c r="GH276" s="2204"/>
      <c r="GI276" s="2204"/>
      <c r="GJ276" s="2204"/>
      <c r="GK276" s="2204"/>
      <c r="GL276" s="2204"/>
      <c r="GM276" s="2204"/>
      <c r="GN276" s="2204"/>
      <c r="GO276" s="2204"/>
      <c r="GP276" s="2204"/>
      <c r="GQ276" s="2204"/>
      <c r="GR276" s="2204"/>
      <c r="GS276" s="2204"/>
      <c r="GT276" s="2204"/>
      <c r="GU276" s="2204"/>
      <c r="GV276" s="2204"/>
      <c r="GW276" s="2204"/>
      <c r="GX276" s="2204"/>
      <c r="GY276" s="2204"/>
      <c r="GZ276" s="2204"/>
      <c r="HA276" s="2204"/>
      <c r="HB276" s="2204"/>
      <c r="HC276" s="2204"/>
      <c r="HD276" s="2204"/>
      <c r="HE276" s="2204"/>
      <c r="HF276" s="2204"/>
      <c r="HG276" s="2204"/>
      <c r="HH276" s="2204"/>
      <c r="HI276" s="2204"/>
      <c r="HJ276" s="2204"/>
      <c r="HK276" s="2204"/>
      <c r="HL276" s="2204"/>
      <c r="HM276" s="2204"/>
      <c r="HN276" s="2204"/>
      <c r="HO276" s="2204"/>
      <c r="HP276" s="2204"/>
      <c r="HQ276" s="2204"/>
      <c r="HR276" s="2204"/>
      <c r="HS276" s="2204"/>
      <c r="HT276" s="2204"/>
      <c r="HU276" s="2204"/>
      <c r="HV276" s="2204"/>
      <c r="HW276" s="2204"/>
      <c r="HX276" s="2204"/>
      <c r="HY276" s="2204"/>
      <c r="HZ276" s="2204"/>
      <c r="IA276" s="2204"/>
      <c r="IB276" s="2204"/>
      <c r="IC276" s="2204"/>
      <c r="ID276" s="2204"/>
      <c r="IE276" s="2204"/>
      <c r="IF276" s="2204"/>
      <c r="IG276" s="2204"/>
      <c r="IH276" s="2204"/>
      <c r="II276" s="2204"/>
      <c r="IJ276" s="2204"/>
      <c r="IK276" s="2204"/>
      <c r="IL276" s="2204"/>
      <c r="IM276" s="2204"/>
      <c r="IN276" s="2204"/>
      <c r="IO276" s="2204"/>
      <c r="IP276" s="2204"/>
      <c r="IQ276" s="2204"/>
      <c r="IR276" s="2204"/>
      <c r="IS276" s="2204"/>
      <c r="IT276" s="2204"/>
      <c r="IU276" s="2204"/>
      <c r="IV276" s="2204"/>
      <c r="IW276" s="2204"/>
      <c r="IX276" s="2204"/>
      <c r="IY276" s="2204"/>
      <c r="IZ276" s="2204"/>
      <c r="JA276" s="2204"/>
      <c r="JB276" s="2204"/>
      <c r="JC276" s="2204"/>
      <c r="JD276" s="2204"/>
      <c r="JE276" s="2204"/>
      <c r="JF276" s="2204"/>
      <c r="JG276" s="2204"/>
      <c r="JH276" s="2204"/>
      <c r="JI276" s="2204"/>
      <c r="JJ276" s="2204"/>
      <c r="JK276" s="2204"/>
      <c r="JL276" s="2204"/>
      <c r="JM276" s="2204"/>
      <c r="JN276" s="2204"/>
      <c r="JO276" s="2204"/>
      <c r="JP276" s="2204"/>
      <c r="JQ276" s="2204"/>
      <c r="JR276" s="2204"/>
      <c r="JS276" s="2204"/>
      <c r="JT276" s="2204"/>
      <c r="JU276" s="2204"/>
      <c r="JV276" s="2204"/>
      <c r="JW276" s="2204"/>
      <c r="JX276" s="2204"/>
      <c r="JY276" s="2204"/>
      <c r="JZ276" s="2204"/>
      <c r="KA276" s="2204"/>
      <c r="KB276" s="2204"/>
      <c r="KC276" s="2204"/>
      <c r="KD276" s="2204"/>
      <c r="KE276" s="2204"/>
      <c r="KF276" s="2204"/>
      <c r="KG276" s="2204"/>
      <c r="KH276" s="2204"/>
      <c r="KI276" s="2204"/>
      <c r="KJ276" s="2204"/>
      <c r="KK276" s="2204"/>
    </row>
    <row r="277" spans="1:297" s="2266" customFormat="1" ht="39" customHeight="1" x14ac:dyDescent="0.2">
      <c r="A277" s="2229"/>
      <c r="B277" s="2230"/>
      <c r="C277" s="2231"/>
      <c r="D277" s="2230"/>
      <c r="E277" s="2230"/>
      <c r="F277" s="2231"/>
      <c r="G277" s="2237"/>
      <c r="H277" s="2230"/>
      <c r="I277" s="2231"/>
      <c r="J277" s="3899"/>
      <c r="K277" s="3867"/>
      <c r="L277" s="3864"/>
      <c r="M277" s="3864"/>
      <c r="N277" s="3864"/>
      <c r="O277" s="3864"/>
      <c r="P277" s="3867"/>
      <c r="Q277" s="3918"/>
      <c r="R277" s="3884"/>
      <c r="S277" s="3867"/>
      <c r="T277" s="3867"/>
      <c r="U277" s="3964" t="s">
        <v>2378</v>
      </c>
      <c r="V277" s="2296">
        <v>25000000</v>
      </c>
      <c r="W277" s="2235">
        <v>61</v>
      </c>
      <c r="X277" s="3864"/>
      <c r="Y277" s="3864"/>
      <c r="Z277" s="3864"/>
      <c r="AA277" s="3864"/>
      <c r="AB277" s="3864"/>
      <c r="AC277" s="3864"/>
      <c r="AD277" s="3864"/>
      <c r="AE277" s="3864"/>
      <c r="AF277" s="3864"/>
      <c r="AG277" s="3864"/>
      <c r="AH277" s="3864"/>
      <c r="AI277" s="3864"/>
      <c r="AJ277" s="3864"/>
      <c r="AK277" s="3864"/>
      <c r="AL277" s="3864"/>
      <c r="AM277" s="3864"/>
      <c r="AN277" s="3864"/>
      <c r="AO277" s="3879"/>
      <c r="AP277" s="3879"/>
      <c r="AQ277" s="3881"/>
      <c r="AR277" s="2204"/>
      <c r="AS277" s="2204"/>
      <c r="AT277" s="2204"/>
      <c r="AU277" s="2204"/>
      <c r="AV277" s="2204"/>
      <c r="AW277" s="2204"/>
      <c r="AX277" s="2204"/>
      <c r="AY277" s="2204"/>
      <c r="AZ277" s="2204"/>
      <c r="BA277" s="2204"/>
      <c r="BB277" s="2204"/>
      <c r="BC277" s="2204"/>
      <c r="BD277" s="2204"/>
      <c r="BE277" s="2204"/>
      <c r="BF277" s="2204"/>
      <c r="BG277" s="2204"/>
      <c r="BH277" s="2204"/>
      <c r="BI277" s="2204"/>
      <c r="BJ277" s="2204"/>
      <c r="BK277" s="2204"/>
      <c r="BL277" s="2204"/>
      <c r="BM277" s="2204"/>
      <c r="BN277" s="2204"/>
      <c r="BO277" s="2204"/>
      <c r="BP277" s="2204"/>
      <c r="BQ277" s="2204"/>
      <c r="BR277" s="2204"/>
      <c r="BS277" s="2204"/>
      <c r="BT277" s="2204"/>
      <c r="BU277" s="2204"/>
      <c r="BV277" s="2204"/>
      <c r="BW277" s="2204"/>
      <c r="BX277" s="2204"/>
      <c r="BY277" s="2204"/>
      <c r="BZ277" s="2204"/>
      <c r="CA277" s="2204"/>
      <c r="CB277" s="2204"/>
      <c r="CC277" s="2204"/>
      <c r="CD277" s="2204"/>
      <c r="CE277" s="2204"/>
      <c r="CF277" s="2204"/>
      <c r="CG277" s="2204"/>
      <c r="CH277" s="2204"/>
      <c r="CI277" s="2204"/>
      <c r="CJ277" s="2204"/>
      <c r="CK277" s="2204"/>
      <c r="CL277" s="2204"/>
      <c r="CM277" s="2204"/>
      <c r="CN277" s="2204"/>
      <c r="CO277" s="2204"/>
      <c r="CP277" s="2204"/>
      <c r="CQ277" s="2204"/>
      <c r="CR277" s="2204"/>
      <c r="CS277" s="2204"/>
      <c r="CT277" s="2204"/>
      <c r="CU277" s="2204"/>
      <c r="CV277" s="2204"/>
      <c r="CW277" s="2204"/>
      <c r="CX277" s="2204"/>
      <c r="CY277" s="2204"/>
      <c r="CZ277" s="2204"/>
      <c r="DA277" s="2204"/>
      <c r="DB277" s="2204"/>
      <c r="DC277" s="2204"/>
      <c r="DD277" s="2204"/>
      <c r="DE277" s="2204"/>
      <c r="DF277" s="2204"/>
      <c r="DG277" s="2204"/>
      <c r="DH277" s="2204"/>
      <c r="DI277" s="2204"/>
      <c r="DJ277" s="2204"/>
      <c r="DK277" s="2204"/>
      <c r="DL277" s="2204"/>
      <c r="DM277" s="2204"/>
      <c r="DN277" s="2204"/>
      <c r="DO277" s="2204"/>
      <c r="DP277" s="2204"/>
      <c r="DQ277" s="2204"/>
      <c r="DR277" s="2204"/>
      <c r="DS277" s="2204"/>
      <c r="DT277" s="2204"/>
      <c r="DU277" s="2204"/>
      <c r="DV277" s="2204"/>
      <c r="DW277" s="2204"/>
      <c r="DX277" s="2204"/>
      <c r="DY277" s="2204"/>
      <c r="DZ277" s="2204"/>
      <c r="EA277" s="2204"/>
      <c r="EB277" s="2204"/>
      <c r="EC277" s="2204"/>
      <c r="ED277" s="2204"/>
      <c r="EE277" s="2204"/>
      <c r="EF277" s="2204"/>
      <c r="EG277" s="2204"/>
      <c r="EH277" s="2204"/>
      <c r="EI277" s="2204"/>
      <c r="EJ277" s="2204"/>
      <c r="EK277" s="2204"/>
      <c r="EL277" s="2204"/>
      <c r="EM277" s="2204"/>
      <c r="EN277" s="2204"/>
      <c r="EO277" s="2204"/>
      <c r="EP277" s="2204"/>
      <c r="EQ277" s="2204"/>
      <c r="ER277" s="2204"/>
      <c r="ES277" s="2204"/>
      <c r="ET277" s="2204"/>
      <c r="EU277" s="2204"/>
      <c r="EV277" s="2204"/>
      <c r="EW277" s="2204"/>
      <c r="EX277" s="2204"/>
      <c r="EY277" s="2204"/>
      <c r="EZ277" s="2204"/>
      <c r="FA277" s="2204"/>
      <c r="FB277" s="2204"/>
      <c r="FC277" s="2204"/>
      <c r="FD277" s="2204"/>
      <c r="FE277" s="2204"/>
      <c r="FF277" s="2204"/>
      <c r="FG277" s="2204"/>
      <c r="FH277" s="2204"/>
      <c r="FI277" s="2204"/>
      <c r="FJ277" s="2204"/>
      <c r="FK277" s="2204"/>
      <c r="FL277" s="2204"/>
      <c r="FM277" s="2204"/>
      <c r="FN277" s="2204"/>
      <c r="FO277" s="2204"/>
      <c r="FP277" s="2204"/>
      <c r="FQ277" s="2204"/>
      <c r="FR277" s="2204"/>
      <c r="FS277" s="2204"/>
      <c r="FT277" s="2204"/>
      <c r="FU277" s="2204"/>
      <c r="FV277" s="2204"/>
      <c r="FW277" s="2204"/>
      <c r="FX277" s="2204"/>
      <c r="FY277" s="2204"/>
      <c r="FZ277" s="2204"/>
      <c r="GA277" s="2204"/>
      <c r="GB277" s="2204"/>
      <c r="GC277" s="2204"/>
      <c r="GD277" s="2204"/>
      <c r="GE277" s="2204"/>
      <c r="GF277" s="2204"/>
      <c r="GG277" s="2204"/>
      <c r="GH277" s="2204"/>
      <c r="GI277" s="2204"/>
      <c r="GJ277" s="2204"/>
      <c r="GK277" s="2204"/>
      <c r="GL277" s="2204"/>
      <c r="GM277" s="2204"/>
      <c r="GN277" s="2204"/>
      <c r="GO277" s="2204"/>
      <c r="GP277" s="2204"/>
      <c r="GQ277" s="2204"/>
      <c r="GR277" s="2204"/>
      <c r="GS277" s="2204"/>
      <c r="GT277" s="2204"/>
      <c r="GU277" s="2204"/>
      <c r="GV277" s="2204"/>
      <c r="GW277" s="2204"/>
      <c r="GX277" s="2204"/>
      <c r="GY277" s="2204"/>
      <c r="GZ277" s="2204"/>
      <c r="HA277" s="2204"/>
      <c r="HB277" s="2204"/>
      <c r="HC277" s="2204"/>
      <c r="HD277" s="2204"/>
      <c r="HE277" s="2204"/>
      <c r="HF277" s="2204"/>
      <c r="HG277" s="2204"/>
      <c r="HH277" s="2204"/>
      <c r="HI277" s="2204"/>
      <c r="HJ277" s="2204"/>
      <c r="HK277" s="2204"/>
      <c r="HL277" s="2204"/>
      <c r="HM277" s="2204"/>
      <c r="HN277" s="2204"/>
      <c r="HO277" s="2204"/>
      <c r="HP277" s="2204"/>
      <c r="HQ277" s="2204"/>
      <c r="HR277" s="2204"/>
      <c r="HS277" s="2204"/>
      <c r="HT277" s="2204"/>
      <c r="HU277" s="2204"/>
      <c r="HV277" s="2204"/>
      <c r="HW277" s="2204"/>
      <c r="HX277" s="2204"/>
      <c r="HY277" s="2204"/>
      <c r="HZ277" s="2204"/>
      <c r="IA277" s="2204"/>
      <c r="IB277" s="2204"/>
      <c r="IC277" s="2204"/>
      <c r="ID277" s="2204"/>
      <c r="IE277" s="2204"/>
      <c r="IF277" s="2204"/>
      <c r="IG277" s="2204"/>
      <c r="IH277" s="2204"/>
      <c r="II277" s="2204"/>
      <c r="IJ277" s="2204"/>
      <c r="IK277" s="2204"/>
      <c r="IL277" s="2204"/>
      <c r="IM277" s="2204"/>
      <c r="IN277" s="2204"/>
      <c r="IO277" s="2204"/>
      <c r="IP277" s="2204"/>
      <c r="IQ277" s="2204"/>
      <c r="IR277" s="2204"/>
      <c r="IS277" s="2204"/>
      <c r="IT277" s="2204"/>
      <c r="IU277" s="2204"/>
      <c r="IV277" s="2204"/>
      <c r="IW277" s="2204"/>
      <c r="IX277" s="2204"/>
      <c r="IY277" s="2204"/>
      <c r="IZ277" s="2204"/>
      <c r="JA277" s="2204"/>
      <c r="JB277" s="2204"/>
      <c r="JC277" s="2204"/>
      <c r="JD277" s="2204"/>
      <c r="JE277" s="2204"/>
      <c r="JF277" s="2204"/>
      <c r="JG277" s="2204"/>
      <c r="JH277" s="2204"/>
      <c r="JI277" s="2204"/>
      <c r="JJ277" s="2204"/>
      <c r="JK277" s="2204"/>
      <c r="JL277" s="2204"/>
      <c r="JM277" s="2204"/>
      <c r="JN277" s="2204"/>
      <c r="JO277" s="2204"/>
      <c r="JP277" s="2204"/>
      <c r="JQ277" s="2204"/>
      <c r="JR277" s="2204"/>
      <c r="JS277" s="2204"/>
      <c r="JT277" s="2204"/>
      <c r="JU277" s="2204"/>
      <c r="JV277" s="2204"/>
      <c r="JW277" s="2204"/>
      <c r="JX277" s="2204"/>
      <c r="JY277" s="2204"/>
      <c r="JZ277" s="2204"/>
      <c r="KA277" s="2204"/>
      <c r="KB277" s="2204"/>
      <c r="KC277" s="2204"/>
      <c r="KD277" s="2204"/>
      <c r="KE277" s="2204"/>
      <c r="KF277" s="2204"/>
      <c r="KG277" s="2204"/>
      <c r="KH277" s="2204"/>
      <c r="KI277" s="2204"/>
      <c r="KJ277" s="2204"/>
      <c r="KK277" s="2204"/>
    </row>
    <row r="278" spans="1:297" s="2266" customFormat="1" ht="52.5" customHeight="1" x14ac:dyDescent="0.2">
      <c r="A278" s="2229"/>
      <c r="B278" s="2230"/>
      <c r="C278" s="2231"/>
      <c r="D278" s="2230"/>
      <c r="E278" s="2230"/>
      <c r="F278" s="2231"/>
      <c r="G278" s="2237"/>
      <c r="H278" s="2230"/>
      <c r="I278" s="2231"/>
      <c r="J278" s="3899"/>
      <c r="K278" s="3867"/>
      <c r="L278" s="3864"/>
      <c r="M278" s="3864"/>
      <c r="N278" s="3864"/>
      <c r="O278" s="3864"/>
      <c r="P278" s="3867"/>
      <c r="Q278" s="3918"/>
      <c r="R278" s="3884"/>
      <c r="S278" s="3867"/>
      <c r="T278" s="3867"/>
      <c r="U278" s="3965"/>
      <c r="V278" s="2296">
        <v>14450485</v>
      </c>
      <c r="W278" s="2235">
        <v>98</v>
      </c>
      <c r="X278" s="3864"/>
      <c r="Y278" s="3864"/>
      <c r="Z278" s="3864"/>
      <c r="AA278" s="3864"/>
      <c r="AB278" s="3864"/>
      <c r="AC278" s="3864"/>
      <c r="AD278" s="3864"/>
      <c r="AE278" s="3864"/>
      <c r="AF278" s="3864"/>
      <c r="AG278" s="3864"/>
      <c r="AH278" s="3864"/>
      <c r="AI278" s="3864"/>
      <c r="AJ278" s="3864"/>
      <c r="AK278" s="3864"/>
      <c r="AL278" s="3864"/>
      <c r="AM278" s="3864"/>
      <c r="AN278" s="3864"/>
      <c r="AO278" s="3879"/>
      <c r="AP278" s="3879"/>
      <c r="AQ278" s="3881"/>
      <c r="AR278" s="2204"/>
      <c r="AS278" s="2204"/>
      <c r="AT278" s="2204"/>
      <c r="AU278" s="2204"/>
      <c r="AV278" s="2204"/>
      <c r="AW278" s="2204"/>
      <c r="AX278" s="2204"/>
      <c r="AY278" s="2204"/>
      <c r="AZ278" s="2204"/>
      <c r="BA278" s="2204"/>
      <c r="BB278" s="2204"/>
      <c r="BC278" s="2204"/>
      <c r="BD278" s="2204"/>
      <c r="BE278" s="2204"/>
      <c r="BF278" s="2204"/>
      <c r="BG278" s="2204"/>
      <c r="BH278" s="2204"/>
      <c r="BI278" s="2204"/>
      <c r="BJ278" s="2204"/>
      <c r="BK278" s="2204"/>
      <c r="BL278" s="2204"/>
      <c r="BM278" s="2204"/>
      <c r="BN278" s="2204"/>
      <c r="BO278" s="2204"/>
      <c r="BP278" s="2204"/>
      <c r="BQ278" s="2204"/>
      <c r="BR278" s="2204"/>
      <c r="BS278" s="2204"/>
      <c r="BT278" s="2204"/>
      <c r="BU278" s="2204"/>
      <c r="BV278" s="2204"/>
      <c r="BW278" s="2204"/>
      <c r="BX278" s="2204"/>
      <c r="BY278" s="2204"/>
      <c r="BZ278" s="2204"/>
      <c r="CA278" s="2204"/>
      <c r="CB278" s="2204"/>
      <c r="CC278" s="2204"/>
      <c r="CD278" s="2204"/>
      <c r="CE278" s="2204"/>
      <c r="CF278" s="2204"/>
      <c r="CG278" s="2204"/>
      <c r="CH278" s="2204"/>
      <c r="CI278" s="2204"/>
      <c r="CJ278" s="2204"/>
      <c r="CK278" s="2204"/>
      <c r="CL278" s="2204"/>
      <c r="CM278" s="2204"/>
      <c r="CN278" s="2204"/>
      <c r="CO278" s="2204"/>
      <c r="CP278" s="2204"/>
      <c r="CQ278" s="2204"/>
      <c r="CR278" s="2204"/>
      <c r="CS278" s="2204"/>
      <c r="CT278" s="2204"/>
      <c r="CU278" s="2204"/>
      <c r="CV278" s="2204"/>
      <c r="CW278" s="2204"/>
      <c r="CX278" s="2204"/>
      <c r="CY278" s="2204"/>
      <c r="CZ278" s="2204"/>
      <c r="DA278" s="2204"/>
      <c r="DB278" s="2204"/>
      <c r="DC278" s="2204"/>
      <c r="DD278" s="2204"/>
      <c r="DE278" s="2204"/>
      <c r="DF278" s="2204"/>
      <c r="DG278" s="2204"/>
      <c r="DH278" s="2204"/>
      <c r="DI278" s="2204"/>
      <c r="DJ278" s="2204"/>
      <c r="DK278" s="2204"/>
      <c r="DL278" s="2204"/>
      <c r="DM278" s="2204"/>
      <c r="DN278" s="2204"/>
      <c r="DO278" s="2204"/>
      <c r="DP278" s="2204"/>
      <c r="DQ278" s="2204"/>
      <c r="DR278" s="2204"/>
      <c r="DS278" s="2204"/>
      <c r="DT278" s="2204"/>
      <c r="DU278" s="2204"/>
      <c r="DV278" s="2204"/>
      <c r="DW278" s="2204"/>
      <c r="DX278" s="2204"/>
      <c r="DY278" s="2204"/>
      <c r="DZ278" s="2204"/>
      <c r="EA278" s="2204"/>
      <c r="EB278" s="2204"/>
      <c r="EC278" s="2204"/>
      <c r="ED278" s="2204"/>
      <c r="EE278" s="2204"/>
      <c r="EF278" s="2204"/>
      <c r="EG278" s="2204"/>
      <c r="EH278" s="2204"/>
      <c r="EI278" s="2204"/>
      <c r="EJ278" s="2204"/>
      <c r="EK278" s="2204"/>
      <c r="EL278" s="2204"/>
      <c r="EM278" s="2204"/>
      <c r="EN278" s="2204"/>
      <c r="EO278" s="2204"/>
      <c r="EP278" s="2204"/>
      <c r="EQ278" s="2204"/>
      <c r="ER278" s="2204"/>
      <c r="ES278" s="2204"/>
      <c r="ET278" s="2204"/>
      <c r="EU278" s="2204"/>
      <c r="EV278" s="2204"/>
      <c r="EW278" s="2204"/>
      <c r="EX278" s="2204"/>
      <c r="EY278" s="2204"/>
      <c r="EZ278" s="2204"/>
      <c r="FA278" s="2204"/>
      <c r="FB278" s="2204"/>
      <c r="FC278" s="2204"/>
      <c r="FD278" s="2204"/>
      <c r="FE278" s="2204"/>
      <c r="FF278" s="2204"/>
      <c r="FG278" s="2204"/>
      <c r="FH278" s="2204"/>
      <c r="FI278" s="2204"/>
      <c r="FJ278" s="2204"/>
      <c r="FK278" s="2204"/>
      <c r="FL278" s="2204"/>
      <c r="FM278" s="2204"/>
      <c r="FN278" s="2204"/>
      <c r="FO278" s="2204"/>
      <c r="FP278" s="2204"/>
      <c r="FQ278" s="2204"/>
      <c r="FR278" s="2204"/>
      <c r="FS278" s="2204"/>
      <c r="FT278" s="2204"/>
      <c r="FU278" s="2204"/>
      <c r="FV278" s="2204"/>
      <c r="FW278" s="2204"/>
      <c r="FX278" s="2204"/>
      <c r="FY278" s="2204"/>
      <c r="FZ278" s="2204"/>
      <c r="GA278" s="2204"/>
      <c r="GB278" s="2204"/>
      <c r="GC278" s="2204"/>
      <c r="GD278" s="2204"/>
      <c r="GE278" s="2204"/>
      <c r="GF278" s="2204"/>
      <c r="GG278" s="2204"/>
      <c r="GH278" s="2204"/>
      <c r="GI278" s="2204"/>
      <c r="GJ278" s="2204"/>
      <c r="GK278" s="2204"/>
      <c r="GL278" s="2204"/>
      <c r="GM278" s="2204"/>
      <c r="GN278" s="2204"/>
      <c r="GO278" s="2204"/>
      <c r="GP278" s="2204"/>
      <c r="GQ278" s="2204"/>
      <c r="GR278" s="2204"/>
      <c r="GS278" s="2204"/>
      <c r="GT278" s="2204"/>
      <c r="GU278" s="2204"/>
      <c r="GV278" s="2204"/>
      <c r="GW278" s="2204"/>
      <c r="GX278" s="2204"/>
      <c r="GY278" s="2204"/>
      <c r="GZ278" s="2204"/>
      <c r="HA278" s="2204"/>
      <c r="HB278" s="2204"/>
      <c r="HC278" s="2204"/>
      <c r="HD278" s="2204"/>
      <c r="HE278" s="2204"/>
      <c r="HF278" s="2204"/>
      <c r="HG278" s="2204"/>
      <c r="HH278" s="2204"/>
      <c r="HI278" s="2204"/>
      <c r="HJ278" s="2204"/>
      <c r="HK278" s="2204"/>
      <c r="HL278" s="2204"/>
      <c r="HM278" s="2204"/>
      <c r="HN278" s="2204"/>
      <c r="HO278" s="2204"/>
      <c r="HP278" s="2204"/>
      <c r="HQ278" s="2204"/>
      <c r="HR278" s="2204"/>
      <c r="HS278" s="2204"/>
      <c r="HT278" s="2204"/>
      <c r="HU278" s="2204"/>
      <c r="HV278" s="2204"/>
      <c r="HW278" s="2204"/>
      <c r="HX278" s="2204"/>
      <c r="HY278" s="2204"/>
      <c r="HZ278" s="2204"/>
      <c r="IA278" s="2204"/>
      <c r="IB278" s="2204"/>
      <c r="IC278" s="2204"/>
      <c r="ID278" s="2204"/>
      <c r="IE278" s="2204"/>
      <c r="IF278" s="2204"/>
      <c r="IG278" s="2204"/>
      <c r="IH278" s="2204"/>
      <c r="II278" s="2204"/>
      <c r="IJ278" s="2204"/>
      <c r="IK278" s="2204"/>
      <c r="IL278" s="2204"/>
      <c r="IM278" s="2204"/>
      <c r="IN278" s="2204"/>
      <c r="IO278" s="2204"/>
      <c r="IP278" s="2204"/>
      <c r="IQ278" s="2204"/>
      <c r="IR278" s="2204"/>
      <c r="IS278" s="2204"/>
      <c r="IT278" s="2204"/>
      <c r="IU278" s="2204"/>
      <c r="IV278" s="2204"/>
      <c r="IW278" s="2204"/>
      <c r="IX278" s="2204"/>
      <c r="IY278" s="2204"/>
      <c r="IZ278" s="2204"/>
      <c r="JA278" s="2204"/>
      <c r="JB278" s="2204"/>
      <c r="JC278" s="2204"/>
      <c r="JD278" s="2204"/>
      <c r="JE278" s="2204"/>
      <c r="JF278" s="2204"/>
      <c r="JG278" s="2204"/>
      <c r="JH278" s="2204"/>
      <c r="JI278" s="2204"/>
      <c r="JJ278" s="2204"/>
      <c r="JK278" s="2204"/>
      <c r="JL278" s="2204"/>
      <c r="JM278" s="2204"/>
      <c r="JN278" s="2204"/>
      <c r="JO278" s="2204"/>
      <c r="JP278" s="2204"/>
      <c r="JQ278" s="2204"/>
      <c r="JR278" s="2204"/>
      <c r="JS278" s="2204"/>
      <c r="JT278" s="2204"/>
      <c r="JU278" s="2204"/>
      <c r="JV278" s="2204"/>
      <c r="JW278" s="2204"/>
      <c r="JX278" s="2204"/>
      <c r="JY278" s="2204"/>
      <c r="JZ278" s="2204"/>
      <c r="KA278" s="2204"/>
      <c r="KB278" s="2204"/>
      <c r="KC278" s="2204"/>
      <c r="KD278" s="2204"/>
      <c r="KE278" s="2204"/>
      <c r="KF278" s="2204"/>
      <c r="KG278" s="2204"/>
      <c r="KH278" s="2204"/>
      <c r="KI278" s="2204"/>
      <c r="KJ278" s="2204"/>
      <c r="KK278" s="2204"/>
    </row>
    <row r="279" spans="1:297" s="2266" customFormat="1" ht="40.5" customHeight="1" x14ac:dyDescent="0.2">
      <c r="A279" s="2229"/>
      <c r="B279" s="2230"/>
      <c r="C279" s="2231"/>
      <c r="D279" s="2230"/>
      <c r="E279" s="2230"/>
      <c r="F279" s="2231"/>
      <c r="G279" s="2237"/>
      <c r="H279" s="2230"/>
      <c r="I279" s="2231"/>
      <c r="J279" s="3900"/>
      <c r="K279" s="3868"/>
      <c r="L279" s="3865"/>
      <c r="M279" s="3865"/>
      <c r="N279" s="3864"/>
      <c r="O279" s="3864"/>
      <c r="P279" s="3867"/>
      <c r="Q279" s="3919"/>
      <c r="R279" s="3884"/>
      <c r="S279" s="3867"/>
      <c r="T279" s="3868"/>
      <c r="U279" s="2287" t="s">
        <v>2379</v>
      </c>
      <c r="V279" s="2296">
        <v>11000000</v>
      </c>
      <c r="W279" s="2235">
        <v>61</v>
      </c>
      <c r="X279" s="3864"/>
      <c r="Y279" s="3864"/>
      <c r="Z279" s="3864"/>
      <c r="AA279" s="3864"/>
      <c r="AB279" s="3864"/>
      <c r="AC279" s="3864"/>
      <c r="AD279" s="3864"/>
      <c r="AE279" s="3864"/>
      <c r="AF279" s="3864"/>
      <c r="AG279" s="3864"/>
      <c r="AH279" s="3864"/>
      <c r="AI279" s="3864"/>
      <c r="AJ279" s="3864"/>
      <c r="AK279" s="3864"/>
      <c r="AL279" s="3864"/>
      <c r="AM279" s="3864"/>
      <c r="AN279" s="3864"/>
      <c r="AO279" s="3879"/>
      <c r="AP279" s="3879"/>
      <c r="AQ279" s="3881"/>
      <c r="AR279" s="2204"/>
      <c r="AS279" s="2204"/>
      <c r="AT279" s="2204"/>
      <c r="AU279" s="2204"/>
      <c r="AV279" s="2204"/>
      <c r="AW279" s="2204"/>
      <c r="AX279" s="2204"/>
      <c r="AY279" s="2204"/>
      <c r="AZ279" s="2204"/>
      <c r="BA279" s="2204"/>
      <c r="BB279" s="2204"/>
      <c r="BC279" s="2204"/>
      <c r="BD279" s="2204"/>
      <c r="BE279" s="2204"/>
      <c r="BF279" s="2204"/>
      <c r="BG279" s="2204"/>
      <c r="BH279" s="2204"/>
      <c r="BI279" s="2204"/>
      <c r="BJ279" s="2204"/>
      <c r="BK279" s="2204"/>
      <c r="BL279" s="2204"/>
      <c r="BM279" s="2204"/>
      <c r="BN279" s="2204"/>
      <c r="BO279" s="2204"/>
      <c r="BP279" s="2204"/>
      <c r="BQ279" s="2204"/>
      <c r="BR279" s="2204"/>
      <c r="BS279" s="2204"/>
      <c r="BT279" s="2204"/>
      <c r="BU279" s="2204"/>
      <c r="BV279" s="2204"/>
      <c r="BW279" s="2204"/>
      <c r="BX279" s="2204"/>
      <c r="BY279" s="2204"/>
      <c r="BZ279" s="2204"/>
      <c r="CA279" s="2204"/>
      <c r="CB279" s="2204"/>
      <c r="CC279" s="2204"/>
      <c r="CD279" s="2204"/>
      <c r="CE279" s="2204"/>
      <c r="CF279" s="2204"/>
      <c r="CG279" s="2204"/>
      <c r="CH279" s="2204"/>
      <c r="CI279" s="2204"/>
      <c r="CJ279" s="2204"/>
      <c r="CK279" s="2204"/>
      <c r="CL279" s="2204"/>
      <c r="CM279" s="2204"/>
      <c r="CN279" s="2204"/>
      <c r="CO279" s="2204"/>
      <c r="CP279" s="2204"/>
      <c r="CQ279" s="2204"/>
      <c r="CR279" s="2204"/>
      <c r="CS279" s="2204"/>
      <c r="CT279" s="2204"/>
      <c r="CU279" s="2204"/>
      <c r="CV279" s="2204"/>
      <c r="CW279" s="2204"/>
      <c r="CX279" s="2204"/>
      <c r="CY279" s="2204"/>
      <c r="CZ279" s="2204"/>
      <c r="DA279" s="2204"/>
      <c r="DB279" s="2204"/>
      <c r="DC279" s="2204"/>
      <c r="DD279" s="2204"/>
      <c r="DE279" s="2204"/>
      <c r="DF279" s="2204"/>
      <c r="DG279" s="2204"/>
      <c r="DH279" s="2204"/>
      <c r="DI279" s="2204"/>
      <c r="DJ279" s="2204"/>
      <c r="DK279" s="2204"/>
      <c r="DL279" s="2204"/>
      <c r="DM279" s="2204"/>
      <c r="DN279" s="2204"/>
      <c r="DO279" s="2204"/>
      <c r="DP279" s="2204"/>
      <c r="DQ279" s="2204"/>
      <c r="DR279" s="2204"/>
      <c r="DS279" s="2204"/>
      <c r="DT279" s="2204"/>
      <c r="DU279" s="2204"/>
      <c r="DV279" s="2204"/>
      <c r="DW279" s="2204"/>
      <c r="DX279" s="2204"/>
      <c r="DY279" s="2204"/>
      <c r="DZ279" s="2204"/>
      <c r="EA279" s="2204"/>
      <c r="EB279" s="2204"/>
      <c r="EC279" s="2204"/>
      <c r="ED279" s="2204"/>
      <c r="EE279" s="2204"/>
      <c r="EF279" s="2204"/>
      <c r="EG279" s="2204"/>
      <c r="EH279" s="2204"/>
      <c r="EI279" s="2204"/>
      <c r="EJ279" s="2204"/>
      <c r="EK279" s="2204"/>
      <c r="EL279" s="2204"/>
      <c r="EM279" s="2204"/>
      <c r="EN279" s="2204"/>
      <c r="EO279" s="2204"/>
      <c r="EP279" s="2204"/>
      <c r="EQ279" s="2204"/>
      <c r="ER279" s="2204"/>
      <c r="ES279" s="2204"/>
      <c r="ET279" s="2204"/>
      <c r="EU279" s="2204"/>
      <c r="EV279" s="2204"/>
      <c r="EW279" s="2204"/>
      <c r="EX279" s="2204"/>
      <c r="EY279" s="2204"/>
      <c r="EZ279" s="2204"/>
      <c r="FA279" s="2204"/>
      <c r="FB279" s="2204"/>
      <c r="FC279" s="2204"/>
      <c r="FD279" s="2204"/>
      <c r="FE279" s="2204"/>
      <c r="FF279" s="2204"/>
      <c r="FG279" s="2204"/>
      <c r="FH279" s="2204"/>
      <c r="FI279" s="2204"/>
      <c r="FJ279" s="2204"/>
      <c r="FK279" s="2204"/>
      <c r="FL279" s="2204"/>
      <c r="FM279" s="2204"/>
      <c r="FN279" s="2204"/>
      <c r="FO279" s="2204"/>
      <c r="FP279" s="2204"/>
      <c r="FQ279" s="2204"/>
      <c r="FR279" s="2204"/>
      <c r="FS279" s="2204"/>
      <c r="FT279" s="2204"/>
      <c r="FU279" s="2204"/>
      <c r="FV279" s="2204"/>
      <c r="FW279" s="2204"/>
      <c r="FX279" s="2204"/>
      <c r="FY279" s="2204"/>
      <c r="FZ279" s="2204"/>
      <c r="GA279" s="2204"/>
      <c r="GB279" s="2204"/>
      <c r="GC279" s="2204"/>
      <c r="GD279" s="2204"/>
      <c r="GE279" s="2204"/>
      <c r="GF279" s="2204"/>
      <c r="GG279" s="2204"/>
      <c r="GH279" s="2204"/>
      <c r="GI279" s="2204"/>
      <c r="GJ279" s="2204"/>
      <c r="GK279" s="2204"/>
      <c r="GL279" s="2204"/>
      <c r="GM279" s="2204"/>
      <c r="GN279" s="2204"/>
      <c r="GO279" s="2204"/>
      <c r="GP279" s="2204"/>
      <c r="GQ279" s="2204"/>
      <c r="GR279" s="2204"/>
      <c r="GS279" s="2204"/>
      <c r="GT279" s="2204"/>
      <c r="GU279" s="2204"/>
      <c r="GV279" s="2204"/>
      <c r="GW279" s="2204"/>
      <c r="GX279" s="2204"/>
      <c r="GY279" s="2204"/>
      <c r="GZ279" s="2204"/>
      <c r="HA279" s="2204"/>
      <c r="HB279" s="2204"/>
      <c r="HC279" s="2204"/>
      <c r="HD279" s="2204"/>
      <c r="HE279" s="2204"/>
      <c r="HF279" s="2204"/>
      <c r="HG279" s="2204"/>
      <c r="HH279" s="2204"/>
      <c r="HI279" s="2204"/>
      <c r="HJ279" s="2204"/>
      <c r="HK279" s="2204"/>
      <c r="HL279" s="2204"/>
      <c r="HM279" s="2204"/>
      <c r="HN279" s="2204"/>
      <c r="HO279" s="2204"/>
      <c r="HP279" s="2204"/>
      <c r="HQ279" s="2204"/>
      <c r="HR279" s="2204"/>
      <c r="HS279" s="2204"/>
      <c r="HT279" s="2204"/>
      <c r="HU279" s="2204"/>
      <c r="HV279" s="2204"/>
      <c r="HW279" s="2204"/>
      <c r="HX279" s="2204"/>
      <c r="HY279" s="2204"/>
      <c r="HZ279" s="2204"/>
      <c r="IA279" s="2204"/>
      <c r="IB279" s="2204"/>
      <c r="IC279" s="2204"/>
      <c r="ID279" s="2204"/>
      <c r="IE279" s="2204"/>
      <c r="IF279" s="2204"/>
      <c r="IG279" s="2204"/>
      <c r="IH279" s="2204"/>
      <c r="II279" s="2204"/>
      <c r="IJ279" s="2204"/>
      <c r="IK279" s="2204"/>
      <c r="IL279" s="2204"/>
      <c r="IM279" s="2204"/>
      <c r="IN279" s="2204"/>
      <c r="IO279" s="2204"/>
      <c r="IP279" s="2204"/>
      <c r="IQ279" s="2204"/>
      <c r="IR279" s="2204"/>
      <c r="IS279" s="2204"/>
      <c r="IT279" s="2204"/>
      <c r="IU279" s="2204"/>
      <c r="IV279" s="2204"/>
      <c r="IW279" s="2204"/>
      <c r="IX279" s="2204"/>
      <c r="IY279" s="2204"/>
      <c r="IZ279" s="2204"/>
      <c r="JA279" s="2204"/>
      <c r="JB279" s="2204"/>
      <c r="JC279" s="2204"/>
      <c r="JD279" s="2204"/>
      <c r="JE279" s="2204"/>
      <c r="JF279" s="2204"/>
      <c r="JG279" s="2204"/>
      <c r="JH279" s="2204"/>
      <c r="JI279" s="2204"/>
      <c r="JJ279" s="2204"/>
      <c r="JK279" s="2204"/>
      <c r="JL279" s="2204"/>
      <c r="JM279" s="2204"/>
      <c r="JN279" s="2204"/>
      <c r="JO279" s="2204"/>
      <c r="JP279" s="2204"/>
      <c r="JQ279" s="2204"/>
      <c r="JR279" s="2204"/>
      <c r="JS279" s="2204"/>
      <c r="JT279" s="2204"/>
      <c r="JU279" s="2204"/>
      <c r="JV279" s="2204"/>
      <c r="JW279" s="2204"/>
      <c r="JX279" s="2204"/>
      <c r="JY279" s="2204"/>
      <c r="JZ279" s="2204"/>
      <c r="KA279" s="2204"/>
      <c r="KB279" s="2204"/>
      <c r="KC279" s="2204"/>
      <c r="KD279" s="2204"/>
      <c r="KE279" s="2204"/>
      <c r="KF279" s="2204"/>
      <c r="KG279" s="2204"/>
      <c r="KH279" s="2204"/>
      <c r="KI279" s="2204"/>
      <c r="KJ279" s="2204"/>
      <c r="KK279" s="2204"/>
    </row>
    <row r="280" spans="1:297" s="2266" customFormat="1" ht="57" x14ac:dyDescent="0.2">
      <c r="A280" s="2229"/>
      <c r="B280" s="2230"/>
      <c r="C280" s="2231"/>
      <c r="D280" s="2230"/>
      <c r="E280" s="2230"/>
      <c r="F280" s="2231"/>
      <c r="G280" s="2237"/>
      <c r="H280" s="2230"/>
      <c r="I280" s="2231"/>
      <c r="J280" s="3956">
        <v>162</v>
      </c>
      <c r="K280" s="3866" t="s">
        <v>2380</v>
      </c>
      <c r="L280" s="3863" t="s">
        <v>2040</v>
      </c>
      <c r="M280" s="3863">
        <v>83</v>
      </c>
      <c r="N280" s="3864"/>
      <c r="O280" s="3864"/>
      <c r="P280" s="3867"/>
      <c r="Q280" s="3917">
        <f>SUM(V280:V285)/R274</f>
        <v>0.74567389291614639</v>
      </c>
      <c r="R280" s="3884"/>
      <c r="S280" s="3867"/>
      <c r="T280" s="3866" t="s">
        <v>2381</v>
      </c>
      <c r="U280" s="2287" t="s">
        <v>2382</v>
      </c>
      <c r="V280" s="2296">
        <v>120000000</v>
      </c>
      <c r="W280" s="2235">
        <v>61</v>
      </c>
      <c r="X280" s="3864"/>
      <c r="Y280" s="3864"/>
      <c r="Z280" s="3864"/>
      <c r="AA280" s="3864"/>
      <c r="AB280" s="3864"/>
      <c r="AC280" s="3864"/>
      <c r="AD280" s="3864"/>
      <c r="AE280" s="3864"/>
      <c r="AF280" s="3864"/>
      <c r="AG280" s="3864"/>
      <c r="AH280" s="3864"/>
      <c r="AI280" s="3864"/>
      <c r="AJ280" s="3864"/>
      <c r="AK280" s="3864"/>
      <c r="AL280" s="3864"/>
      <c r="AM280" s="3864"/>
      <c r="AN280" s="3864"/>
      <c r="AO280" s="3879"/>
      <c r="AP280" s="3879"/>
      <c r="AQ280" s="3881"/>
      <c r="AR280" s="2204"/>
      <c r="AS280" s="2204"/>
      <c r="AT280" s="2204"/>
      <c r="AU280" s="2204"/>
      <c r="AV280" s="2204"/>
      <c r="AW280" s="2204"/>
      <c r="AX280" s="2204"/>
      <c r="AY280" s="2204"/>
      <c r="AZ280" s="2204"/>
      <c r="BA280" s="2204"/>
      <c r="BB280" s="2204"/>
      <c r="BC280" s="2204"/>
      <c r="BD280" s="2204"/>
      <c r="BE280" s="2204"/>
      <c r="BF280" s="2204"/>
      <c r="BG280" s="2204"/>
      <c r="BH280" s="2204"/>
      <c r="BI280" s="2204"/>
      <c r="BJ280" s="2204"/>
      <c r="BK280" s="2204"/>
      <c r="BL280" s="2204"/>
      <c r="BM280" s="2204"/>
      <c r="BN280" s="2204"/>
      <c r="BO280" s="2204"/>
      <c r="BP280" s="2204"/>
      <c r="BQ280" s="2204"/>
      <c r="BR280" s="2204"/>
      <c r="BS280" s="2204"/>
      <c r="BT280" s="2204"/>
      <c r="BU280" s="2204"/>
      <c r="BV280" s="2204"/>
      <c r="BW280" s="2204"/>
      <c r="BX280" s="2204"/>
      <c r="BY280" s="2204"/>
      <c r="BZ280" s="2204"/>
      <c r="CA280" s="2204"/>
      <c r="CB280" s="2204"/>
      <c r="CC280" s="2204"/>
      <c r="CD280" s="2204"/>
      <c r="CE280" s="2204"/>
      <c r="CF280" s="2204"/>
      <c r="CG280" s="2204"/>
      <c r="CH280" s="2204"/>
      <c r="CI280" s="2204"/>
      <c r="CJ280" s="2204"/>
      <c r="CK280" s="2204"/>
      <c r="CL280" s="2204"/>
      <c r="CM280" s="2204"/>
      <c r="CN280" s="2204"/>
      <c r="CO280" s="2204"/>
      <c r="CP280" s="2204"/>
      <c r="CQ280" s="2204"/>
      <c r="CR280" s="2204"/>
      <c r="CS280" s="2204"/>
      <c r="CT280" s="2204"/>
      <c r="CU280" s="2204"/>
      <c r="CV280" s="2204"/>
      <c r="CW280" s="2204"/>
      <c r="CX280" s="2204"/>
      <c r="CY280" s="2204"/>
      <c r="CZ280" s="2204"/>
      <c r="DA280" s="2204"/>
      <c r="DB280" s="2204"/>
      <c r="DC280" s="2204"/>
      <c r="DD280" s="2204"/>
      <c r="DE280" s="2204"/>
      <c r="DF280" s="2204"/>
      <c r="DG280" s="2204"/>
      <c r="DH280" s="2204"/>
      <c r="DI280" s="2204"/>
      <c r="DJ280" s="2204"/>
      <c r="DK280" s="2204"/>
      <c r="DL280" s="2204"/>
      <c r="DM280" s="2204"/>
      <c r="DN280" s="2204"/>
      <c r="DO280" s="2204"/>
      <c r="DP280" s="2204"/>
      <c r="DQ280" s="2204"/>
      <c r="DR280" s="2204"/>
      <c r="DS280" s="2204"/>
      <c r="DT280" s="2204"/>
      <c r="DU280" s="2204"/>
      <c r="DV280" s="2204"/>
      <c r="DW280" s="2204"/>
      <c r="DX280" s="2204"/>
      <c r="DY280" s="2204"/>
      <c r="DZ280" s="2204"/>
      <c r="EA280" s="2204"/>
      <c r="EB280" s="2204"/>
      <c r="EC280" s="2204"/>
      <c r="ED280" s="2204"/>
      <c r="EE280" s="2204"/>
      <c r="EF280" s="2204"/>
      <c r="EG280" s="2204"/>
      <c r="EH280" s="2204"/>
      <c r="EI280" s="2204"/>
      <c r="EJ280" s="2204"/>
      <c r="EK280" s="2204"/>
      <c r="EL280" s="2204"/>
      <c r="EM280" s="2204"/>
      <c r="EN280" s="2204"/>
      <c r="EO280" s="2204"/>
      <c r="EP280" s="2204"/>
      <c r="EQ280" s="2204"/>
      <c r="ER280" s="2204"/>
      <c r="ES280" s="2204"/>
      <c r="ET280" s="2204"/>
      <c r="EU280" s="2204"/>
      <c r="EV280" s="2204"/>
      <c r="EW280" s="2204"/>
      <c r="EX280" s="2204"/>
      <c r="EY280" s="2204"/>
      <c r="EZ280" s="2204"/>
      <c r="FA280" s="2204"/>
      <c r="FB280" s="2204"/>
      <c r="FC280" s="2204"/>
      <c r="FD280" s="2204"/>
      <c r="FE280" s="2204"/>
      <c r="FF280" s="2204"/>
      <c r="FG280" s="2204"/>
      <c r="FH280" s="2204"/>
      <c r="FI280" s="2204"/>
      <c r="FJ280" s="2204"/>
      <c r="FK280" s="2204"/>
      <c r="FL280" s="2204"/>
      <c r="FM280" s="2204"/>
      <c r="FN280" s="2204"/>
      <c r="FO280" s="2204"/>
      <c r="FP280" s="2204"/>
      <c r="FQ280" s="2204"/>
      <c r="FR280" s="2204"/>
      <c r="FS280" s="2204"/>
      <c r="FT280" s="2204"/>
      <c r="FU280" s="2204"/>
      <c r="FV280" s="2204"/>
      <c r="FW280" s="2204"/>
      <c r="FX280" s="2204"/>
      <c r="FY280" s="2204"/>
      <c r="FZ280" s="2204"/>
      <c r="GA280" s="2204"/>
      <c r="GB280" s="2204"/>
      <c r="GC280" s="2204"/>
      <c r="GD280" s="2204"/>
      <c r="GE280" s="2204"/>
      <c r="GF280" s="2204"/>
      <c r="GG280" s="2204"/>
      <c r="GH280" s="2204"/>
      <c r="GI280" s="2204"/>
      <c r="GJ280" s="2204"/>
      <c r="GK280" s="2204"/>
      <c r="GL280" s="2204"/>
      <c r="GM280" s="2204"/>
      <c r="GN280" s="2204"/>
      <c r="GO280" s="2204"/>
      <c r="GP280" s="2204"/>
      <c r="GQ280" s="2204"/>
      <c r="GR280" s="2204"/>
      <c r="GS280" s="2204"/>
      <c r="GT280" s="2204"/>
      <c r="GU280" s="2204"/>
      <c r="GV280" s="2204"/>
      <c r="GW280" s="2204"/>
      <c r="GX280" s="2204"/>
      <c r="GY280" s="2204"/>
      <c r="GZ280" s="2204"/>
      <c r="HA280" s="2204"/>
      <c r="HB280" s="2204"/>
      <c r="HC280" s="2204"/>
      <c r="HD280" s="2204"/>
      <c r="HE280" s="2204"/>
      <c r="HF280" s="2204"/>
      <c r="HG280" s="2204"/>
      <c r="HH280" s="2204"/>
      <c r="HI280" s="2204"/>
      <c r="HJ280" s="2204"/>
      <c r="HK280" s="2204"/>
      <c r="HL280" s="2204"/>
      <c r="HM280" s="2204"/>
      <c r="HN280" s="2204"/>
      <c r="HO280" s="2204"/>
      <c r="HP280" s="2204"/>
      <c r="HQ280" s="2204"/>
      <c r="HR280" s="2204"/>
      <c r="HS280" s="2204"/>
      <c r="HT280" s="2204"/>
      <c r="HU280" s="2204"/>
      <c r="HV280" s="2204"/>
      <c r="HW280" s="2204"/>
      <c r="HX280" s="2204"/>
      <c r="HY280" s="2204"/>
      <c r="HZ280" s="2204"/>
      <c r="IA280" s="2204"/>
      <c r="IB280" s="2204"/>
      <c r="IC280" s="2204"/>
      <c r="ID280" s="2204"/>
      <c r="IE280" s="2204"/>
      <c r="IF280" s="2204"/>
      <c r="IG280" s="2204"/>
      <c r="IH280" s="2204"/>
      <c r="II280" s="2204"/>
      <c r="IJ280" s="2204"/>
      <c r="IK280" s="2204"/>
      <c r="IL280" s="2204"/>
      <c r="IM280" s="2204"/>
      <c r="IN280" s="2204"/>
      <c r="IO280" s="2204"/>
      <c r="IP280" s="2204"/>
      <c r="IQ280" s="2204"/>
      <c r="IR280" s="2204"/>
      <c r="IS280" s="2204"/>
      <c r="IT280" s="2204"/>
      <c r="IU280" s="2204"/>
      <c r="IV280" s="2204"/>
      <c r="IW280" s="2204"/>
      <c r="IX280" s="2204"/>
      <c r="IY280" s="2204"/>
      <c r="IZ280" s="2204"/>
      <c r="JA280" s="2204"/>
      <c r="JB280" s="2204"/>
      <c r="JC280" s="2204"/>
      <c r="JD280" s="2204"/>
      <c r="JE280" s="2204"/>
      <c r="JF280" s="2204"/>
      <c r="JG280" s="2204"/>
      <c r="JH280" s="2204"/>
      <c r="JI280" s="2204"/>
      <c r="JJ280" s="2204"/>
      <c r="JK280" s="2204"/>
      <c r="JL280" s="2204"/>
      <c r="JM280" s="2204"/>
      <c r="JN280" s="2204"/>
      <c r="JO280" s="2204"/>
      <c r="JP280" s="2204"/>
      <c r="JQ280" s="2204"/>
      <c r="JR280" s="2204"/>
      <c r="JS280" s="2204"/>
      <c r="JT280" s="2204"/>
      <c r="JU280" s="2204"/>
      <c r="JV280" s="2204"/>
      <c r="JW280" s="2204"/>
      <c r="JX280" s="2204"/>
      <c r="JY280" s="2204"/>
      <c r="JZ280" s="2204"/>
      <c r="KA280" s="2204"/>
      <c r="KB280" s="2204"/>
      <c r="KC280" s="2204"/>
      <c r="KD280" s="2204"/>
      <c r="KE280" s="2204"/>
      <c r="KF280" s="2204"/>
      <c r="KG280" s="2204"/>
      <c r="KH280" s="2204"/>
      <c r="KI280" s="2204"/>
      <c r="KJ280" s="2204"/>
      <c r="KK280" s="2204"/>
    </row>
    <row r="281" spans="1:297" s="2266" customFormat="1" ht="42.75" customHeight="1" x14ac:dyDescent="0.2">
      <c r="A281" s="2229"/>
      <c r="B281" s="2230"/>
      <c r="C281" s="2231"/>
      <c r="D281" s="2230"/>
      <c r="E281" s="2230"/>
      <c r="F281" s="2231"/>
      <c r="G281" s="2237"/>
      <c r="H281" s="2230"/>
      <c r="I281" s="2231"/>
      <c r="J281" s="3956"/>
      <c r="K281" s="3867"/>
      <c r="L281" s="3864"/>
      <c r="M281" s="3864"/>
      <c r="N281" s="3864"/>
      <c r="O281" s="3864"/>
      <c r="P281" s="3867"/>
      <c r="Q281" s="3918"/>
      <c r="R281" s="3884"/>
      <c r="S281" s="3867"/>
      <c r="T281" s="3867"/>
      <c r="U281" s="2287" t="s">
        <v>2383</v>
      </c>
      <c r="V281" s="2296">
        <v>53800000</v>
      </c>
      <c r="W281" s="2235">
        <v>61</v>
      </c>
      <c r="X281" s="3864"/>
      <c r="Y281" s="3864"/>
      <c r="Z281" s="3864"/>
      <c r="AA281" s="3864"/>
      <c r="AB281" s="3864"/>
      <c r="AC281" s="3864"/>
      <c r="AD281" s="3864"/>
      <c r="AE281" s="3864"/>
      <c r="AF281" s="3864"/>
      <c r="AG281" s="3864"/>
      <c r="AH281" s="3864"/>
      <c r="AI281" s="3864"/>
      <c r="AJ281" s="3864"/>
      <c r="AK281" s="3864"/>
      <c r="AL281" s="3864"/>
      <c r="AM281" s="3864"/>
      <c r="AN281" s="3864"/>
      <c r="AO281" s="3879"/>
      <c r="AP281" s="3879"/>
      <c r="AQ281" s="3881"/>
      <c r="AR281" s="2204"/>
      <c r="AS281" s="2204"/>
      <c r="AT281" s="2204"/>
      <c r="AU281" s="2204"/>
      <c r="AV281" s="2204"/>
      <c r="AW281" s="2204"/>
      <c r="AX281" s="2204"/>
      <c r="AY281" s="2204"/>
      <c r="AZ281" s="2204"/>
      <c r="BA281" s="2204"/>
      <c r="BB281" s="2204"/>
      <c r="BC281" s="2204"/>
      <c r="BD281" s="2204"/>
      <c r="BE281" s="2204"/>
      <c r="BF281" s="2204"/>
      <c r="BG281" s="2204"/>
      <c r="BH281" s="2204"/>
      <c r="BI281" s="2204"/>
      <c r="BJ281" s="2204"/>
      <c r="BK281" s="2204"/>
      <c r="BL281" s="2204"/>
      <c r="BM281" s="2204"/>
      <c r="BN281" s="2204"/>
      <c r="BO281" s="2204"/>
      <c r="BP281" s="2204"/>
      <c r="BQ281" s="2204"/>
      <c r="BR281" s="2204"/>
      <c r="BS281" s="2204"/>
      <c r="BT281" s="2204"/>
      <c r="BU281" s="2204"/>
      <c r="BV281" s="2204"/>
      <c r="BW281" s="2204"/>
      <c r="BX281" s="2204"/>
      <c r="BY281" s="2204"/>
      <c r="BZ281" s="2204"/>
      <c r="CA281" s="2204"/>
      <c r="CB281" s="2204"/>
      <c r="CC281" s="2204"/>
      <c r="CD281" s="2204"/>
      <c r="CE281" s="2204"/>
      <c r="CF281" s="2204"/>
      <c r="CG281" s="2204"/>
      <c r="CH281" s="2204"/>
      <c r="CI281" s="2204"/>
      <c r="CJ281" s="2204"/>
      <c r="CK281" s="2204"/>
      <c r="CL281" s="2204"/>
      <c r="CM281" s="2204"/>
      <c r="CN281" s="2204"/>
      <c r="CO281" s="2204"/>
      <c r="CP281" s="2204"/>
      <c r="CQ281" s="2204"/>
      <c r="CR281" s="2204"/>
      <c r="CS281" s="2204"/>
      <c r="CT281" s="2204"/>
      <c r="CU281" s="2204"/>
      <c r="CV281" s="2204"/>
      <c r="CW281" s="2204"/>
      <c r="CX281" s="2204"/>
      <c r="CY281" s="2204"/>
      <c r="CZ281" s="2204"/>
      <c r="DA281" s="2204"/>
      <c r="DB281" s="2204"/>
      <c r="DC281" s="2204"/>
      <c r="DD281" s="2204"/>
      <c r="DE281" s="2204"/>
      <c r="DF281" s="2204"/>
      <c r="DG281" s="2204"/>
      <c r="DH281" s="2204"/>
      <c r="DI281" s="2204"/>
      <c r="DJ281" s="2204"/>
      <c r="DK281" s="2204"/>
      <c r="DL281" s="2204"/>
      <c r="DM281" s="2204"/>
      <c r="DN281" s="2204"/>
      <c r="DO281" s="2204"/>
      <c r="DP281" s="2204"/>
      <c r="DQ281" s="2204"/>
      <c r="DR281" s="2204"/>
      <c r="DS281" s="2204"/>
      <c r="DT281" s="2204"/>
      <c r="DU281" s="2204"/>
      <c r="DV281" s="2204"/>
      <c r="DW281" s="2204"/>
      <c r="DX281" s="2204"/>
      <c r="DY281" s="2204"/>
      <c r="DZ281" s="2204"/>
      <c r="EA281" s="2204"/>
      <c r="EB281" s="2204"/>
      <c r="EC281" s="2204"/>
      <c r="ED281" s="2204"/>
      <c r="EE281" s="2204"/>
      <c r="EF281" s="2204"/>
      <c r="EG281" s="2204"/>
      <c r="EH281" s="2204"/>
      <c r="EI281" s="2204"/>
      <c r="EJ281" s="2204"/>
      <c r="EK281" s="2204"/>
      <c r="EL281" s="2204"/>
      <c r="EM281" s="2204"/>
      <c r="EN281" s="2204"/>
      <c r="EO281" s="2204"/>
      <c r="EP281" s="2204"/>
      <c r="EQ281" s="2204"/>
      <c r="ER281" s="2204"/>
      <c r="ES281" s="2204"/>
      <c r="ET281" s="2204"/>
      <c r="EU281" s="2204"/>
      <c r="EV281" s="2204"/>
      <c r="EW281" s="2204"/>
      <c r="EX281" s="2204"/>
      <c r="EY281" s="2204"/>
      <c r="EZ281" s="2204"/>
      <c r="FA281" s="2204"/>
      <c r="FB281" s="2204"/>
      <c r="FC281" s="2204"/>
      <c r="FD281" s="2204"/>
      <c r="FE281" s="2204"/>
      <c r="FF281" s="2204"/>
      <c r="FG281" s="2204"/>
      <c r="FH281" s="2204"/>
      <c r="FI281" s="2204"/>
      <c r="FJ281" s="2204"/>
      <c r="FK281" s="2204"/>
      <c r="FL281" s="2204"/>
      <c r="FM281" s="2204"/>
      <c r="FN281" s="2204"/>
      <c r="FO281" s="2204"/>
      <c r="FP281" s="2204"/>
      <c r="FQ281" s="2204"/>
      <c r="FR281" s="2204"/>
      <c r="FS281" s="2204"/>
      <c r="FT281" s="2204"/>
      <c r="FU281" s="2204"/>
      <c r="FV281" s="2204"/>
      <c r="FW281" s="2204"/>
      <c r="FX281" s="2204"/>
      <c r="FY281" s="2204"/>
      <c r="FZ281" s="2204"/>
      <c r="GA281" s="2204"/>
      <c r="GB281" s="2204"/>
      <c r="GC281" s="2204"/>
      <c r="GD281" s="2204"/>
      <c r="GE281" s="2204"/>
      <c r="GF281" s="2204"/>
      <c r="GG281" s="2204"/>
      <c r="GH281" s="2204"/>
      <c r="GI281" s="2204"/>
      <c r="GJ281" s="2204"/>
      <c r="GK281" s="2204"/>
      <c r="GL281" s="2204"/>
      <c r="GM281" s="2204"/>
      <c r="GN281" s="2204"/>
      <c r="GO281" s="2204"/>
      <c r="GP281" s="2204"/>
      <c r="GQ281" s="2204"/>
      <c r="GR281" s="2204"/>
      <c r="GS281" s="2204"/>
      <c r="GT281" s="2204"/>
      <c r="GU281" s="2204"/>
      <c r="GV281" s="2204"/>
      <c r="GW281" s="2204"/>
      <c r="GX281" s="2204"/>
      <c r="GY281" s="2204"/>
      <c r="GZ281" s="2204"/>
      <c r="HA281" s="2204"/>
      <c r="HB281" s="2204"/>
      <c r="HC281" s="2204"/>
      <c r="HD281" s="2204"/>
      <c r="HE281" s="2204"/>
      <c r="HF281" s="2204"/>
      <c r="HG281" s="2204"/>
      <c r="HH281" s="2204"/>
      <c r="HI281" s="2204"/>
      <c r="HJ281" s="2204"/>
      <c r="HK281" s="2204"/>
      <c r="HL281" s="2204"/>
      <c r="HM281" s="2204"/>
      <c r="HN281" s="2204"/>
      <c r="HO281" s="2204"/>
      <c r="HP281" s="2204"/>
      <c r="HQ281" s="2204"/>
      <c r="HR281" s="2204"/>
      <c r="HS281" s="2204"/>
      <c r="HT281" s="2204"/>
      <c r="HU281" s="2204"/>
      <c r="HV281" s="2204"/>
      <c r="HW281" s="2204"/>
      <c r="HX281" s="2204"/>
      <c r="HY281" s="2204"/>
      <c r="HZ281" s="2204"/>
      <c r="IA281" s="2204"/>
      <c r="IB281" s="2204"/>
      <c r="IC281" s="2204"/>
      <c r="ID281" s="2204"/>
      <c r="IE281" s="2204"/>
      <c r="IF281" s="2204"/>
      <c r="IG281" s="2204"/>
      <c r="IH281" s="2204"/>
      <c r="II281" s="2204"/>
      <c r="IJ281" s="2204"/>
      <c r="IK281" s="2204"/>
      <c r="IL281" s="2204"/>
      <c r="IM281" s="2204"/>
      <c r="IN281" s="2204"/>
      <c r="IO281" s="2204"/>
      <c r="IP281" s="2204"/>
      <c r="IQ281" s="2204"/>
      <c r="IR281" s="2204"/>
      <c r="IS281" s="2204"/>
      <c r="IT281" s="2204"/>
      <c r="IU281" s="2204"/>
      <c r="IV281" s="2204"/>
      <c r="IW281" s="2204"/>
      <c r="IX281" s="2204"/>
      <c r="IY281" s="2204"/>
      <c r="IZ281" s="2204"/>
      <c r="JA281" s="2204"/>
      <c r="JB281" s="2204"/>
      <c r="JC281" s="2204"/>
      <c r="JD281" s="2204"/>
      <c r="JE281" s="2204"/>
      <c r="JF281" s="2204"/>
      <c r="JG281" s="2204"/>
      <c r="JH281" s="2204"/>
      <c r="JI281" s="2204"/>
      <c r="JJ281" s="2204"/>
      <c r="JK281" s="2204"/>
      <c r="JL281" s="2204"/>
      <c r="JM281" s="2204"/>
      <c r="JN281" s="2204"/>
      <c r="JO281" s="2204"/>
      <c r="JP281" s="2204"/>
      <c r="JQ281" s="2204"/>
      <c r="JR281" s="2204"/>
      <c r="JS281" s="2204"/>
      <c r="JT281" s="2204"/>
      <c r="JU281" s="2204"/>
      <c r="JV281" s="2204"/>
      <c r="JW281" s="2204"/>
      <c r="JX281" s="2204"/>
      <c r="JY281" s="2204"/>
      <c r="JZ281" s="2204"/>
      <c r="KA281" s="2204"/>
      <c r="KB281" s="2204"/>
      <c r="KC281" s="2204"/>
      <c r="KD281" s="2204"/>
      <c r="KE281" s="2204"/>
      <c r="KF281" s="2204"/>
      <c r="KG281" s="2204"/>
      <c r="KH281" s="2204"/>
      <c r="KI281" s="2204"/>
      <c r="KJ281" s="2204"/>
      <c r="KK281" s="2204"/>
    </row>
    <row r="282" spans="1:297" s="2266" customFormat="1" ht="32.25" customHeight="1" x14ac:dyDescent="0.2">
      <c r="A282" s="2229"/>
      <c r="B282" s="2230"/>
      <c r="C282" s="2231"/>
      <c r="D282" s="2230"/>
      <c r="E282" s="2230"/>
      <c r="F282" s="2231"/>
      <c r="G282" s="2237"/>
      <c r="H282" s="2230"/>
      <c r="I282" s="2231"/>
      <c r="J282" s="3956"/>
      <c r="K282" s="3867"/>
      <c r="L282" s="3864"/>
      <c r="M282" s="3864"/>
      <c r="N282" s="3864"/>
      <c r="O282" s="3864"/>
      <c r="P282" s="3867"/>
      <c r="Q282" s="3918"/>
      <c r="R282" s="3884"/>
      <c r="S282" s="3867"/>
      <c r="T282" s="3867"/>
      <c r="U282" s="3964" t="s">
        <v>2384</v>
      </c>
      <c r="V282" s="2296">
        <f>30000000+18924714</f>
        <v>48924714</v>
      </c>
      <c r="W282" s="2235">
        <v>61</v>
      </c>
      <c r="X282" s="3864"/>
      <c r="Y282" s="3864"/>
      <c r="Z282" s="3864"/>
      <c r="AA282" s="3864"/>
      <c r="AB282" s="3864"/>
      <c r="AC282" s="3864"/>
      <c r="AD282" s="3864"/>
      <c r="AE282" s="3864"/>
      <c r="AF282" s="3864"/>
      <c r="AG282" s="3864"/>
      <c r="AH282" s="3864"/>
      <c r="AI282" s="3864"/>
      <c r="AJ282" s="3864"/>
      <c r="AK282" s="3864"/>
      <c r="AL282" s="3864"/>
      <c r="AM282" s="3864"/>
      <c r="AN282" s="3864"/>
      <c r="AO282" s="3879"/>
      <c r="AP282" s="3879"/>
      <c r="AQ282" s="3881"/>
      <c r="AR282" s="2204"/>
      <c r="AS282" s="2204"/>
      <c r="AT282" s="2204"/>
      <c r="AU282" s="2204"/>
      <c r="AV282" s="2204"/>
      <c r="AW282" s="2204"/>
      <c r="AX282" s="2204"/>
      <c r="AY282" s="2204"/>
      <c r="AZ282" s="2204"/>
      <c r="BA282" s="2204"/>
      <c r="BB282" s="2204"/>
      <c r="BC282" s="2204"/>
      <c r="BD282" s="2204"/>
      <c r="BE282" s="2204"/>
      <c r="BF282" s="2204"/>
      <c r="BG282" s="2204"/>
      <c r="BH282" s="2204"/>
      <c r="BI282" s="2204"/>
      <c r="BJ282" s="2204"/>
      <c r="BK282" s="2204"/>
      <c r="BL282" s="2204"/>
      <c r="BM282" s="2204"/>
      <c r="BN282" s="2204"/>
      <c r="BO282" s="2204"/>
      <c r="BP282" s="2204"/>
      <c r="BQ282" s="2204"/>
      <c r="BR282" s="2204"/>
      <c r="BS282" s="2204"/>
      <c r="BT282" s="2204"/>
      <c r="BU282" s="2204"/>
      <c r="BV282" s="2204"/>
      <c r="BW282" s="2204"/>
      <c r="BX282" s="2204"/>
      <c r="BY282" s="2204"/>
      <c r="BZ282" s="2204"/>
      <c r="CA282" s="2204"/>
      <c r="CB282" s="2204"/>
      <c r="CC282" s="2204"/>
      <c r="CD282" s="2204"/>
      <c r="CE282" s="2204"/>
      <c r="CF282" s="2204"/>
      <c r="CG282" s="2204"/>
      <c r="CH282" s="2204"/>
      <c r="CI282" s="2204"/>
      <c r="CJ282" s="2204"/>
      <c r="CK282" s="2204"/>
      <c r="CL282" s="2204"/>
      <c r="CM282" s="2204"/>
      <c r="CN282" s="2204"/>
      <c r="CO282" s="2204"/>
      <c r="CP282" s="2204"/>
      <c r="CQ282" s="2204"/>
      <c r="CR282" s="2204"/>
      <c r="CS282" s="2204"/>
      <c r="CT282" s="2204"/>
      <c r="CU282" s="2204"/>
      <c r="CV282" s="2204"/>
      <c r="CW282" s="2204"/>
      <c r="CX282" s="2204"/>
      <c r="CY282" s="2204"/>
      <c r="CZ282" s="2204"/>
      <c r="DA282" s="2204"/>
      <c r="DB282" s="2204"/>
      <c r="DC282" s="2204"/>
      <c r="DD282" s="2204"/>
      <c r="DE282" s="2204"/>
      <c r="DF282" s="2204"/>
      <c r="DG282" s="2204"/>
      <c r="DH282" s="2204"/>
      <c r="DI282" s="2204"/>
      <c r="DJ282" s="2204"/>
      <c r="DK282" s="2204"/>
      <c r="DL282" s="2204"/>
      <c r="DM282" s="2204"/>
      <c r="DN282" s="2204"/>
      <c r="DO282" s="2204"/>
      <c r="DP282" s="2204"/>
      <c r="DQ282" s="2204"/>
      <c r="DR282" s="2204"/>
      <c r="DS282" s="2204"/>
      <c r="DT282" s="2204"/>
      <c r="DU282" s="2204"/>
      <c r="DV282" s="2204"/>
      <c r="DW282" s="2204"/>
      <c r="DX282" s="2204"/>
      <c r="DY282" s="2204"/>
      <c r="DZ282" s="2204"/>
      <c r="EA282" s="2204"/>
      <c r="EB282" s="2204"/>
      <c r="EC282" s="2204"/>
      <c r="ED282" s="2204"/>
      <c r="EE282" s="2204"/>
      <c r="EF282" s="2204"/>
      <c r="EG282" s="2204"/>
      <c r="EH282" s="2204"/>
      <c r="EI282" s="2204"/>
      <c r="EJ282" s="2204"/>
      <c r="EK282" s="2204"/>
      <c r="EL282" s="2204"/>
      <c r="EM282" s="2204"/>
      <c r="EN282" s="2204"/>
      <c r="EO282" s="2204"/>
      <c r="EP282" s="2204"/>
      <c r="EQ282" s="2204"/>
      <c r="ER282" s="2204"/>
      <c r="ES282" s="2204"/>
      <c r="ET282" s="2204"/>
      <c r="EU282" s="2204"/>
      <c r="EV282" s="2204"/>
      <c r="EW282" s="2204"/>
      <c r="EX282" s="2204"/>
      <c r="EY282" s="2204"/>
      <c r="EZ282" s="2204"/>
      <c r="FA282" s="2204"/>
      <c r="FB282" s="2204"/>
      <c r="FC282" s="2204"/>
      <c r="FD282" s="2204"/>
      <c r="FE282" s="2204"/>
      <c r="FF282" s="2204"/>
      <c r="FG282" s="2204"/>
      <c r="FH282" s="2204"/>
      <c r="FI282" s="2204"/>
      <c r="FJ282" s="2204"/>
      <c r="FK282" s="2204"/>
      <c r="FL282" s="2204"/>
      <c r="FM282" s="2204"/>
      <c r="FN282" s="2204"/>
      <c r="FO282" s="2204"/>
      <c r="FP282" s="2204"/>
      <c r="FQ282" s="2204"/>
      <c r="FR282" s="2204"/>
      <c r="FS282" s="2204"/>
      <c r="FT282" s="2204"/>
      <c r="FU282" s="2204"/>
      <c r="FV282" s="2204"/>
      <c r="FW282" s="2204"/>
      <c r="FX282" s="2204"/>
      <c r="FY282" s="2204"/>
      <c r="FZ282" s="2204"/>
      <c r="GA282" s="2204"/>
      <c r="GB282" s="2204"/>
      <c r="GC282" s="2204"/>
      <c r="GD282" s="2204"/>
      <c r="GE282" s="2204"/>
      <c r="GF282" s="2204"/>
      <c r="GG282" s="2204"/>
      <c r="GH282" s="2204"/>
      <c r="GI282" s="2204"/>
      <c r="GJ282" s="2204"/>
      <c r="GK282" s="2204"/>
      <c r="GL282" s="2204"/>
      <c r="GM282" s="2204"/>
      <c r="GN282" s="2204"/>
      <c r="GO282" s="2204"/>
      <c r="GP282" s="2204"/>
      <c r="GQ282" s="2204"/>
      <c r="GR282" s="2204"/>
      <c r="GS282" s="2204"/>
      <c r="GT282" s="2204"/>
      <c r="GU282" s="2204"/>
      <c r="GV282" s="2204"/>
      <c r="GW282" s="2204"/>
      <c r="GX282" s="2204"/>
      <c r="GY282" s="2204"/>
      <c r="GZ282" s="2204"/>
      <c r="HA282" s="2204"/>
      <c r="HB282" s="2204"/>
      <c r="HC282" s="2204"/>
      <c r="HD282" s="2204"/>
      <c r="HE282" s="2204"/>
      <c r="HF282" s="2204"/>
      <c r="HG282" s="2204"/>
      <c r="HH282" s="2204"/>
      <c r="HI282" s="2204"/>
      <c r="HJ282" s="2204"/>
      <c r="HK282" s="2204"/>
      <c r="HL282" s="2204"/>
      <c r="HM282" s="2204"/>
      <c r="HN282" s="2204"/>
      <c r="HO282" s="2204"/>
      <c r="HP282" s="2204"/>
      <c r="HQ282" s="2204"/>
      <c r="HR282" s="2204"/>
      <c r="HS282" s="2204"/>
      <c r="HT282" s="2204"/>
      <c r="HU282" s="2204"/>
      <c r="HV282" s="2204"/>
      <c r="HW282" s="2204"/>
      <c r="HX282" s="2204"/>
      <c r="HY282" s="2204"/>
      <c r="HZ282" s="2204"/>
      <c r="IA282" s="2204"/>
      <c r="IB282" s="2204"/>
      <c r="IC282" s="2204"/>
      <c r="ID282" s="2204"/>
      <c r="IE282" s="2204"/>
      <c r="IF282" s="2204"/>
      <c r="IG282" s="2204"/>
      <c r="IH282" s="2204"/>
      <c r="II282" s="2204"/>
      <c r="IJ282" s="2204"/>
      <c r="IK282" s="2204"/>
      <c r="IL282" s="2204"/>
      <c r="IM282" s="2204"/>
      <c r="IN282" s="2204"/>
      <c r="IO282" s="2204"/>
      <c r="IP282" s="2204"/>
      <c r="IQ282" s="2204"/>
      <c r="IR282" s="2204"/>
      <c r="IS282" s="2204"/>
      <c r="IT282" s="2204"/>
      <c r="IU282" s="2204"/>
      <c r="IV282" s="2204"/>
      <c r="IW282" s="2204"/>
      <c r="IX282" s="2204"/>
      <c r="IY282" s="2204"/>
      <c r="IZ282" s="2204"/>
      <c r="JA282" s="2204"/>
      <c r="JB282" s="2204"/>
      <c r="JC282" s="2204"/>
      <c r="JD282" s="2204"/>
      <c r="JE282" s="2204"/>
      <c r="JF282" s="2204"/>
      <c r="JG282" s="2204"/>
      <c r="JH282" s="2204"/>
      <c r="JI282" s="2204"/>
      <c r="JJ282" s="2204"/>
      <c r="JK282" s="2204"/>
      <c r="JL282" s="2204"/>
      <c r="JM282" s="2204"/>
      <c r="JN282" s="2204"/>
      <c r="JO282" s="2204"/>
      <c r="JP282" s="2204"/>
      <c r="JQ282" s="2204"/>
      <c r="JR282" s="2204"/>
      <c r="JS282" s="2204"/>
      <c r="JT282" s="2204"/>
      <c r="JU282" s="2204"/>
      <c r="JV282" s="2204"/>
      <c r="JW282" s="2204"/>
      <c r="JX282" s="2204"/>
      <c r="JY282" s="2204"/>
      <c r="JZ282" s="2204"/>
      <c r="KA282" s="2204"/>
      <c r="KB282" s="2204"/>
      <c r="KC282" s="2204"/>
      <c r="KD282" s="2204"/>
      <c r="KE282" s="2204"/>
      <c r="KF282" s="2204"/>
      <c r="KG282" s="2204"/>
      <c r="KH282" s="2204"/>
      <c r="KI282" s="2204"/>
      <c r="KJ282" s="2204"/>
      <c r="KK282" s="2204"/>
    </row>
    <row r="283" spans="1:297" s="2266" customFormat="1" ht="32.25" customHeight="1" x14ac:dyDescent="0.2">
      <c r="A283" s="2230"/>
      <c r="B283" s="2230"/>
      <c r="C283" s="2231"/>
      <c r="D283" s="2230"/>
      <c r="E283" s="2230"/>
      <c r="F283" s="2231"/>
      <c r="G283" s="2237"/>
      <c r="H283" s="2230"/>
      <c r="I283" s="2231"/>
      <c r="J283" s="3956"/>
      <c r="K283" s="3867"/>
      <c r="L283" s="3864"/>
      <c r="M283" s="3864"/>
      <c r="N283" s="3864"/>
      <c r="O283" s="3864"/>
      <c r="P283" s="3867"/>
      <c r="Q283" s="3918"/>
      <c r="R283" s="3884"/>
      <c r="S283" s="3867"/>
      <c r="T283" s="3867"/>
      <c r="U283" s="3966"/>
      <c r="V283" s="2296">
        <f>5915987+20000000</f>
        <v>25915987</v>
      </c>
      <c r="W283" s="2235">
        <v>98</v>
      </c>
      <c r="X283" s="3864"/>
      <c r="Y283" s="3864"/>
      <c r="Z283" s="3864"/>
      <c r="AA283" s="3864"/>
      <c r="AB283" s="3864"/>
      <c r="AC283" s="3864"/>
      <c r="AD283" s="3864"/>
      <c r="AE283" s="3864"/>
      <c r="AF283" s="3864"/>
      <c r="AG283" s="3864"/>
      <c r="AH283" s="3864"/>
      <c r="AI283" s="3864"/>
      <c r="AJ283" s="3864"/>
      <c r="AK283" s="3864"/>
      <c r="AL283" s="3864"/>
      <c r="AM283" s="3864"/>
      <c r="AN283" s="3864"/>
      <c r="AO283" s="3879"/>
      <c r="AP283" s="3879"/>
      <c r="AQ283" s="3881"/>
      <c r="AR283" s="2204"/>
      <c r="AS283" s="2204"/>
      <c r="AT283" s="2204"/>
      <c r="AU283" s="2204"/>
      <c r="AV283" s="2204"/>
      <c r="AW283" s="2204"/>
      <c r="AX283" s="2204"/>
      <c r="AY283" s="2204"/>
      <c r="AZ283" s="2204"/>
      <c r="BA283" s="2204"/>
      <c r="BB283" s="2204"/>
      <c r="BC283" s="2204"/>
      <c r="BD283" s="2204"/>
      <c r="BE283" s="2204"/>
      <c r="BF283" s="2204"/>
      <c r="BG283" s="2204"/>
      <c r="BH283" s="2204"/>
      <c r="BI283" s="2204"/>
      <c r="BJ283" s="2204"/>
      <c r="BK283" s="2204"/>
      <c r="BL283" s="2204"/>
      <c r="BM283" s="2204"/>
      <c r="BN283" s="2204"/>
      <c r="BO283" s="2204"/>
      <c r="BP283" s="2204"/>
      <c r="BQ283" s="2204"/>
      <c r="BR283" s="2204"/>
      <c r="BS283" s="2204"/>
      <c r="BT283" s="2204"/>
      <c r="BU283" s="2204"/>
      <c r="BV283" s="2204"/>
      <c r="BW283" s="2204"/>
      <c r="BX283" s="2204"/>
      <c r="BY283" s="2204"/>
      <c r="BZ283" s="2204"/>
      <c r="CA283" s="2204"/>
      <c r="CB283" s="2204"/>
      <c r="CC283" s="2204"/>
      <c r="CD283" s="2204"/>
      <c r="CE283" s="2204"/>
      <c r="CF283" s="2204"/>
      <c r="CG283" s="2204"/>
      <c r="CH283" s="2204"/>
      <c r="CI283" s="2204"/>
      <c r="CJ283" s="2204"/>
      <c r="CK283" s="2204"/>
      <c r="CL283" s="2204"/>
      <c r="CM283" s="2204"/>
      <c r="CN283" s="2204"/>
      <c r="CO283" s="2204"/>
      <c r="CP283" s="2204"/>
      <c r="CQ283" s="2204"/>
      <c r="CR283" s="2204"/>
      <c r="CS283" s="2204"/>
      <c r="CT283" s="2204"/>
      <c r="CU283" s="2204"/>
      <c r="CV283" s="2204"/>
      <c r="CW283" s="2204"/>
      <c r="CX283" s="2204"/>
      <c r="CY283" s="2204"/>
      <c r="CZ283" s="2204"/>
      <c r="DA283" s="2204"/>
      <c r="DB283" s="2204"/>
      <c r="DC283" s="2204"/>
      <c r="DD283" s="2204"/>
      <c r="DE283" s="2204"/>
      <c r="DF283" s="2204"/>
      <c r="DG283" s="2204"/>
      <c r="DH283" s="2204"/>
      <c r="DI283" s="2204"/>
      <c r="DJ283" s="2204"/>
      <c r="DK283" s="2204"/>
      <c r="DL283" s="2204"/>
      <c r="DM283" s="2204"/>
      <c r="DN283" s="2204"/>
      <c r="DO283" s="2204"/>
      <c r="DP283" s="2204"/>
      <c r="DQ283" s="2204"/>
      <c r="DR283" s="2204"/>
      <c r="DS283" s="2204"/>
      <c r="DT283" s="2204"/>
      <c r="DU283" s="2204"/>
      <c r="DV283" s="2204"/>
      <c r="DW283" s="2204"/>
      <c r="DX283" s="2204"/>
      <c r="DY283" s="2204"/>
      <c r="DZ283" s="2204"/>
      <c r="EA283" s="2204"/>
      <c r="EB283" s="2204"/>
      <c r="EC283" s="2204"/>
      <c r="ED283" s="2204"/>
      <c r="EE283" s="2204"/>
      <c r="EF283" s="2204"/>
      <c r="EG283" s="2204"/>
      <c r="EH283" s="2204"/>
      <c r="EI283" s="2204"/>
      <c r="EJ283" s="2204"/>
      <c r="EK283" s="2204"/>
      <c r="EL283" s="2204"/>
      <c r="EM283" s="2204"/>
      <c r="EN283" s="2204"/>
      <c r="EO283" s="2204"/>
      <c r="EP283" s="2204"/>
      <c r="EQ283" s="2204"/>
      <c r="ER283" s="2204"/>
      <c r="ES283" s="2204"/>
      <c r="ET283" s="2204"/>
      <c r="EU283" s="2204"/>
      <c r="EV283" s="2204"/>
      <c r="EW283" s="2204"/>
      <c r="EX283" s="2204"/>
      <c r="EY283" s="2204"/>
      <c r="EZ283" s="2204"/>
      <c r="FA283" s="2204"/>
      <c r="FB283" s="2204"/>
      <c r="FC283" s="2204"/>
      <c r="FD283" s="2204"/>
      <c r="FE283" s="2204"/>
      <c r="FF283" s="2204"/>
      <c r="FG283" s="2204"/>
      <c r="FH283" s="2204"/>
      <c r="FI283" s="2204"/>
      <c r="FJ283" s="2204"/>
      <c r="FK283" s="2204"/>
      <c r="FL283" s="2204"/>
      <c r="FM283" s="2204"/>
      <c r="FN283" s="2204"/>
      <c r="FO283" s="2204"/>
      <c r="FP283" s="2204"/>
      <c r="FQ283" s="2204"/>
      <c r="FR283" s="2204"/>
      <c r="FS283" s="2204"/>
      <c r="FT283" s="2204"/>
      <c r="FU283" s="2204"/>
      <c r="FV283" s="2204"/>
      <c r="FW283" s="2204"/>
      <c r="FX283" s="2204"/>
      <c r="FY283" s="2204"/>
      <c r="FZ283" s="2204"/>
      <c r="GA283" s="2204"/>
      <c r="GB283" s="2204"/>
      <c r="GC283" s="2204"/>
      <c r="GD283" s="2204"/>
      <c r="GE283" s="2204"/>
      <c r="GF283" s="2204"/>
      <c r="GG283" s="2204"/>
      <c r="GH283" s="2204"/>
      <c r="GI283" s="2204"/>
      <c r="GJ283" s="2204"/>
      <c r="GK283" s="2204"/>
      <c r="GL283" s="2204"/>
      <c r="GM283" s="2204"/>
      <c r="GN283" s="2204"/>
      <c r="GO283" s="2204"/>
      <c r="GP283" s="2204"/>
      <c r="GQ283" s="2204"/>
      <c r="GR283" s="2204"/>
      <c r="GS283" s="2204"/>
      <c r="GT283" s="2204"/>
      <c r="GU283" s="2204"/>
      <c r="GV283" s="2204"/>
      <c r="GW283" s="2204"/>
      <c r="GX283" s="2204"/>
      <c r="GY283" s="2204"/>
      <c r="GZ283" s="2204"/>
      <c r="HA283" s="2204"/>
      <c r="HB283" s="2204"/>
      <c r="HC283" s="2204"/>
      <c r="HD283" s="2204"/>
      <c r="HE283" s="2204"/>
      <c r="HF283" s="2204"/>
      <c r="HG283" s="2204"/>
      <c r="HH283" s="2204"/>
      <c r="HI283" s="2204"/>
      <c r="HJ283" s="2204"/>
      <c r="HK283" s="2204"/>
      <c r="HL283" s="2204"/>
      <c r="HM283" s="2204"/>
      <c r="HN283" s="2204"/>
      <c r="HO283" s="2204"/>
      <c r="HP283" s="2204"/>
      <c r="HQ283" s="2204"/>
      <c r="HR283" s="2204"/>
      <c r="HS283" s="2204"/>
      <c r="HT283" s="2204"/>
      <c r="HU283" s="2204"/>
      <c r="HV283" s="2204"/>
      <c r="HW283" s="2204"/>
      <c r="HX283" s="2204"/>
      <c r="HY283" s="2204"/>
      <c r="HZ283" s="2204"/>
      <c r="IA283" s="2204"/>
      <c r="IB283" s="2204"/>
      <c r="IC283" s="2204"/>
      <c r="ID283" s="2204"/>
      <c r="IE283" s="2204"/>
      <c r="IF283" s="2204"/>
      <c r="IG283" s="2204"/>
      <c r="IH283" s="2204"/>
      <c r="II283" s="2204"/>
      <c r="IJ283" s="2204"/>
      <c r="IK283" s="2204"/>
      <c r="IL283" s="2204"/>
      <c r="IM283" s="2204"/>
      <c r="IN283" s="2204"/>
      <c r="IO283" s="2204"/>
      <c r="IP283" s="2204"/>
      <c r="IQ283" s="2204"/>
      <c r="IR283" s="2204"/>
      <c r="IS283" s="2204"/>
      <c r="IT283" s="2204"/>
      <c r="IU283" s="2204"/>
      <c r="IV283" s="2204"/>
      <c r="IW283" s="2204"/>
      <c r="IX283" s="2204"/>
      <c r="IY283" s="2204"/>
      <c r="IZ283" s="2204"/>
      <c r="JA283" s="2204"/>
      <c r="JB283" s="2204"/>
      <c r="JC283" s="2204"/>
      <c r="JD283" s="2204"/>
      <c r="JE283" s="2204"/>
      <c r="JF283" s="2204"/>
      <c r="JG283" s="2204"/>
      <c r="JH283" s="2204"/>
      <c r="JI283" s="2204"/>
      <c r="JJ283" s="2204"/>
      <c r="JK283" s="2204"/>
      <c r="JL283" s="2204"/>
      <c r="JM283" s="2204"/>
      <c r="JN283" s="2204"/>
      <c r="JO283" s="2204"/>
      <c r="JP283" s="2204"/>
      <c r="JQ283" s="2204"/>
      <c r="JR283" s="2204"/>
      <c r="JS283" s="2204"/>
      <c r="JT283" s="2204"/>
      <c r="JU283" s="2204"/>
      <c r="JV283" s="2204"/>
      <c r="JW283" s="2204"/>
      <c r="JX283" s="2204"/>
      <c r="JY283" s="2204"/>
      <c r="JZ283" s="2204"/>
      <c r="KA283" s="2204"/>
      <c r="KB283" s="2204"/>
      <c r="KC283" s="2204"/>
      <c r="KD283" s="2204"/>
      <c r="KE283" s="2204"/>
      <c r="KF283" s="2204"/>
      <c r="KG283" s="2204"/>
      <c r="KH283" s="2204"/>
      <c r="KI283" s="2204"/>
      <c r="KJ283" s="2204"/>
      <c r="KK283" s="2204"/>
    </row>
    <row r="284" spans="1:297" s="2266" customFormat="1" ht="49.5" customHeight="1" x14ac:dyDescent="0.2">
      <c r="A284" s="2229"/>
      <c r="B284" s="2230"/>
      <c r="C284" s="2231"/>
      <c r="D284" s="2230"/>
      <c r="E284" s="2230"/>
      <c r="F284" s="2231"/>
      <c r="G284" s="2237"/>
      <c r="H284" s="2230"/>
      <c r="I284" s="2231"/>
      <c r="J284" s="3956"/>
      <c r="K284" s="3867"/>
      <c r="L284" s="3864"/>
      <c r="M284" s="3864"/>
      <c r="N284" s="3864"/>
      <c r="O284" s="3864"/>
      <c r="P284" s="3867"/>
      <c r="Q284" s="3918"/>
      <c r="R284" s="3884"/>
      <c r="S284" s="3867"/>
      <c r="T284" s="3867"/>
      <c r="U284" s="2287" t="s">
        <v>2385</v>
      </c>
      <c r="V284" s="2296">
        <f>10000000+18924714</f>
        <v>28924714</v>
      </c>
      <c r="W284" s="2235">
        <v>61</v>
      </c>
      <c r="X284" s="3864"/>
      <c r="Y284" s="3864"/>
      <c r="Z284" s="3864"/>
      <c r="AA284" s="3864"/>
      <c r="AB284" s="3864"/>
      <c r="AC284" s="3864"/>
      <c r="AD284" s="3864"/>
      <c r="AE284" s="3864"/>
      <c r="AF284" s="3864"/>
      <c r="AG284" s="3864"/>
      <c r="AH284" s="3864"/>
      <c r="AI284" s="3864"/>
      <c r="AJ284" s="3864"/>
      <c r="AK284" s="3864"/>
      <c r="AL284" s="3864"/>
      <c r="AM284" s="3864"/>
      <c r="AN284" s="3864"/>
      <c r="AO284" s="3879"/>
      <c r="AP284" s="3879"/>
      <c r="AQ284" s="3881"/>
      <c r="AR284" s="2204"/>
      <c r="AS284" s="2204"/>
      <c r="AT284" s="2204"/>
      <c r="AU284" s="2204"/>
      <c r="AV284" s="2204"/>
      <c r="AW284" s="2204"/>
      <c r="AX284" s="2204"/>
      <c r="AY284" s="2204"/>
      <c r="AZ284" s="2204"/>
      <c r="BA284" s="2204"/>
      <c r="BB284" s="2204"/>
      <c r="BC284" s="2204"/>
      <c r="BD284" s="2204"/>
      <c r="BE284" s="2204"/>
      <c r="BF284" s="2204"/>
      <c r="BG284" s="2204"/>
      <c r="BH284" s="2204"/>
      <c r="BI284" s="2204"/>
      <c r="BJ284" s="2204"/>
      <c r="BK284" s="2204"/>
      <c r="BL284" s="2204"/>
      <c r="BM284" s="2204"/>
      <c r="BN284" s="2204"/>
      <c r="BO284" s="2204"/>
      <c r="BP284" s="2204"/>
      <c r="BQ284" s="2204"/>
      <c r="BR284" s="2204"/>
      <c r="BS284" s="2204"/>
      <c r="BT284" s="2204"/>
      <c r="BU284" s="2204"/>
      <c r="BV284" s="2204"/>
      <c r="BW284" s="2204"/>
      <c r="BX284" s="2204"/>
      <c r="BY284" s="2204"/>
      <c r="BZ284" s="2204"/>
      <c r="CA284" s="2204"/>
      <c r="CB284" s="2204"/>
      <c r="CC284" s="2204"/>
      <c r="CD284" s="2204"/>
      <c r="CE284" s="2204"/>
      <c r="CF284" s="2204"/>
      <c r="CG284" s="2204"/>
      <c r="CH284" s="2204"/>
      <c r="CI284" s="2204"/>
      <c r="CJ284" s="2204"/>
      <c r="CK284" s="2204"/>
      <c r="CL284" s="2204"/>
      <c r="CM284" s="2204"/>
      <c r="CN284" s="2204"/>
      <c r="CO284" s="2204"/>
      <c r="CP284" s="2204"/>
      <c r="CQ284" s="2204"/>
      <c r="CR284" s="2204"/>
      <c r="CS284" s="2204"/>
      <c r="CT284" s="2204"/>
      <c r="CU284" s="2204"/>
      <c r="CV284" s="2204"/>
      <c r="CW284" s="2204"/>
      <c r="CX284" s="2204"/>
      <c r="CY284" s="2204"/>
      <c r="CZ284" s="2204"/>
      <c r="DA284" s="2204"/>
      <c r="DB284" s="2204"/>
      <c r="DC284" s="2204"/>
      <c r="DD284" s="2204"/>
      <c r="DE284" s="2204"/>
      <c r="DF284" s="2204"/>
      <c r="DG284" s="2204"/>
      <c r="DH284" s="2204"/>
      <c r="DI284" s="2204"/>
      <c r="DJ284" s="2204"/>
      <c r="DK284" s="2204"/>
      <c r="DL284" s="2204"/>
      <c r="DM284" s="2204"/>
      <c r="DN284" s="2204"/>
      <c r="DO284" s="2204"/>
      <c r="DP284" s="2204"/>
      <c r="DQ284" s="2204"/>
      <c r="DR284" s="2204"/>
      <c r="DS284" s="2204"/>
      <c r="DT284" s="2204"/>
      <c r="DU284" s="2204"/>
      <c r="DV284" s="2204"/>
      <c r="DW284" s="2204"/>
      <c r="DX284" s="2204"/>
      <c r="DY284" s="2204"/>
      <c r="DZ284" s="2204"/>
      <c r="EA284" s="2204"/>
      <c r="EB284" s="2204"/>
      <c r="EC284" s="2204"/>
      <c r="ED284" s="2204"/>
      <c r="EE284" s="2204"/>
      <c r="EF284" s="2204"/>
      <c r="EG284" s="2204"/>
      <c r="EH284" s="2204"/>
      <c r="EI284" s="2204"/>
      <c r="EJ284" s="2204"/>
      <c r="EK284" s="2204"/>
      <c r="EL284" s="2204"/>
      <c r="EM284" s="2204"/>
      <c r="EN284" s="2204"/>
      <c r="EO284" s="2204"/>
      <c r="EP284" s="2204"/>
      <c r="EQ284" s="2204"/>
      <c r="ER284" s="2204"/>
      <c r="ES284" s="2204"/>
      <c r="ET284" s="2204"/>
      <c r="EU284" s="2204"/>
      <c r="EV284" s="2204"/>
      <c r="EW284" s="2204"/>
      <c r="EX284" s="2204"/>
      <c r="EY284" s="2204"/>
      <c r="EZ284" s="2204"/>
      <c r="FA284" s="2204"/>
      <c r="FB284" s="2204"/>
      <c r="FC284" s="2204"/>
      <c r="FD284" s="2204"/>
      <c r="FE284" s="2204"/>
      <c r="FF284" s="2204"/>
      <c r="FG284" s="2204"/>
      <c r="FH284" s="2204"/>
      <c r="FI284" s="2204"/>
      <c r="FJ284" s="2204"/>
      <c r="FK284" s="2204"/>
      <c r="FL284" s="2204"/>
      <c r="FM284" s="2204"/>
      <c r="FN284" s="2204"/>
      <c r="FO284" s="2204"/>
      <c r="FP284" s="2204"/>
      <c r="FQ284" s="2204"/>
      <c r="FR284" s="2204"/>
      <c r="FS284" s="2204"/>
      <c r="FT284" s="2204"/>
      <c r="FU284" s="2204"/>
      <c r="FV284" s="2204"/>
      <c r="FW284" s="2204"/>
      <c r="FX284" s="2204"/>
      <c r="FY284" s="2204"/>
      <c r="FZ284" s="2204"/>
      <c r="GA284" s="2204"/>
      <c r="GB284" s="2204"/>
      <c r="GC284" s="2204"/>
      <c r="GD284" s="2204"/>
      <c r="GE284" s="2204"/>
      <c r="GF284" s="2204"/>
      <c r="GG284" s="2204"/>
      <c r="GH284" s="2204"/>
      <c r="GI284" s="2204"/>
      <c r="GJ284" s="2204"/>
      <c r="GK284" s="2204"/>
      <c r="GL284" s="2204"/>
      <c r="GM284" s="2204"/>
      <c r="GN284" s="2204"/>
      <c r="GO284" s="2204"/>
      <c r="GP284" s="2204"/>
      <c r="GQ284" s="2204"/>
      <c r="GR284" s="2204"/>
      <c r="GS284" s="2204"/>
      <c r="GT284" s="2204"/>
      <c r="GU284" s="2204"/>
      <c r="GV284" s="2204"/>
      <c r="GW284" s="2204"/>
      <c r="GX284" s="2204"/>
      <c r="GY284" s="2204"/>
      <c r="GZ284" s="2204"/>
      <c r="HA284" s="2204"/>
      <c r="HB284" s="2204"/>
      <c r="HC284" s="2204"/>
      <c r="HD284" s="2204"/>
      <c r="HE284" s="2204"/>
      <c r="HF284" s="2204"/>
      <c r="HG284" s="2204"/>
      <c r="HH284" s="2204"/>
      <c r="HI284" s="2204"/>
      <c r="HJ284" s="2204"/>
      <c r="HK284" s="2204"/>
      <c r="HL284" s="2204"/>
      <c r="HM284" s="2204"/>
      <c r="HN284" s="2204"/>
      <c r="HO284" s="2204"/>
      <c r="HP284" s="2204"/>
      <c r="HQ284" s="2204"/>
      <c r="HR284" s="2204"/>
      <c r="HS284" s="2204"/>
      <c r="HT284" s="2204"/>
      <c r="HU284" s="2204"/>
      <c r="HV284" s="2204"/>
      <c r="HW284" s="2204"/>
      <c r="HX284" s="2204"/>
      <c r="HY284" s="2204"/>
      <c r="HZ284" s="2204"/>
      <c r="IA284" s="2204"/>
      <c r="IB284" s="2204"/>
      <c r="IC284" s="2204"/>
      <c r="ID284" s="2204"/>
      <c r="IE284" s="2204"/>
      <c r="IF284" s="2204"/>
      <c r="IG284" s="2204"/>
      <c r="IH284" s="2204"/>
      <c r="II284" s="2204"/>
      <c r="IJ284" s="2204"/>
      <c r="IK284" s="2204"/>
      <c r="IL284" s="2204"/>
      <c r="IM284" s="2204"/>
      <c r="IN284" s="2204"/>
      <c r="IO284" s="2204"/>
      <c r="IP284" s="2204"/>
      <c r="IQ284" s="2204"/>
      <c r="IR284" s="2204"/>
      <c r="IS284" s="2204"/>
      <c r="IT284" s="2204"/>
      <c r="IU284" s="2204"/>
      <c r="IV284" s="2204"/>
      <c r="IW284" s="2204"/>
      <c r="IX284" s="2204"/>
      <c r="IY284" s="2204"/>
      <c r="IZ284" s="2204"/>
      <c r="JA284" s="2204"/>
      <c r="JB284" s="2204"/>
      <c r="JC284" s="2204"/>
      <c r="JD284" s="2204"/>
      <c r="JE284" s="2204"/>
      <c r="JF284" s="2204"/>
      <c r="JG284" s="2204"/>
      <c r="JH284" s="2204"/>
      <c r="JI284" s="2204"/>
      <c r="JJ284" s="2204"/>
      <c r="JK284" s="2204"/>
      <c r="JL284" s="2204"/>
      <c r="JM284" s="2204"/>
      <c r="JN284" s="2204"/>
      <c r="JO284" s="2204"/>
      <c r="JP284" s="2204"/>
      <c r="JQ284" s="2204"/>
      <c r="JR284" s="2204"/>
      <c r="JS284" s="2204"/>
      <c r="JT284" s="2204"/>
      <c r="JU284" s="2204"/>
      <c r="JV284" s="2204"/>
      <c r="JW284" s="2204"/>
      <c r="JX284" s="2204"/>
      <c r="JY284" s="2204"/>
      <c r="JZ284" s="2204"/>
      <c r="KA284" s="2204"/>
      <c r="KB284" s="2204"/>
      <c r="KC284" s="2204"/>
      <c r="KD284" s="2204"/>
      <c r="KE284" s="2204"/>
      <c r="KF284" s="2204"/>
      <c r="KG284" s="2204"/>
      <c r="KH284" s="2204"/>
      <c r="KI284" s="2204"/>
      <c r="KJ284" s="2204"/>
      <c r="KK284" s="2204"/>
    </row>
    <row r="285" spans="1:297" s="2266" customFormat="1" ht="80.25" customHeight="1" x14ac:dyDescent="0.2">
      <c r="A285" s="2229"/>
      <c r="B285" s="2230"/>
      <c r="C285" s="2231"/>
      <c r="D285" s="2239"/>
      <c r="E285" s="2239"/>
      <c r="F285" s="2240"/>
      <c r="G285" s="2241"/>
      <c r="H285" s="2239"/>
      <c r="I285" s="2240"/>
      <c r="J285" s="3956"/>
      <c r="K285" s="3867"/>
      <c r="L285" s="3864"/>
      <c r="M285" s="3864"/>
      <c r="N285" s="3864"/>
      <c r="O285" s="3864"/>
      <c r="P285" s="3867"/>
      <c r="Q285" s="3918"/>
      <c r="R285" s="3884"/>
      <c r="S285" s="3867"/>
      <c r="T285" s="3867"/>
      <c r="U285" s="2287" t="s">
        <v>2386</v>
      </c>
      <c r="V285" s="2296">
        <v>30000000</v>
      </c>
      <c r="W285" s="2235">
        <v>61</v>
      </c>
      <c r="X285" s="3865"/>
      <c r="Y285" s="3864"/>
      <c r="Z285" s="3864"/>
      <c r="AA285" s="3864"/>
      <c r="AB285" s="3864"/>
      <c r="AC285" s="3864"/>
      <c r="AD285" s="3864"/>
      <c r="AE285" s="3864"/>
      <c r="AF285" s="3864"/>
      <c r="AG285" s="3864"/>
      <c r="AH285" s="3864"/>
      <c r="AI285" s="3864"/>
      <c r="AJ285" s="3864"/>
      <c r="AK285" s="3864"/>
      <c r="AL285" s="3864"/>
      <c r="AM285" s="3864"/>
      <c r="AN285" s="3864"/>
      <c r="AO285" s="3879"/>
      <c r="AP285" s="3879"/>
      <c r="AQ285" s="3881"/>
      <c r="AR285" s="2204"/>
      <c r="AS285" s="2204"/>
      <c r="AT285" s="2204"/>
      <c r="AU285" s="2204"/>
      <c r="AV285" s="2204"/>
      <c r="AW285" s="2204"/>
      <c r="AX285" s="2204"/>
      <c r="AY285" s="2204"/>
      <c r="AZ285" s="2204"/>
      <c r="BA285" s="2204"/>
      <c r="BB285" s="2204"/>
      <c r="BC285" s="2204"/>
      <c r="BD285" s="2204"/>
      <c r="BE285" s="2204"/>
      <c r="BF285" s="2204"/>
      <c r="BG285" s="2204"/>
      <c r="BH285" s="2204"/>
      <c r="BI285" s="2204"/>
      <c r="BJ285" s="2204"/>
      <c r="BK285" s="2204"/>
      <c r="BL285" s="2204"/>
      <c r="BM285" s="2204"/>
      <c r="BN285" s="2204"/>
      <c r="BO285" s="2204"/>
      <c r="BP285" s="2204"/>
      <c r="BQ285" s="2204"/>
      <c r="BR285" s="2204"/>
      <c r="BS285" s="2204"/>
      <c r="BT285" s="2204"/>
      <c r="BU285" s="2204"/>
      <c r="BV285" s="2204"/>
      <c r="BW285" s="2204"/>
      <c r="BX285" s="2204"/>
      <c r="BY285" s="2204"/>
      <c r="BZ285" s="2204"/>
      <c r="CA285" s="2204"/>
      <c r="CB285" s="2204"/>
      <c r="CC285" s="2204"/>
      <c r="CD285" s="2204"/>
      <c r="CE285" s="2204"/>
      <c r="CF285" s="2204"/>
      <c r="CG285" s="2204"/>
      <c r="CH285" s="2204"/>
      <c r="CI285" s="2204"/>
      <c r="CJ285" s="2204"/>
      <c r="CK285" s="2204"/>
      <c r="CL285" s="2204"/>
      <c r="CM285" s="2204"/>
      <c r="CN285" s="2204"/>
      <c r="CO285" s="2204"/>
      <c r="CP285" s="2204"/>
      <c r="CQ285" s="2204"/>
      <c r="CR285" s="2204"/>
      <c r="CS285" s="2204"/>
      <c r="CT285" s="2204"/>
      <c r="CU285" s="2204"/>
      <c r="CV285" s="2204"/>
      <c r="CW285" s="2204"/>
      <c r="CX285" s="2204"/>
      <c r="CY285" s="2204"/>
      <c r="CZ285" s="2204"/>
      <c r="DA285" s="2204"/>
      <c r="DB285" s="2204"/>
      <c r="DC285" s="2204"/>
      <c r="DD285" s="2204"/>
      <c r="DE285" s="2204"/>
      <c r="DF285" s="2204"/>
      <c r="DG285" s="2204"/>
      <c r="DH285" s="2204"/>
      <c r="DI285" s="2204"/>
      <c r="DJ285" s="2204"/>
      <c r="DK285" s="2204"/>
      <c r="DL285" s="2204"/>
      <c r="DM285" s="2204"/>
      <c r="DN285" s="2204"/>
      <c r="DO285" s="2204"/>
      <c r="DP285" s="2204"/>
      <c r="DQ285" s="2204"/>
      <c r="DR285" s="2204"/>
      <c r="DS285" s="2204"/>
      <c r="DT285" s="2204"/>
      <c r="DU285" s="2204"/>
      <c r="DV285" s="2204"/>
      <c r="DW285" s="2204"/>
      <c r="DX285" s="2204"/>
      <c r="DY285" s="2204"/>
      <c r="DZ285" s="2204"/>
      <c r="EA285" s="2204"/>
      <c r="EB285" s="2204"/>
      <c r="EC285" s="2204"/>
      <c r="ED285" s="2204"/>
      <c r="EE285" s="2204"/>
      <c r="EF285" s="2204"/>
      <c r="EG285" s="2204"/>
      <c r="EH285" s="2204"/>
      <c r="EI285" s="2204"/>
      <c r="EJ285" s="2204"/>
      <c r="EK285" s="2204"/>
      <c r="EL285" s="2204"/>
      <c r="EM285" s="2204"/>
      <c r="EN285" s="2204"/>
      <c r="EO285" s="2204"/>
      <c r="EP285" s="2204"/>
      <c r="EQ285" s="2204"/>
      <c r="ER285" s="2204"/>
      <c r="ES285" s="2204"/>
      <c r="ET285" s="2204"/>
      <c r="EU285" s="2204"/>
      <c r="EV285" s="2204"/>
      <c r="EW285" s="2204"/>
      <c r="EX285" s="2204"/>
      <c r="EY285" s="2204"/>
      <c r="EZ285" s="2204"/>
      <c r="FA285" s="2204"/>
      <c r="FB285" s="2204"/>
      <c r="FC285" s="2204"/>
      <c r="FD285" s="2204"/>
      <c r="FE285" s="2204"/>
      <c r="FF285" s="2204"/>
      <c r="FG285" s="2204"/>
      <c r="FH285" s="2204"/>
      <c r="FI285" s="2204"/>
      <c r="FJ285" s="2204"/>
      <c r="FK285" s="2204"/>
      <c r="FL285" s="2204"/>
      <c r="FM285" s="2204"/>
      <c r="FN285" s="2204"/>
      <c r="FO285" s="2204"/>
      <c r="FP285" s="2204"/>
      <c r="FQ285" s="2204"/>
      <c r="FR285" s="2204"/>
      <c r="FS285" s="2204"/>
      <c r="FT285" s="2204"/>
      <c r="FU285" s="2204"/>
      <c r="FV285" s="2204"/>
      <c r="FW285" s="2204"/>
      <c r="FX285" s="2204"/>
      <c r="FY285" s="2204"/>
      <c r="FZ285" s="2204"/>
      <c r="GA285" s="2204"/>
      <c r="GB285" s="2204"/>
      <c r="GC285" s="2204"/>
      <c r="GD285" s="2204"/>
      <c r="GE285" s="2204"/>
      <c r="GF285" s="2204"/>
      <c r="GG285" s="2204"/>
      <c r="GH285" s="2204"/>
      <c r="GI285" s="2204"/>
      <c r="GJ285" s="2204"/>
      <c r="GK285" s="2204"/>
      <c r="GL285" s="2204"/>
      <c r="GM285" s="2204"/>
      <c r="GN285" s="2204"/>
      <c r="GO285" s="2204"/>
      <c r="GP285" s="2204"/>
      <c r="GQ285" s="2204"/>
      <c r="GR285" s="2204"/>
      <c r="GS285" s="2204"/>
      <c r="GT285" s="2204"/>
      <c r="GU285" s="2204"/>
      <c r="GV285" s="2204"/>
      <c r="GW285" s="2204"/>
      <c r="GX285" s="2204"/>
      <c r="GY285" s="2204"/>
      <c r="GZ285" s="2204"/>
      <c r="HA285" s="2204"/>
      <c r="HB285" s="2204"/>
      <c r="HC285" s="2204"/>
      <c r="HD285" s="2204"/>
      <c r="HE285" s="2204"/>
      <c r="HF285" s="2204"/>
      <c r="HG285" s="2204"/>
      <c r="HH285" s="2204"/>
      <c r="HI285" s="2204"/>
      <c r="HJ285" s="2204"/>
      <c r="HK285" s="2204"/>
      <c r="HL285" s="2204"/>
      <c r="HM285" s="2204"/>
      <c r="HN285" s="2204"/>
      <c r="HO285" s="2204"/>
      <c r="HP285" s="2204"/>
      <c r="HQ285" s="2204"/>
      <c r="HR285" s="2204"/>
      <c r="HS285" s="2204"/>
      <c r="HT285" s="2204"/>
      <c r="HU285" s="2204"/>
      <c r="HV285" s="2204"/>
      <c r="HW285" s="2204"/>
      <c r="HX285" s="2204"/>
      <c r="HY285" s="2204"/>
      <c r="HZ285" s="2204"/>
      <c r="IA285" s="2204"/>
      <c r="IB285" s="2204"/>
      <c r="IC285" s="2204"/>
      <c r="ID285" s="2204"/>
      <c r="IE285" s="2204"/>
      <c r="IF285" s="2204"/>
      <c r="IG285" s="2204"/>
      <c r="IH285" s="2204"/>
      <c r="II285" s="2204"/>
      <c r="IJ285" s="2204"/>
      <c r="IK285" s="2204"/>
      <c r="IL285" s="2204"/>
      <c r="IM285" s="2204"/>
      <c r="IN285" s="2204"/>
      <c r="IO285" s="2204"/>
      <c r="IP285" s="2204"/>
      <c r="IQ285" s="2204"/>
      <c r="IR285" s="2204"/>
      <c r="IS285" s="2204"/>
      <c r="IT285" s="2204"/>
      <c r="IU285" s="2204"/>
      <c r="IV285" s="2204"/>
      <c r="IW285" s="2204"/>
      <c r="IX285" s="2204"/>
      <c r="IY285" s="2204"/>
      <c r="IZ285" s="2204"/>
      <c r="JA285" s="2204"/>
      <c r="JB285" s="2204"/>
      <c r="JC285" s="2204"/>
      <c r="JD285" s="2204"/>
      <c r="JE285" s="2204"/>
      <c r="JF285" s="2204"/>
      <c r="JG285" s="2204"/>
      <c r="JH285" s="2204"/>
      <c r="JI285" s="2204"/>
      <c r="JJ285" s="2204"/>
      <c r="JK285" s="2204"/>
      <c r="JL285" s="2204"/>
      <c r="JM285" s="2204"/>
      <c r="JN285" s="2204"/>
      <c r="JO285" s="2204"/>
      <c r="JP285" s="2204"/>
      <c r="JQ285" s="2204"/>
      <c r="JR285" s="2204"/>
      <c r="JS285" s="2204"/>
      <c r="JT285" s="2204"/>
      <c r="JU285" s="2204"/>
      <c r="JV285" s="2204"/>
      <c r="JW285" s="2204"/>
      <c r="JX285" s="2204"/>
      <c r="JY285" s="2204"/>
      <c r="JZ285" s="2204"/>
      <c r="KA285" s="2204"/>
      <c r="KB285" s="2204"/>
      <c r="KC285" s="2204"/>
      <c r="KD285" s="2204"/>
      <c r="KE285" s="2204"/>
      <c r="KF285" s="2204"/>
      <c r="KG285" s="2204"/>
      <c r="KH285" s="2204"/>
      <c r="KI285" s="2204"/>
      <c r="KJ285" s="2204"/>
      <c r="KK285" s="2204"/>
    </row>
    <row r="286" spans="1:297" ht="15" x14ac:dyDescent="0.2">
      <c r="A286" s="2215"/>
      <c r="C286" s="2242"/>
      <c r="D286" s="2313">
        <v>13</v>
      </c>
      <c r="E286" s="2314" t="s">
        <v>2387</v>
      </c>
      <c r="F286" s="2314"/>
      <c r="G286" s="2315"/>
      <c r="H286" s="2315"/>
      <c r="I286" s="2315"/>
      <c r="J286" s="2315"/>
      <c r="K286" s="2316"/>
      <c r="L286" s="2315"/>
      <c r="M286" s="2315"/>
      <c r="N286" s="2317"/>
      <c r="O286" s="2315"/>
      <c r="P286" s="2316"/>
      <c r="Q286" s="2315"/>
      <c r="R286" s="2318"/>
      <c r="S286" s="2316"/>
      <c r="T286" s="2316"/>
      <c r="U286" s="2316"/>
      <c r="V286" s="2319"/>
      <c r="W286" s="2320"/>
      <c r="X286" s="2321"/>
      <c r="Y286" s="2317"/>
      <c r="Z286" s="2317"/>
      <c r="AA286" s="2317"/>
      <c r="AB286" s="2317"/>
      <c r="AC286" s="2317"/>
      <c r="AD286" s="2317"/>
      <c r="AE286" s="2317"/>
      <c r="AF286" s="2317"/>
      <c r="AG286" s="2317"/>
      <c r="AH286" s="2317"/>
      <c r="AI286" s="2317"/>
      <c r="AJ286" s="2317"/>
      <c r="AK286" s="2317"/>
      <c r="AL286" s="2317"/>
      <c r="AM286" s="2317"/>
      <c r="AN286" s="2317"/>
      <c r="AO286" s="2315"/>
      <c r="AP286" s="2315"/>
      <c r="AQ286" s="2322"/>
    </row>
    <row r="287" spans="1:297" ht="15" x14ac:dyDescent="0.2">
      <c r="A287" s="2215"/>
      <c r="B287" s="2216"/>
      <c r="C287" s="2217"/>
      <c r="D287" s="3950"/>
      <c r="E287" s="3951"/>
      <c r="F287" s="3951"/>
      <c r="G287" s="2249">
        <v>47</v>
      </c>
      <c r="H287" s="2221" t="s">
        <v>2388</v>
      </c>
      <c r="I287" s="2221"/>
      <c r="J287" s="2221"/>
      <c r="K287" s="2222"/>
      <c r="L287" s="2221"/>
      <c r="M287" s="2221"/>
      <c r="N287" s="2223"/>
      <c r="O287" s="2221"/>
      <c r="P287" s="2222"/>
      <c r="Q287" s="2221"/>
      <c r="R287" s="2250"/>
      <c r="S287" s="2222"/>
      <c r="T287" s="2222"/>
      <c r="U287" s="2222"/>
      <c r="V287" s="2297"/>
      <c r="W287" s="2294"/>
      <c r="X287" s="2295"/>
      <c r="Y287" s="2223"/>
      <c r="Z287" s="2223"/>
      <c r="AA287" s="2223"/>
      <c r="AB287" s="2223"/>
      <c r="AC287" s="2223"/>
      <c r="AD287" s="2223"/>
      <c r="AE287" s="2223"/>
      <c r="AF287" s="2223"/>
      <c r="AG287" s="2223"/>
      <c r="AH287" s="2223"/>
      <c r="AI287" s="2223"/>
      <c r="AJ287" s="2223"/>
      <c r="AK287" s="2223"/>
      <c r="AL287" s="2223"/>
      <c r="AM287" s="2223"/>
      <c r="AN287" s="2223"/>
      <c r="AO287" s="2221"/>
      <c r="AP287" s="2221"/>
      <c r="AQ287" s="2228"/>
    </row>
    <row r="288" spans="1:297" ht="48" customHeight="1" x14ac:dyDescent="0.2">
      <c r="A288" s="2215"/>
      <c r="B288" s="2216"/>
      <c r="C288" s="2217"/>
      <c r="D288" s="3952"/>
      <c r="E288" s="3953"/>
      <c r="F288" s="3953"/>
      <c r="G288" s="3936"/>
      <c r="H288" s="3936"/>
      <c r="I288" s="3936"/>
      <c r="J288" s="3956">
        <v>163</v>
      </c>
      <c r="K288" s="3957" t="s">
        <v>2389</v>
      </c>
      <c r="L288" s="3936" t="s">
        <v>2040</v>
      </c>
      <c r="M288" s="3936">
        <v>12</v>
      </c>
      <c r="N288" s="3946" t="s">
        <v>2390</v>
      </c>
      <c r="O288" s="3936" t="s">
        <v>2391</v>
      </c>
      <c r="P288" s="3888" t="s">
        <v>2392</v>
      </c>
      <c r="Q288" s="3937">
        <f>(V288+V289)/R288</f>
        <v>1.415969296187247E-3</v>
      </c>
      <c r="R288" s="3895">
        <f>SUM(V288:V299)</f>
        <v>21751884086</v>
      </c>
      <c r="S288" s="3938" t="s">
        <v>2393</v>
      </c>
      <c r="T288" s="3866" t="s">
        <v>2394</v>
      </c>
      <c r="U288" s="2323" t="s">
        <v>2395</v>
      </c>
      <c r="V288" s="2296">
        <v>15400000</v>
      </c>
      <c r="W288" s="2324">
        <v>20</v>
      </c>
      <c r="X288" s="3863" t="s">
        <v>2396</v>
      </c>
      <c r="Y288" s="3863">
        <v>292684</v>
      </c>
      <c r="Z288" s="3863">
        <v>282326</v>
      </c>
      <c r="AA288" s="3863">
        <v>135912</v>
      </c>
      <c r="AB288" s="3863">
        <v>45122</v>
      </c>
      <c r="AC288" s="3863">
        <v>307101</v>
      </c>
      <c r="AD288" s="3863">
        <v>86875</v>
      </c>
      <c r="AE288" s="3863">
        <v>2145</v>
      </c>
      <c r="AF288" s="3863">
        <v>12718</v>
      </c>
      <c r="AG288" s="3863">
        <v>26</v>
      </c>
      <c r="AH288" s="3863">
        <v>37</v>
      </c>
      <c r="AI288" s="3863" t="s">
        <v>2047</v>
      </c>
      <c r="AJ288" s="3863" t="s">
        <v>2047</v>
      </c>
      <c r="AK288" s="3863">
        <v>53164</v>
      </c>
      <c r="AL288" s="3863">
        <v>16982</v>
      </c>
      <c r="AM288" s="3863">
        <v>60013</v>
      </c>
      <c r="AN288" s="3863">
        <v>575010</v>
      </c>
      <c r="AO288" s="3926">
        <v>43467</v>
      </c>
      <c r="AP288" s="3926">
        <v>43830</v>
      </c>
      <c r="AQ288" s="3880" t="s">
        <v>2048</v>
      </c>
    </row>
    <row r="289" spans="1:168" ht="63.75" customHeight="1" x14ac:dyDescent="0.2">
      <c r="A289" s="2215"/>
      <c r="B289" s="2216"/>
      <c r="C289" s="2217"/>
      <c r="D289" s="3952"/>
      <c r="E289" s="3953"/>
      <c r="F289" s="3953"/>
      <c r="G289" s="3863"/>
      <c r="H289" s="3863"/>
      <c r="I289" s="3863"/>
      <c r="J289" s="3956"/>
      <c r="K289" s="3958"/>
      <c r="L289" s="3936"/>
      <c r="M289" s="3936"/>
      <c r="N289" s="3947"/>
      <c r="O289" s="3936"/>
      <c r="P289" s="3888"/>
      <c r="Q289" s="3937"/>
      <c r="R289" s="3895"/>
      <c r="S289" s="3905"/>
      <c r="T289" s="3868"/>
      <c r="U289" s="2323" t="s">
        <v>2397</v>
      </c>
      <c r="V289" s="2296">
        <v>15400000</v>
      </c>
      <c r="W289" s="2324">
        <v>20</v>
      </c>
      <c r="X289" s="3865"/>
      <c r="Y289" s="3864"/>
      <c r="Z289" s="3864"/>
      <c r="AA289" s="3864"/>
      <c r="AB289" s="3864"/>
      <c r="AC289" s="3864"/>
      <c r="AD289" s="3864"/>
      <c r="AE289" s="3864"/>
      <c r="AF289" s="3864"/>
      <c r="AG289" s="3864"/>
      <c r="AH289" s="3864"/>
      <c r="AI289" s="3864"/>
      <c r="AJ289" s="3864"/>
      <c r="AK289" s="3864"/>
      <c r="AL289" s="3864"/>
      <c r="AM289" s="3864"/>
      <c r="AN289" s="3864"/>
      <c r="AO289" s="3926"/>
      <c r="AP289" s="3926"/>
      <c r="AQ289" s="3881"/>
    </row>
    <row r="290" spans="1:168" ht="35.1" customHeight="1" x14ac:dyDescent="0.2">
      <c r="A290" s="2215"/>
      <c r="B290" s="2216"/>
      <c r="C290" s="2217"/>
      <c r="D290" s="3952"/>
      <c r="E290" s="3953"/>
      <c r="F290" s="3953"/>
      <c r="G290" s="2325">
        <v>48</v>
      </c>
      <c r="H290" s="2326" t="s">
        <v>2398</v>
      </c>
      <c r="I290" s="2326"/>
      <c r="J290" s="2327"/>
      <c r="K290" s="2328"/>
      <c r="L290" s="2221"/>
      <c r="M290" s="2221"/>
      <c r="N290" s="2223"/>
      <c r="O290" s="3936"/>
      <c r="P290" s="3888"/>
      <c r="Q290" s="2329"/>
      <c r="R290" s="3895"/>
      <c r="S290" s="3905"/>
      <c r="T290" s="2328"/>
      <c r="U290" s="2328"/>
      <c r="V290" s="2297"/>
      <c r="W290" s="2330"/>
      <c r="X290" s="2295"/>
      <c r="Y290" s="3864"/>
      <c r="Z290" s="3864"/>
      <c r="AA290" s="3864"/>
      <c r="AB290" s="3864"/>
      <c r="AC290" s="3864"/>
      <c r="AD290" s="3864"/>
      <c r="AE290" s="3864"/>
      <c r="AF290" s="3864"/>
      <c r="AG290" s="3864"/>
      <c r="AH290" s="3864"/>
      <c r="AI290" s="3864"/>
      <c r="AJ290" s="3864"/>
      <c r="AK290" s="3864"/>
      <c r="AL290" s="3864"/>
      <c r="AM290" s="3864"/>
      <c r="AN290" s="3864"/>
      <c r="AO290" s="3926"/>
      <c r="AP290" s="3926"/>
      <c r="AQ290" s="3881"/>
    </row>
    <row r="291" spans="1:168" ht="35.1" customHeight="1" x14ac:dyDescent="0.2">
      <c r="A291" s="2215"/>
      <c r="B291" s="2216"/>
      <c r="C291" s="2217"/>
      <c r="D291" s="3952"/>
      <c r="E291" s="3953"/>
      <c r="F291" s="3953"/>
      <c r="G291" s="3959"/>
      <c r="H291" s="3959"/>
      <c r="I291" s="3959"/>
      <c r="J291" s="3960">
        <v>164</v>
      </c>
      <c r="K291" s="3903" t="s">
        <v>2399</v>
      </c>
      <c r="L291" s="3961" t="s">
        <v>2040</v>
      </c>
      <c r="M291" s="3936">
        <v>12</v>
      </c>
      <c r="N291" s="3939" t="s">
        <v>2400</v>
      </c>
      <c r="O291" s="3936"/>
      <c r="P291" s="3888"/>
      <c r="Q291" s="3942">
        <f>(V291+V294+V292+V293)/R288</f>
        <v>0.99522799957973263</v>
      </c>
      <c r="R291" s="3895"/>
      <c r="S291" s="3905"/>
      <c r="T291" s="3903" t="s">
        <v>2401</v>
      </c>
      <c r="U291" s="3945" t="s">
        <v>2402</v>
      </c>
      <c r="V291" s="2296">
        <v>20032068498</v>
      </c>
      <c r="W291" s="2331">
        <v>154</v>
      </c>
      <c r="X291" s="2307" t="s">
        <v>2403</v>
      </c>
      <c r="Y291" s="3864"/>
      <c r="Z291" s="3864"/>
      <c r="AA291" s="3864"/>
      <c r="AB291" s="3864"/>
      <c r="AC291" s="3864"/>
      <c r="AD291" s="3864"/>
      <c r="AE291" s="3864"/>
      <c r="AF291" s="3864"/>
      <c r="AG291" s="3864"/>
      <c r="AH291" s="3864"/>
      <c r="AI291" s="3864"/>
      <c r="AJ291" s="3864"/>
      <c r="AK291" s="3864"/>
      <c r="AL291" s="3864"/>
      <c r="AM291" s="3864"/>
      <c r="AN291" s="3864"/>
      <c r="AO291" s="3926"/>
      <c r="AP291" s="3926"/>
      <c r="AQ291" s="3881"/>
    </row>
    <row r="292" spans="1:168" ht="35.1" customHeight="1" x14ac:dyDescent="0.2">
      <c r="A292" s="2215"/>
      <c r="B292" s="2216"/>
      <c r="C292" s="2217"/>
      <c r="D292" s="3952"/>
      <c r="E292" s="3953"/>
      <c r="F292" s="3953"/>
      <c r="G292" s="3959"/>
      <c r="H292" s="3959"/>
      <c r="I292" s="3959"/>
      <c r="J292" s="3960"/>
      <c r="K292" s="3903"/>
      <c r="L292" s="3962"/>
      <c r="M292" s="3936"/>
      <c r="N292" s="3940"/>
      <c r="O292" s="3936"/>
      <c r="P292" s="3888"/>
      <c r="Q292" s="3943"/>
      <c r="R292" s="3895"/>
      <c r="S292" s="3905"/>
      <c r="T292" s="3903"/>
      <c r="U292" s="3945"/>
      <c r="V292" s="2296">
        <v>78204383</v>
      </c>
      <c r="W292" s="2331">
        <v>154</v>
      </c>
      <c r="X292" s="2307" t="s">
        <v>2404</v>
      </c>
      <c r="Y292" s="3864"/>
      <c r="Z292" s="3864"/>
      <c r="AA292" s="3864"/>
      <c r="AB292" s="3864"/>
      <c r="AC292" s="3864"/>
      <c r="AD292" s="3864"/>
      <c r="AE292" s="3864"/>
      <c r="AF292" s="3864"/>
      <c r="AG292" s="3864"/>
      <c r="AH292" s="3864"/>
      <c r="AI292" s="3864"/>
      <c r="AJ292" s="3864"/>
      <c r="AK292" s="3864"/>
      <c r="AL292" s="3864"/>
      <c r="AM292" s="3864"/>
      <c r="AN292" s="3864"/>
      <c r="AO292" s="3926"/>
      <c r="AP292" s="3926"/>
      <c r="AQ292" s="3881"/>
    </row>
    <row r="293" spans="1:168" ht="35.1" customHeight="1" x14ac:dyDescent="0.2">
      <c r="A293" s="2215"/>
      <c r="B293" s="2216"/>
      <c r="C293" s="2217"/>
      <c r="D293" s="3952"/>
      <c r="E293" s="3953"/>
      <c r="F293" s="3953"/>
      <c r="G293" s="3959"/>
      <c r="H293" s="3959"/>
      <c r="I293" s="3959"/>
      <c r="J293" s="3960"/>
      <c r="K293" s="3903"/>
      <c r="L293" s="3962"/>
      <c r="M293" s="3936"/>
      <c r="N293" s="3940"/>
      <c r="O293" s="3936"/>
      <c r="P293" s="3888"/>
      <c r="Q293" s="3943"/>
      <c r="R293" s="3895"/>
      <c r="S293" s="3905"/>
      <c r="T293" s="3903"/>
      <c r="U293" s="3945"/>
      <c r="V293" s="2296">
        <v>1357798766</v>
      </c>
      <c r="W293" s="2331">
        <v>64</v>
      </c>
      <c r="X293" s="2307"/>
      <c r="Y293" s="3864"/>
      <c r="Z293" s="3864"/>
      <c r="AA293" s="3864"/>
      <c r="AB293" s="3864"/>
      <c r="AC293" s="3864"/>
      <c r="AD293" s="3864"/>
      <c r="AE293" s="3864"/>
      <c r="AF293" s="3864"/>
      <c r="AG293" s="3864"/>
      <c r="AH293" s="3864"/>
      <c r="AI293" s="3864"/>
      <c r="AJ293" s="3864"/>
      <c r="AK293" s="3864"/>
      <c r="AL293" s="3864"/>
      <c r="AM293" s="3864"/>
      <c r="AN293" s="3864"/>
      <c r="AO293" s="3926"/>
      <c r="AP293" s="3926"/>
      <c r="AQ293" s="3881"/>
    </row>
    <row r="294" spans="1:168" ht="48.75" customHeight="1" x14ac:dyDescent="0.2">
      <c r="A294" s="2215"/>
      <c r="B294" s="2216"/>
      <c r="C294" s="2217"/>
      <c r="D294" s="3952"/>
      <c r="E294" s="3953"/>
      <c r="F294" s="3953"/>
      <c r="G294" s="3959"/>
      <c r="H294" s="3959"/>
      <c r="I294" s="3959"/>
      <c r="J294" s="3960"/>
      <c r="K294" s="3903"/>
      <c r="L294" s="3963"/>
      <c r="M294" s="3936"/>
      <c r="N294" s="3941"/>
      <c r="O294" s="3936"/>
      <c r="P294" s="3888"/>
      <c r="Q294" s="3944"/>
      <c r="R294" s="3895"/>
      <c r="S294" s="3905"/>
      <c r="T294" s="3903"/>
      <c r="U294" s="3945"/>
      <c r="V294" s="2296">
        <v>180012439</v>
      </c>
      <c r="W294" s="2331">
        <v>148</v>
      </c>
      <c r="X294" s="2307" t="s">
        <v>2405</v>
      </c>
      <c r="Y294" s="3864"/>
      <c r="Z294" s="3864"/>
      <c r="AA294" s="3864"/>
      <c r="AB294" s="3864"/>
      <c r="AC294" s="3864"/>
      <c r="AD294" s="3864"/>
      <c r="AE294" s="3864"/>
      <c r="AF294" s="3864"/>
      <c r="AG294" s="3864"/>
      <c r="AH294" s="3864"/>
      <c r="AI294" s="3864"/>
      <c r="AJ294" s="3864"/>
      <c r="AK294" s="3864"/>
      <c r="AL294" s="3864"/>
      <c r="AM294" s="3864"/>
      <c r="AN294" s="3864"/>
      <c r="AO294" s="3926"/>
      <c r="AP294" s="3926"/>
      <c r="AQ294" s="3881"/>
    </row>
    <row r="295" spans="1:168" ht="35.1" customHeight="1" x14ac:dyDescent="0.2">
      <c r="A295" s="2215"/>
      <c r="B295" s="2216"/>
      <c r="C295" s="2217"/>
      <c r="D295" s="3952"/>
      <c r="E295" s="3953"/>
      <c r="F295" s="3953"/>
      <c r="G295" s="2332">
        <v>49</v>
      </c>
      <c r="H295" s="2333" t="s">
        <v>2406</v>
      </c>
      <c r="I295" s="2333"/>
      <c r="J295" s="2333"/>
      <c r="K295" s="2292"/>
      <c r="L295" s="2221"/>
      <c r="M295" s="2221"/>
      <c r="N295" s="2223"/>
      <c r="O295" s="3936"/>
      <c r="P295" s="3888"/>
      <c r="Q295" s="2329"/>
      <c r="R295" s="3895"/>
      <c r="S295" s="3905"/>
      <c r="T295" s="2334"/>
      <c r="U295" s="2292"/>
      <c r="V295" s="2297"/>
      <c r="W295" s="2330"/>
      <c r="X295" s="2330"/>
      <c r="Y295" s="3864"/>
      <c r="Z295" s="3864"/>
      <c r="AA295" s="3864"/>
      <c r="AB295" s="3864"/>
      <c r="AC295" s="3864"/>
      <c r="AD295" s="3864"/>
      <c r="AE295" s="3864"/>
      <c r="AF295" s="3864"/>
      <c r="AG295" s="3864"/>
      <c r="AH295" s="3864"/>
      <c r="AI295" s="3864"/>
      <c r="AJ295" s="3864"/>
      <c r="AK295" s="3864"/>
      <c r="AL295" s="3864"/>
      <c r="AM295" s="3864"/>
      <c r="AN295" s="3864"/>
      <c r="AO295" s="3926"/>
      <c r="AP295" s="3926"/>
      <c r="AQ295" s="3881"/>
    </row>
    <row r="296" spans="1:168" ht="35.25" customHeight="1" x14ac:dyDescent="0.2">
      <c r="A296" s="2215"/>
      <c r="B296" s="2216"/>
      <c r="C296" s="2217"/>
      <c r="D296" s="3952"/>
      <c r="E296" s="3953"/>
      <c r="F296" s="3953"/>
      <c r="G296" s="3936"/>
      <c r="H296" s="3936"/>
      <c r="I296" s="3936"/>
      <c r="J296" s="3956">
        <v>165</v>
      </c>
      <c r="K296" s="3888" t="s">
        <v>2407</v>
      </c>
      <c r="L296" s="3936" t="s">
        <v>2040</v>
      </c>
      <c r="M296" s="3936">
        <v>12</v>
      </c>
      <c r="N296" s="3936" t="s">
        <v>2408</v>
      </c>
      <c r="O296" s="3936"/>
      <c r="P296" s="3888"/>
      <c r="Q296" s="3937">
        <f>SUM(V296:V299)/R288</f>
        <v>3.3560311240801634E-3</v>
      </c>
      <c r="R296" s="3895"/>
      <c r="S296" s="3905"/>
      <c r="T296" s="3903" t="s">
        <v>2409</v>
      </c>
      <c r="U296" s="3948" t="s">
        <v>2410</v>
      </c>
      <c r="V296" s="2296">
        <v>10500000</v>
      </c>
      <c r="W296" s="2331">
        <v>20</v>
      </c>
      <c r="X296" s="2307" t="s">
        <v>2396</v>
      </c>
      <c r="Y296" s="3864"/>
      <c r="Z296" s="3864"/>
      <c r="AA296" s="3864"/>
      <c r="AB296" s="3864"/>
      <c r="AC296" s="3864"/>
      <c r="AD296" s="3864"/>
      <c r="AE296" s="3864"/>
      <c r="AF296" s="3864"/>
      <c r="AG296" s="3864"/>
      <c r="AH296" s="3864"/>
      <c r="AI296" s="3864"/>
      <c r="AJ296" s="3864"/>
      <c r="AK296" s="3864"/>
      <c r="AL296" s="3864"/>
      <c r="AM296" s="3864"/>
      <c r="AN296" s="3864"/>
      <c r="AO296" s="3926"/>
      <c r="AP296" s="3926"/>
      <c r="AQ296" s="3881"/>
    </row>
    <row r="297" spans="1:168" ht="30" customHeight="1" x14ac:dyDescent="0.2">
      <c r="A297" s="2215"/>
      <c r="B297" s="2216"/>
      <c r="C297" s="2217"/>
      <c r="D297" s="3952"/>
      <c r="E297" s="3953"/>
      <c r="F297" s="3953"/>
      <c r="G297" s="3936"/>
      <c r="H297" s="3936"/>
      <c r="I297" s="3936"/>
      <c r="J297" s="3956"/>
      <c r="K297" s="3888"/>
      <c r="L297" s="3936"/>
      <c r="M297" s="3936"/>
      <c r="N297" s="3936"/>
      <c r="O297" s="3936"/>
      <c r="P297" s="3888"/>
      <c r="Q297" s="3937"/>
      <c r="R297" s="3895"/>
      <c r="S297" s="3905"/>
      <c r="T297" s="3903"/>
      <c r="U297" s="3949"/>
      <c r="V297" s="2296">
        <v>26000000</v>
      </c>
      <c r="W297" s="2331">
        <v>96</v>
      </c>
      <c r="X297" s="2307" t="s">
        <v>2411</v>
      </c>
      <c r="Y297" s="3864"/>
      <c r="Z297" s="3864"/>
      <c r="AA297" s="3864"/>
      <c r="AB297" s="3864"/>
      <c r="AC297" s="3864"/>
      <c r="AD297" s="3864"/>
      <c r="AE297" s="3864"/>
      <c r="AF297" s="3864"/>
      <c r="AG297" s="3864"/>
      <c r="AH297" s="3864"/>
      <c r="AI297" s="3864"/>
      <c r="AJ297" s="3864"/>
      <c r="AK297" s="3864"/>
      <c r="AL297" s="3864"/>
      <c r="AM297" s="3864"/>
      <c r="AN297" s="3864"/>
      <c r="AO297" s="3926"/>
      <c r="AP297" s="3926"/>
      <c r="AQ297" s="3881"/>
    </row>
    <row r="298" spans="1:168" ht="33.75" customHeight="1" x14ac:dyDescent="0.2">
      <c r="A298" s="2215"/>
      <c r="B298" s="2216"/>
      <c r="C298" s="2217"/>
      <c r="D298" s="3952"/>
      <c r="E298" s="3953"/>
      <c r="F298" s="3953"/>
      <c r="G298" s="3936"/>
      <c r="H298" s="3936"/>
      <c r="I298" s="3936"/>
      <c r="J298" s="3956"/>
      <c r="K298" s="3888"/>
      <c r="L298" s="3936"/>
      <c r="M298" s="3936"/>
      <c r="N298" s="3936"/>
      <c r="O298" s="3936"/>
      <c r="P298" s="3888"/>
      <c r="Q298" s="3937"/>
      <c r="R298" s="3895"/>
      <c r="S298" s="3905"/>
      <c r="T298" s="3903"/>
      <c r="U298" s="3948" t="s">
        <v>2412</v>
      </c>
      <c r="V298" s="2296">
        <v>10500000</v>
      </c>
      <c r="W298" s="2331">
        <v>20</v>
      </c>
      <c r="X298" s="2307" t="s">
        <v>2396</v>
      </c>
      <c r="Y298" s="3864"/>
      <c r="Z298" s="3864"/>
      <c r="AA298" s="3864"/>
      <c r="AB298" s="3864"/>
      <c r="AC298" s="3864"/>
      <c r="AD298" s="3864"/>
      <c r="AE298" s="3864"/>
      <c r="AF298" s="3864"/>
      <c r="AG298" s="3864"/>
      <c r="AH298" s="3864"/>
      <c r="AI298" s="3864"/>
      <c r="AJ298" s="3864"/>
      <c r="AK298" s="3864"/>
      <c r="AL298" s="3864"/>
      <c r="AM298" s="3864"/>
      <c r="AN298" s="3864"/>
      <c r="AO298" s="3926"/>
      <c r="AP298" s="3926"/>
      <c r="AQ298" s="3881"/>
    </row>
    <row r="299" spans="1:168" ht="39.75" customHeight="1" x14ac:dyDescent="0.2">
      <c r="A299" s="2215"/>
      <c r="B299" s="2216"/>
      <c r="C299" s="2217"/>
      <c r="D299" s="3954"/>
      <c r="E299" s="3955"/>
      <c r="F299" s="3955"/>
      <c r="G299" s="3936"/>
      <c r="H299" s="3936"/>
      <c r="I299" s="3936"/>
      <c r="J299" s="3956"/>
      <c r="K299" s="3888"/>
      <c r="L299" s="3936"/>
      <c r="M299" s="3936"/>
      <c r="N299" s="3936"/>
      <c r="O299" s="3936"/>
      <c r="P299" s="3888"/>
      <c r="Q299" s="3937"/>
      <c r="R299" s="3895"/>
      <c r="S299" s="3906"/>
      <c r="T299" s="3903"/>
      <c r="U299" s="3949"/>
      <c r="V299" s="2296">
        <v>26000000</v>
      </c>
      <c r="W299" s="2331">
        <v>96</v>
      </c>
      <c r="X299" s="2307" t="s">
        <v>2411</v>
      </c>
      <c r="Y299" s="3865"/>
      <c r="Z299" s="3865"/>
      <c r="AA299" s="3865"/>
      <c r="AB299" s="3865"/>
      <c r="AC299" s="3865"/>
      <c r="AD299" s="3865"/>
      <c r="AE299" s="3865"/>
      <c r="AF299" s="3865"/>
      <c r="AG299" s="3865"/>
      <c r="AH299" s="3865"/>
      <c r="AI299" s="3865"/>
      <c r="AJ299" s="3865"/>
      <c r="AK299" s="3865"/>
      <c r="AL299" s="3865"/>
      <c r="AM299" s="3865"/>
      <c r="AN299" s="3865"/>
      <c r="AO299" s="3926"/>
      <c r="AP299" s="3926"/>
      <c r="AQ299" s="3887"/>
    </row>
    <row r="300" spans="1:168" ht="36" customHeight="1" x14ac:dyDescent="0.2">
      <c r="A300" s="2215"/>
      <c r="C300" s="2242"/>
      <c r="D300" s="2335">
        <v>14</v>
      </c>
      <c r="E300" s="2206" t="s">
        <v>2413</v>
      </c>
      <c r="F300" s="2206"/>
      <c r="G300" s="2207"/>
      <c r="H300" s="2207"/>
      <c r="I300" s="2207"/>
      <c r="J300" s="2207"/>
      <c r="K300" s="2208"/>
      <c r="L300" s="2207"/>
      <c r="M300" s="2207"/>
      <c r="N300" s="2209"/>
      <c r="O300" s="2207"/>
      <c r="P300" s="2208"/>
      <c r="Q300" s="2207"/>
      <c r="R300" s="2246"/>
      <c r="S300" s="2208"/>
      <c r="T300" s="2316"/>
      <c r="U300" s="2208"/>
      <c r="V300" s="2319"/>
      <c r="W300" s="2320"/>
      <c r="X300" s="2321"/>
      <c r="Y300" s="2209"/>
      <c r="Z300" s="2209"/>
      <c r="AA300" s="2209"/>
      <c r="AB300" s="2209"/>
      <c r="AC300" s="2209"/>
      <c r="AD300" s="2209"/>
      <c r="AE300" s="2209"/>
      <c r="AF300" s="2209"/>
      <c r="AG300" s="2209"/>
      <c r="AH300" s="2209"/>
      <c r="AI300" s="2209"/>
      <c r="AJ300" s="2209"/>
      <c r="AK300" s="2209"/>
      <c r="AL300" s="2209"/>
      <c r="AM300" s="2209"/>
      <c r="AN300" s="2209"/>
      <c r="AO300" s="2207"/>
      <c r="AP300" s="2207"/>
      <c r="AQ300" s="2214"/>
    </row>
    <row r="301" spans="1:168" ht="36" customHeight="1" x14ac:dyDescent="0.2">
      <c r="A301" s="2215"/>
      <c r="B301" s="2216"/>
      <c r="C301" s="2217"/>
      <c r="D301" s="2218"/>
      <c r="E301" s="2218"/>
      <c r="F301" s="2219"/>
      <c r="G301" s="2336">
        <v>50</v>
      </c>
      <c r="H301" s="2327" t="s">
        <v>2414</v>
      </c>
      <c r="I301" s="2327"/>
      <c r="J301" s="2327"/>
      <c r="K301" s="2328"/>
      <c r="L301" s="2327"/>
      <c r="M301" s="2327"/>
      <c r="N301" s="2268"/>
      <c r="O301" s="2327"/>
      <c r="P301" s="2328"/>
      <c r="Q301" s="2327"/>
      <c r="R301" s="2337"/>
      <c r="S301" s="2328"/>
      <c r="T301" s="2328"/>
      <c r="U301" s="2328"/>
      <c r="V301" s="2297"/>
      <c r="W301" s="2294"/>
      <c r="X301" s="2295"/>
      <c r="Y301" s="2268"/>
      <c r="Z301" s="2268"/>
      <c r="AA301" s="2268"/>
      <c r="AB301" s="2268"/>
      <c r="AC301" s="2268"/>
      <c r="AD301" s="2268"/>
      <c r="AE301" s="2268"/>
      <c r="AF301" s="2268"/>
      <c r="AG301" s="2268"/>
      <c r="AH301" s="2268"/>
      <c r="AI301" s="2268"/>
      <c r="AJ301" s="2268"/>
      <c r="AK301" s="2268"/>
      <c r="AL301" s="2268"/>
      <c r="AM301" s="2268"/>
      <c r="AN301" s="2268"/>
      <c r="AO301" s="2327"/>
      <c r="AP301" s="2327"/>
      <c r="AQ301" s="2338"/>
    </row>
    <row r="302" spans="1:168" s="2343" customFormat="1" ht="105.75" customHeight="1" x14ac:dyDescent="0.2">
      <c r="A302" s="2215"/>
      <c r="B302" s="2216"/>
      <c r="C302" s="2217"/>
      <c r="D302" s="2216"/>
      <c r="E302" s="2216"/>
      <c r="F302" s="2217"/>
      <c r="G302" s="2218"/>
      <c r="H302" s="2218"/>
      <c r="I302" s="2219"/>
      <c r="J302" s="2285">
        <v>166</v>
      </c>
      <c r="K302" s="2339" t="s">
        <v>2415</v>
      </c>
      <c r="L302" s="2298" t="s">
        <v>2040</v>
      </c>
      <c r="M302" s="2340">
        <v>1</v>
      </c>
      <c r="N302" s="3863" t="s">
        <v>2416</v>
      </c>
      <c r="O302" s="3863" t="s">
        <v>2417</v>
      </c>
      <c r="P302" s="3866" t="s">
        <v>2418</v>
      </c>
      <c r="Q302" s="2341">
        <v>0</v>
      </c>
      <c r="R302" s="3883">
        <f>SUM(V302:V317)</f>
        <v>17669008162.400002</v>
      </c>
      <c r="S302" s="3866" t="s">
        <v>2419</v>
      </c>
      <c r="T302" s="2264" t="s">
        <v>2420</v>
      </c>
      <c r="U302" s="2323" t="s">
        <v>2421</v>
      </c>
      <c r="V302" s="2296">
        <v>0</v>
      </c>
      <c r="W302" s="2324"/>
      <c r="X302" s="2342"/>
      <c r="Y302" s="3863">
        <v>292684</v>
      </c>
      <c r="Z302" s="3863">
        <v>282326</v>
      </c>
      <c r="AA302" s="3863">
        <v>135912</v>
      </c>
      <c r="AB302" s="3863">
        <v>45122</v>
      </c>
      <c r="AC302" s="3863">
        <v>307101</v>
      </c>
      <c r="AD302" s="3863">
        <v>86875</v>
      </c>
      <c r="AE302" s="3863">
        <v>2145</v>
      </c>
      <c r="AF302" s="3863">
        <v>12718</v>
      </c>
      <c r="AG302" s="3863">
        <v>26</v>
      </c>
      <c r="AH302" s="3863">
        <v>37</v>
      </c>
      <c r="AI302" s="3863" t="s">
        <v>2047</v>
      </c>
      <c r="AJ302" s="3863" t="s">
        <v>2047</v>
      </c>
      <c r="AK302" s="3863">
        <v>53164</v>
      </c>
      <c r="AL302" s="3863">
        <v>16982</v>
      </c>
      <c r="AM302" s="3863">
        <v>60013</v>
      </c>
      <c r="AN302" s="3863">
        <v>575010</v>
      </c>
      <c r="AO302" s="3878">
        <v>43467</v>
      </c>
      <c r="AP302" s="3878">
        <v>43830</v>
      </c>
      <c r="AQ302" s="3880" t="s">
        <v>2048</v>
      </c>
      <c r="AR302" s="2204"/>
      <c r="AS302" s="2204"/>
      <c r="AT302" s="2204"/>
      <c r="AU302" s="2204"/>
      <c r="AV302" s="2204"/>
      <c r="AW302" s="2204"/>
      <c r="AX302" s="2204"/>
      <c r="AY302" s="2204"/>
      <c r="AZ302" s="2204"/>
      <c r="BA302" s="2204"/>
      <c r="BB302" s="2204"/>
      <c r="BC302" s="2204"/>
      <c r="BD302" s="2204"/>
      <c r="BE302" s="2204"/>
      <c r="BF302" s="2204"/>
      <c r="BG302" s="2204"/>
      <c r="BH302" s="2204"/>
      <c r="BI302" s="2204"/>
      <c r="BJ302" s="2204"/>
      <c r="BK302" s="2204"/>
      <c r="BL302" s="2204"/>
      <c r="BM302" s="2204"/>
      <c r="BN302" s="2204"/>
      <c r="BO302" s="2204"/>
      <c r="BP302" s="2204"/>
      <c r="BQ302" s="2204"/>
      <c r="BR302" s="2204"/>
      <c r="BS302" s="2204"/>
      <c r="BT302" s="2204"/>
      <c r="BU302" s="2204"/>
      <c r="BV302" s="2204"/>
      <c r="BW302" s="2204"/>
      <c r="BX302" s="2204"/>
      <c r="BY302" s="2204"/>
      <c r="BZ302" s="2204"/>
      <c r="CA302" s="2204"/>
      <c r="CB302" s="2204"/>
      <c r="CC302" s="2204"/>
      <c r="CD302" s="2204"/>
      <c r="CE302" s="2204"/>
      <c r="CF302" s="2204"/>
      <c r="CG302" s="2204"/>
      <c r="CH302" s="2204"/>
      <c r="CI302" s="2204"/>
      <c r="CJ302" s="2204"/>
      <c r="CK302" s="2204"/>
      <c r="CL302" s="2204"/>
      <c r="CM302" s="2204"/>
      <c r="CN302" s="2204"/>
      <c r="CO302" s="2204"/>
      <c r="CP302" s="2204"/>
      <c r="CQ302" s="2204"/>
      <c r="CR302" s="2204"/>
      <c r="CS302" s="2204"/>
      <c r="CT302" s="2204"/>
      <c r="CU302" s="2204"/>
      <c r="CV302" s="2204"/>
      <c r="CW302" s="2204"/>
      <c r="CX302" s="2204"/>
      <c r="CY302" s="2204"/>
      <c r="CZ302" s="2204"/>
      <c r="DA302" s="2204"/>
      <c r="DB302" s="2204"/>
      <c r="DC302" s="2204"/>
      <c r="DD302" s="2204"/>
      <c r="DE302" s="2204"/>
      <c r="DF302" s="2204"/>
      <c r="DG302" s="2204"/>
      <c r="DH302" s="2204"/>
      <c r="DI302" s="2204"/>
      <c r="DJ302" s="2204"/>
      <c r="DK302" s="2204"/>
      <c r="DL302" s="2204"/>
      <c r="DM302" s="2204"/>
      <c r="DN302" s="2204"/>
      <c r="DO302" s="2204"/>
      <c r="DP302" s="2204"/>
      <c r="DQ302" s="2204"/>
      <c r="DR302" s="2204"/>
      <c r="DS302" s="2204"/>
      <c r="DT302" s="2204"/>
      <c r="DU302" s="2204"/>
      <c r="DV302" s="2204"/>
      <c r="DW302" s="2204"/>
      <c r="DX302" s="2204"/>
      <c r="DY302" s="2204"/>
      <c r="DZ302" s="2204"/>
      <c r="EA302" s="2204"/>
      <c r="EB302" s="2204"/>
      <c r="EC302" s="2204"/>
      <c r="ED302" s="2204"/>
      <c r="EE302" s="2204"/>
      <c r="EF302" s="2204"/>
      <c r="EG302" s="2204"/>
      <c r="EH302" s="2204"/>
      <c r="EI302" s="2204"/>
      <c r="EJ302" s="2204"/>
      <c r="EK302" s="2204"/>
      <c r="EL302" s="2204"/>
      <c r="EM302" s="2204"/>
      <c r="EN302" s="2204"/>
      <c r="EO302" s="2204"/>
      <c r="EP302" s="2204"/>
      <c r="EQ302" s="2204"/>
      <c r="ER302" s="2204"/>
      <c r="ES302" s="2204"/>
      <c r="ET302" s="2204"/>
      <c r="EU302" s="2204"/>
      <c r="EV302" s="2204"/>
      <c r="EW302" s="2204"/>
      <c r="EX302" s="2204"/>
      <c r="EY302" s="2204"/>
      <c r="EZ302" s="2204"/>
      <c r="FA302" s="2204"/>
      <c r="FB302" s="2204"/>
      <c r="FC302" s="2204"/>
      <c r="FD302" s="2204"/>
      <c r="FE302" s="2204"/>
      <c r="FF302" s="2204"/>
      <c r="FG302" s="2204"/>
      <c r="FH302" s="2204"/>
      <c r="FI302" s="2204"/>
      <c r="FJ302" s="2204"/>
      <c r="FK302" s="2204"/>
      <c r="FL302" s="2204"/>
    </row>
    <row r="303" spans="1:168" s="2344" customFormat="1" ht="54" customHeight="1" x14ac:dyDescent="0.2">
      <c r="A303" s="2215"/>
      <c r="B303" s="2216"/>
      <c r="C303" s="2217"/>
      <c r="D303" s="2216"/>
      <c r="E303" s="2216"/>
      <c r="F303" s="2217"/>
      <c r="G303" s="2216"/>
      <c r="H303" s="2216"/>
      <c r="I303" s="2217"/>
      <c r="J303" s="3898">
        <v>167</v>
      </c>
      <c r="K303" s="3889" t="s">
        <v>2422</v>
      </c>
      <c r="L303" s="3863" t="s">
        <v>2040</v>
      </c>
      <c r="M303" s="3930">
        <v>15</v>
      </c>
      <c r="N303" s="3864"/>
      <c r="O303" s="3864"/>
      <c r="P303" s="3867"/>
      <c r="Q303" s="3917">
        <v>1</v>
      </c>
      <c r="R303" s="3884"/>
      <c r="S303" s="3867"/>
      <c r="T303" s="3866" t="s">
        <v>2423</v>
      </c>
      <c r="U303" s="3933" t="s">
        <v>2424</v>
      </c>
      <c r="V303" s="2311">
        <f>1097554095+290726109+155203905</f>
        <v>1543484109</v>
      </c>
      <c r="W303" s="2331">
        <v>110</v>
      </c>
      <c r="X303" s="2264" t="s">
        <v>2425</v>
      </c>
      <c r="Y303" s="3864"/>
      <c r="Z303" s="3864"/>
      <c r="AA303" s="3864"/>
      <c r="AB303" s="3864"/>
      <c r="AC303" s="3864"/>
      <c r="AD303" s="3864"/>
      <c r="AE303" s="3864"/>
      <c r="AF303" s="3864"/>
      <c r="AG303" s="3864"/>
      <c r="AH303" s="3864"/>
      <c r="AI303" s="3864"/>
      <c r="AJ303" s="3864"/>
      <c r="AK303" s="3864"/>
      <c r="AL303" s="3864"/>
      <c r="AM303" s="3864"/>
      <c r="AN303" s="3864"/>
      <c r="AO303" s="3879"/>
      <c r="AP303" s="3879"/>
      <c r="AQ303" s="3881"/>
      <c r="AR303" s="2204"/>
      <c r="AS303" s="2204"/>
      <c r="AT303" s="2204"/>
      <c r="AU303" s="2204"/>
      <c r="AV303" s="2204"/>
      <c r="AW303" s="2204"/>
      <c r="AX303" s="2204"/>
      <c r="AY303" s="2204"/>
      <c r="AZ303" s="2204"/>
      <c r="BA303" s="2204"/>
      <c r="BB303" s="2204"/>
      <c r="BC303" s="2204"/>
      <c r="BD303" s="2204"/>
      <c r="BE303" s="2204"/>
      <c r="BF303" s="2204"/>
      <c r="BG303" s="2204"/>
      <c r="BH303" s="2204"/>
      <c r="BI303" s="2204"/>
      <c r="BJ303" s="2204"/>
      <c r="BK303" s="2204"/>
      <c r="BL303" s="2204"/>
      <c r="BM303" s="2204"/>
      <c r="BN303" s="2204"/>
      <c r="BO303" s="2204"/>
      <c r="BP303" s="2204"/>
      <c r="BQ303" s="2204"/>
      <c r="BR303" s="2204"/>
      <c r="BS303" s="2204"/>
      <c r="BT303" s="2204"/>
      <c r="BU303" s="2204"/>
      <c r="BV303" s="2204"/>
      <c r="BW303" s="2204"/>
      <c r="BX303" s="2204"/>
      <c r="BY303" s="2204"/>
      <c r="BZ303" s="2204"/>
      <c r="CA303" s="2204"/>
      <c r="CB303" s="2204"/>
      <c r="CC303" s="2204"/>
      <c r="CD303" s="2204"/>
      <c r="CE303" s="2204"/>
      <c r="CF303" s="2204"/>
      <c r="CG303" s="2204"/>
      <c r="CH303" s="2204"/>
      <c r="CI303" s="2204"/>
      <c r="CJ303" s="2204"/>
      <c r="CK303" s="2204"/>
      <c r="CL303" s="2204"/>
      <c r="CM303" s="2204"/>
      <c r="CN303" s="2204"/>
      <c r="CO303" s="2204"/>
      <c r="CP303" s="2204"/>
      <c r="CQ303" s="2204"/>
      <c r="CR303" s="2204"/>
      <c r="CS303" s="2204"/>
      <c r="CT303" s="2204"/>
      <c r="CU303" s="2204"/>
      <c r="CV303" s="2204"/>
      <c r="CW303" s="2204"/>
      <c r="CX303" s="2204"/>
      <c r="CY303" s="2204"/>
      <c r="CZ303" s="2204"/>
      <c r="DA303" s="2204"/>
      <c r="DB303" s="2204"/>
      <c r="DC303" s="2204"/>
      <c r="DD303" s="2204"/>
      <c r="DE303" s="2204"/>
      <c r="DF303" s="2204"/>
      <c r="DG303" s="2204"/>
      <c r="DH303" s="2204"/>
      <c r="DI303" s="2204"/>
      <c r="DJ303" s="2204"/>
      <c r="DK303" s="2204"/>
      <c r="DL303" s="2204"/>
      <c r="DM303" s="2204"/>
      <c r="DN303" s="2204"/>
      <c r="DO303" s="2204"/>
      <c r="DP303" s="2204"/>
      <c r="DQ303" s="2204"/>
      <c r="DR303" s="2204"/>
      <c r="DS303" s="2204"/>
      <c r="DT303" s="2204"/>
      <c r="DU303" s="2204"/>
      <c r="DV303" s="2204"/>
      <c r="DW303" s="2204"/>
      <c r="DX303" s="2204"/>
      <c r="DY303" s="2204"/>
      <c r="DZ303" s="2204"/>
      <c r="EA303" s="2204"/>
      <c r="EB303" s="2204"/>
      <c r="EC303" s="2204"/>
      <c r="ED303" s="2204"/>
      <c r="EE303" s="2204"/>
      <c r="EF303" s="2204"/>
      <c r="EG303" s="2204"/>
      <c r="EH303" s="2204"/>
      <c r="EI303" s="2204"/>
      <c r="EJ303" s="2204"/>
      <c r="EK303" s="2204"/>
      <c r="EL303" s="2204"/>
      <c r="EM303" s="2204"/>
      <c r="EN303" s="2204"/>
      <c r="EO303" s="2204"/>
      <c r="EP303" s="2204"/>
      <c r="EQ303" s="2204"/>
      <c r="ER303" s="2204"/>
      <c r="ES303" s="2204"/>
      <c r="ET303" s="2204"/>
      <c r="EU303" s="2204"/>
      <c r="EV303" s="2204"/>
      <c r="EW303" s="2204"/>
      <c r="EX303" s="2204"/>
      <c r="EY303" s="2204"/>
      <c r="EZ303" s="2204"/>
      <c r="FA303" s="2204"/>
      <c r="FB303" s="2204"/>
      <c r="FC303" s="2204"/>
      <c r="FD303" s="2204"/>
      <c r="FE303" s="2204"/>
      <c r="FF303" s="2204"/>
      <c r="FG303" s="2204"/>
      <c r="FH303" s="2204"/>
      <c r="FI303" s="2204"/>
      <c r="FJ303" s="2204"/>
      <c r="FK303" s="2204"/>
      <c r="FL303" s="2204"/>
    </row>
    <row r="304" spans="1:168" s="2344" customFormat="1" ht="45" customHeight="1" x14ac:dyDescent="0.2">
      <c r="A304" s="2215"/>
      <c r="B304" s="2216"/>
      <c r="C304" s="2217"/>
      <c r="D304" s="2216"/>
      <c r="E304" s="2216"/>
      <c r="F304" s="2217"/>
      <c r="G304" s="2216"/>
      <c r="H304" s="2216"/>
      <c r="I304" s="2217"/>
      <c r="J304" s="3899"/>
      <c r="K304" s="3890"/>
      <c r="L304" s="3864"/>
      <c r="M304" s="3931"/>
      <c r="N304" s="3864"/>
      <c r="O304" s="3864"/>
      <c r="P304" s="3867"/>
      <c r="Q304" s="3918"/>
      <c r="R304" s="3884"/>
      <c r="S304" s="3867"/>
      <c r="T304" s="3867"/>
      <c r="U304" s="3934"/>
      <c r="V304" s="2311">
        <f>3195802120-81073317</f>
        <v>3114728803</v>
      </c>
      <c r="W304" s="2331">
        <v>58</v>
      </c>
      <c r="X304" s="2264" t="s">
        <v>2426</v>
      </c>
      <c r="Y304" s="3864"/>
      <c r="Z304" s="3864"/>
      <c r="AA304" s="3864"/>
      <c r="AB304" s="3864"/>
      <c r="AC304" s="3864"/>
      <c r="AD304" s="3864"/>
      <c r="AE304" s="3864"/>
      <c r="AF304" s="3864"/>
      <c r="AG304" s="3864"/>
      <c r="AH304" s="3864"/>
      <c r="AI304" s="3864"/>
      <c r="AJ304" s="3864"/>
      <c r="AK304" s="3864"/>
      <c r="AL304" s="3864"/>
      <c r="AM304" s="3864"/>
      <c r="AN304" s="3864"/>
      <c r="AO304" s="3879"/>
      <c r="AP304" s="3879"/>
      <c r="AQ304" s="3881"/>
      <c r="AR304" s="2204"/>
      <c r="AS304" s="2204"/>
      <c r="AT304" s="2204"/>
      <c r="AU304" s="2204"/>
      <c r="AV304" s="2204"/>
      <c r="AW304" s="2204"/>
      <c r="AX304" s="2204"/>
      <c r="AY304" s="2204"/>
      <c r="AZ304" s="2204"/>
      <c r="BA304" s="2204"/>
      <c r="BB304" s="2204"/>
      <c r="BC304" s="2204"/>
      <c r="BD304" s="2204"/>
      <c r="BE304" s="2204"/>
      <c r="BF304" s="2204"/>
      <c r="BG304" s="2204"/>
      <c r="BH304" s="2204"/>
      <c r="BI304" s="2204"/>
      <c r="BJ304" s="2204"/>
      <c r="BK304" s="2204"/>
      <c r="BL304" s="2204"/>
      <c r="BM304" s="2204"/>
      <c r="BN304" s="2204"/>
      <c r="BO304" s="2204"/>
      <c r="BP304" s="2204"/>
      <c r="BQ304" s="2204"/>
      <c r="BR304" s="2204"/>
      <c r="BS304" s="2204"/>
      <c r="BT304" s="2204"/>
      <c r="BU304" s="2204"/>
      <c r="BV304" s="2204"/>
      <c r="BW304" s="2204"/>
      <c r="BX304" s="2204"/>
      <c r="BY304" s="2204"/>
      <c r="BZ304" s="2204"/>
      <c r="CA304" s="2204"/>
      <c r="CB304" s="2204"/>
      <c r="CC304" s="2204"/>
      <c r="CD304" s="2204"/>
      <c r="CE304" s="2204"/>
      <c r="CF304" s="2204"/>
      <c r="CG304" s="2204"/>
      <c r="CH304" s="2204"/>
      <c r="CI304" s="2204"/>
      <c r="CJ304" s="2204"/>
      <c r="CK304" s="2204"/>
      <c r="CL304" s="2204"/>
      <c r="CM304" s="2204"/>
      <c r="CN304" s="2204"/>
      <c r="CO304" s="2204"/>
      <c r="CP304" s="2204"/>
      <c r="CQ304" s="2204"/>
      <c r="CR304" s="2204"/>
      <c r="CS304" s="2204"/>
      <c r="CT304" s="2204"/>
      <c r="CU304" s="2204"/>
      <c r="CV304" s="2204"/>
      <c r="CW304" s="2204"/>
      <c r="CX304" s="2204"/>
      <c r="CY304" s="2204"/>
      <c r="CZ304" s="2204"/>
      <c r="DA304" s="2204"/>
      <c r="DB304" s="2204"/>
      <c r="DC304" s="2204"/>
      <c r="DD304" s="2204"/>
      <c r="DE304" s="2204"/>
      <c r="DF304" s="2204"/>
      <c r="DG304" s="2204"/>
      <c r="DH304" s="2204"/>
      <c r="DI304" s="2204"/>
      <c r="DJ304" s="2204"/>
      <c r="DK304" s="2204"/>
      <c r="DL304" s="2204"/>
      <c r="DM304" s="2204"/>
      <c r="DN304" s="2204"/>
      <c r="DO304" s="2204"/>
      <c r="DP304" s="2204"/>
      <c r="DQ304" s="2204"/>
      <c r="DR304" s="2204"/>
      <c r="DS304" s="2204"/>
      <c r="DT304" s="2204"/>
      <c r="DU304" s="2204"/>
      <c r="DV304" s="2204"/>
      <c r="DW304" s="2204"/>
      <c r="DX304" s="2204"/>
      <c r="DY304" s="2204"/>
      <c r="DZ304" s="2204"/>
      <c r="EA304" s="2204"/>
      <c r="EB304" s="2204"/>
      <c r="EC304" s="2204"/>
      <c r="ED304" s="2204"/>
      <c r="EE304" s="2204"/>
      <c r="EF304" s="2204"/>
      <c r="EG304" s="2204"/>
      <c r="EH304" s="2204"/>
      <c r="EI304" s="2204"/>
      <c r="EJ304" s="2204"/>
      <c r="EK304" s="2204"/>
      <c r="EL304" s="2204"/>
      <c r="EM304" s="2204"/>
      <c r="EN304" s="2204"/>
      <c r="EO304" s="2204"/>
      <c r="EP304" s="2204"/>
      <c r="EQ304" s="2204"/>
      <c r="ER304" s="2204"/>
      <c r="ES304" s="2204"/>
      <c r="ET304" s="2204"/>
      <c r="EU304" s="2204"/>
      <c r="EV304" s="2204"/>
      <c r="EW304" s="2204"/>
      <c r="EX304" s="2204"/>
      <c r="EY304" s="2204"/>
      <c r="EZ304" s="2204"/>
      <c r="FA304" s="2204"/>
      <c r="FB304" s="2204"/>
      <c r="FC304" s="2204"/>
      <c r="FD304" s="2204"/>
      <c r="FE304" s="2204"/>
      <c r="FF304" s="2204"/>
      <c r="FG304" s="2204"/>
      <c r="FH304" s="2204"/>
      <c r="FI304" s="2204"/>
      <c r="FJ304" s="2204"/>
      <c r="FK304" s="2204"/>
      <c r="FL304" s="2204"/>
    </row>
    <row r="305" spans="1:168" s="2344" customFormat="1" ht="45" customHeight="1" x14ac:dyDescent="0.2">
      <c r="A305" s="2215"/>
      <c r="B305" s="2216"/>
      <c r="C305" s="2217"/>
      <c r="D305" s="2216"/>
      <c r="E305" s="2216"/>
      <c r="F305" s="2217"/>
      <c r="G305" s="2216"/>
      <c r="H305" s="2216"/>
      <c r="I305" s="2217"/>
      <c r="J305" s="3899"/>
      <c r="K305" s="3890"/>
      <c r="L305" s="3864"/>
      <c r="M305" s="3931"/>
      <c r="N305" s="3864"/>
      <c r="O305" s="3864"/>
      <c r="P305" s="3867"/>
      <c r="Q305" s="3918"/>
      <c r="R305" s="3884"/>
      <c r="S305" s="3867"/>
      <c r="T305" s="3867"/>
      <c r="U305" s="3934"/>
      <c r="V305" s="2311">
        <v>81073317</v>
      </c>
      <c r="W305" s="2331">
        <v>58</v>
      </c>
      <c r="X305" s="2264" t="s">
        <v>2427</v>
      </c>
      <c r="Y305" s="3864"/>
      <c r="Z305" s="3864"/>
      <c r="AA305" s="3864"/>
      <c r="AB305" s="3864"/>
      <c r="AC305" s="3864"/>
      <c r="AD305" s="3864"/>
      <c r="AE305" s="3864"/>
      <c r="AF305" s="3864"/>
      <c r="AG305" s="3864"/>
      <c r="AH305" s="3864"/>
      <c r="AI305" s="3864"/>
      <c r="AJ305" s="3864"/>
      <c r="AK305" s="3864"/>
      <c r="AL305" s="3864"/>
      <c r="AM305" s="3864"/>
      <c r="AN305" s="3864"/>
      <c r="AO305" s="3879"/>
      <c r="AP305" s="3879"/>
      <c r="AQ305" s="3881"/>
      <c r="AR305" s="2204"/>
      <c r="AS305" s="2204"/>
      <c r="AT305" s="2204"/>
      <c r="AU305" s="2204"/>
      <c r="AV305" s="2204"/>
      <c r="AW305" s="2204"/>
      <c r="AX305" s="2204"/>
      <c r="AY305" s="2204"/>
      <c r="AZ305" s="2204"/>
      <c r="BA305" s="2204"/>
      <c r="BB305" s="2204"/>
      <c r="BC305" s="2204"/>
      <c r="BD305" s="2204"/>
      <c r="BE305" s="2204"/>
      <c r="BF305" s="2204"/>
      <c r="BG305" s="2204"/>
      <c r="BH305" s="2204"/>
      <c r="BI305" s="2204"/>
      <c r="BJ305" s="2204"/>
      <c r="BK305" s="2204"/>
      <c r="BL305" s="2204"/>
      <c r="BM305" s="2204"/>
      <c r="BN305" s="2204"/>
      <c r="BO305" s="2204"/>
      <c r="BP305" s="2204"/>
      <c r="BQ305" s="2204"/>
      <c r="BR305" s="2204"/>
      <c r="BS305" s="2204"/>
      <c r="BT305" s="2204"/>
      <c r="BU305" s="2204"/>
      <c r="BV305" s="2204"/>
      <c r="BW305" s="2204"/>
      <c r="BX305" s="2204"/>
      <c r="BY305" s="2204"/>
      <c r="BZ305" s="2204"/>
      <c r="CA305" s="2204"/>
      <c r="CB305" s="2204"/>
      <c r="CC305" s="2204"/>
      <c r="CD305" s="2204"/>
      <c r="CE305" s="2204"/>
      <c r="CF305" s="2204"/>
      <c r="CG305" s="2204"/>
      <c r="CH305" s="2204"/>
      <c r="CI305" s="2204"/>
      <c r="CJ305" s="2204"/>
      <c r="CK305" s="2204"/>
      <c r="CL305" s="2204"/>
      <c r="CM305" s="2204"/>
      <c r="CN305" s="2204"/>
      <c r="CO305" s="2204"/>
      <c r="CP305" s="2204"/>
      <c r="CQ305" s="2204"/>
      <c r="CR305" s="2204"/>
      <c r="CS305" s="2204"/>
      <c r="CT305" s="2204"/>
      <c r="CU305" s="2204"/>
      <c r="CV305" s="2204"/>
      <c r="CW305" s="2204"/>
      <c r="CX305" s="2204"/>
      <c r="CY305" s="2204"/>
      <c r="CZ305" s="2204"/>
      <c r="DA305" s="2204"/>
      <c r="DB305" s="2204"/>
      <c r="DC305" s="2204"/>
      <c r="DD305" s="2204"/>
      <c r="DE305" s="2204"/>
      <c r="DF305" s="2204"/>
      <c r="DG305" s="2204"/>
      <c r="DH305" s="2204"/>
      <c r="DI305" s="2204"/>
      <c r="DJ305" s="2204"/>
      <c r="DK305" s="2204"/>
      <c r="DL305" s="2204"/>
      <c r="DM305" s="2204"/>
      <c r="DN305" s="2204"/>
      <c r="DO305" s="2204"/>
      <c r="DP305" s="2204"/>
      <c r="DQ305" s="2204"/>
      <c r="DR305" s="2204"/>
      <c r="DS305" s="2204"/>
      <c r="DT305" s="2204"/>
      <c r="DU305" s="2204"/>
      <c r="DV305" s="2204"/>
      <c r="DW305" s="2204"/>
      <c r="DX305" s="2204"/>
      <c r="DY305" s="2204"/>
      <c r="DZ305" s="2204"/>
      <c r="EA305" s="2204"/>
      <c r="EB305" s="2204"/>
      <c r="EC305" s="2204"/>
      <c r="ED305" s="2204"/>
      <c r="EE305" s="2204"/>
      <c r="EF305" s="2204"/>
      <c r="EG305" s="2204"/>
      <c r="EH305" s="2204"/>
      <c r="EI305" s="2204"/>
      <c r="EJ305" s="2204"/>
      <c r="EK305" s="2204"/>
      <c r="EL305" s="2204"/>
      <c r="EM305" s="2204"/>
      <c r="EN305" s="2204"/>
      <c r="EO305" s="2204"/>
      <c r="EP305" s="2204"/>
      <c r="EQ305" s="2204"/>
      <c r="ER305" s="2204"/>
      <c r="ES305" s="2204"/>
      <c r="ET305" s="2204"/>
      <c r="EU305" s="2204"/>
      <c r="EV305" s="2204"/>
      <c r="EW305" s="2204"/>
      <c r="EX305" s="2204"/>
      <c r="EY305" s="2204"/>
      <c r="EZ305" s="2204"/>
      <c r="FA305" s="2204"/>
      <c r="FB305" s="2204"/>
      <c r="FC305" s="2204"/>
      <c r="FD305" s="2204"/>
      <c r="FE305" s="2204"/>
      <c r="FF305" s="2204"/>
      <c r="FG305" s="2204"/>
      <c r="FH305" s="2204"/>
      <c r="FI305" s="2204"/>
      <c r="FJ305" s="2204"/>
      <c r="FK305" s="2204"/>
      <c r="FL305" s="2204"/>
    </row>
    <row r="306" spans="1:168" s="2344" customFormat="1" ht="45" customHeight="1" x14ac:dyDescent="0.2">
      <c r="A306" s="2215"/>
      <c r="B306" s="2216"/>
      <c r="C306" s="2217"/>
      <c r="D306" s="2216"/>
      <c r="E306" s="2216"/>
      <c r="F306" s="2217"/>
      <c r="G306" s="2216"/>
      <c r="H306" s="2216"/>
      <c r="I306" s="2217"/>
      <c r="J306" s="3899"/>
      <c r="K306" s="3890"/>
      <c r="L306" s="3864"/>
      <c r="M306" s="3931"/>
      <c r="N306" s="3864"/>
      <c r="O306" s="3864"/>
      <c r="P306" s="3867"/>
      <c r="Q306" s="3918"/>
      <c r="R306" s="3884"/>
      <c r="S306" s="3867"/>
      <c r="T306" s="3867"/>
      <c r="U306" s="3934"/>
      <c r="V306" s="2311">
        <f>4163056704+1353644949</f>
        <v>5516701653</v>
      </c>
      <c r="W306" s="2331">
        <v>59</v>
      </c>
      <c r="X306" s="2264" t="s">
        <v>2428</v>
      </c>
      <c r="Y306" s="3864"/>
      <c r="Z306" s="3864"/>
      <c r="AA306" s="3864"/>
      <c r="AB306" s="3864"/>
      <c r="AC306" s="3864"/>
      <c r="AD306" s="3864"/>
      <c r="AE306" s="3864"/>
      <c r="AF306" s="3864"/>
      <c r="AG306" s="3864"/>
      <c r="AH306" s="3864"/>
      <c r="AI306" s="3864"/>
      <c r="AJ306" s="3864"/>
      <c r="AK306" s="3864"/>
      <c r="AL306" s="3864"/>
      <c r="AM306" s="3864"/>
      <c r="AN306" s="3864"/>
      <c r="AO306" s="3879"/>
      <c r="AP306" s="3879"/>
      <c r="AQ306" s="3881"/>
      <c r="AR306" s="2204"/>
      <c r="AS306" s="2204"/>
      <c r="AT306" s="2204"/>
      <c r="AU306" s="2204"/>
      <c r="AV306" s="2204"/>
      <c r="AW306" s="2204"/>
      <c r="AX306" s="2204"/>
      <c r="AY306" s="2204"/>
      <c r="AZ306" s="2204"/>
      <c r="BA306" s="2204"/>
      <c r="BB306" s="2204"/>
      <c r="BC306" s="2204"/>
      <c r="BD306" s="2204"/>
      <c r="BE306" s="2204"/>
      <c r="BF306" s="2204"/>
      <c r="BG306" s="2204"/>
      <c r="BH306" s="2204"/>
      <c r="BI306" s="2204"/>
      <c r="BJ306" s="2204"/>
      <c r="BK306" s="2204"/>
      <c r="BL306" s="2204"/>
      <c r="BM306" s="2204"/>
      <c r="BN306" s="2204"/>
      <c r="BO306" s="2204"/>
      <c r="BP306" s="2204"/>
      <c r="BQ306" s="2204"/>
      <c r="BR306" s="2204"/>
      <c r="BS306" s="2204"/>
      <c r="BT306" s="2204"/>
      <c r="BU306" s="2204"/>
      <c r="BV306" s="2204"/>
      <c r="BW306" s="2204"/>
      <c r="BX306" s="2204"/>
      <c r="BY306" s="2204"/>
      <c r="BZ306" s="2204"/>
      <c r="CA306" s="2204"/>
      <c r="CB306" s="2204"/>
      <c r="CC306" s="2204"/>
      <c r="CD306" s="2204"/>
      <c r="CE306" s="2204"/>
      <c r="CF306" s="2204"/>
      <c r="CG306" s="2204"/>
      <c r="CH306" s="2204"/>
      <c r="CI306" s="2204"/>
      <c r="CJ306" s="2204"/>
      <c r="CK306" s="2204"/>
      <c r="CL306" s="2204"/>
      <c r="CM306" s="2204"/>
      <c r="CN306" s="2204"/>
      <c r="CO306" s="2204"/>
      <c r="CP306" s="2204"/>
      <c r="CQ306" s="2204"/>
      <c r="CR306" s="2204"/>
      <c r="CS306" s="2204"/>
      <c r="CT306" s="2204"/>
      <c r="CU306" s="2204"/>
      <c r="CV306" s="2204"/>
      <c r="CW306" s="2204"/>
      <c r="CX306" s="2204"/>
      <c r="CY306" s="2204"/>
      <c r="CZ306" s="2204"/>
      <c r="DA306" s="2204"/>
      <c r="DB306" s="2204"/>
      <c r="DC306" s="2204"/>
      <c r="DD306" s="2204"/>
      <c r="DE306" s="2204"/>
      <c r="DF306" s="2204"/>
      <c r="DG306" s="2204"/>
      <c r="DH306" s="2204"/>
      <c r="DI306" s="2204"/>
      <c r="DJ306" s="2204"/>
      <c r="DK306" s="2204"/>
      <c r="DL306" s="2204"/>
      <c r="DM306" s="2204"/>
      <c r="DN306" s="2204"/>
      <c r="DO306" s="2204"/>
      <c r="DP306" s="2204"/>
      <c r="DQ306" s="2204"/>
      <c r="DR306" s="2204"/>
      <c r="DS306" s="2204"/>
      <c r="DT306" s="2204"/>
      <c r="DU306" s="2204"/>
      <c r="DV306" s="2204"/>
      <c r="DW306" s="2204"/>
      <c r="DX306" s="2204"/>
      <c r="DY306" s="2204"/>
      <c r="DZ306" s="2204"/>
      <c r="EA306" s="2204"/>
      <c r="EB306" s="2204"/>
      <c r="EC306" s="2204"/>
      <c r="ED306" s="2204"/>
      <c r="EE306" s="2204"/>
      <c r="EF306" s="2204"/>
      <c r="EG306" s="2204"/>
      <c r="EH306" s="2204"/>
      <c r="EI306" s="2204"/>
      <c r="EJ306" s="2204"/>
      <c r="EK306" s="2204"/>
      <c r="EL306" s="2204"/>
      <c r="EM306" s="2204"/>
      <c r="EN306" s="2204"/>
      <c r="EO306" s="2204"/>
      <c r="EP306" s="2204"/>
      <c r="EQ306" s="2204"/>
      <c r="ER306" s="2204"/>
      <c r="ES306" s="2204"/>
      <c r="ET306" s="2204"/>
      <c r="EU306" s="2204"/>
      <c r="EV306" s="2204"/>
      <c r="EW306" s="2204"/>
      <c r="EX306" s="2204"/>
      <c r="EY306" s="2204"/>
      <c r="EZ306" s="2204"/>
      <c r="FA306" s="2204"/>
      <c r="FB306" s="2204"/>
      <c r="FC306" s="2204"/>
      <c r="FD306" s="2204"/>
      <c r="FE306" s="2204"/>
      <c r="FF306" s="2204"/>
      <c r="FG306" s="2204"/>
      <c r="FH306" s="2204"/>
      <c r="FI306" s="2204"/>
      <c r="FJ306" s="2204"/>
      <c r="FK306" s="2204"/>
      <c r="FL306" s="2204"/>
    </row>
    <row r="307" spans="1:168" s="2344" customFormat="1" ht="45" customHeight="1" x14ac:dyDescent="0.2">
      <c r="A307" s="2215"/>
      <c r="B307" s="2216"/>
      <c r="C307" s="2217"/>
      <c r="D307" s="2216"/>
      <c r="E307" s="2216"/>
      <c r="F307" s="2217"/>
      <c r="G307" s="2216"/>
      <c r="H307" s="2216"/>
      <c r="I307" s="2217"/>
      <c r="J307" s="3899"/>
      <c r="K307" s="3890"/>
      <c r="L307" s="3864"/>
      <c r="M307" s="3931"/>
      <c r="N307" s="3864"/>
      <c r="O307" s="3864"/>
      <c r="P307" s="3867"/>
      <c r="Q307" s="3918"/>
      <c r="R307" s="3884"/>
      <c r="S307" s="3867"/>
      <c r="T307" s="3867"/>
      <c r="U307" s="3934"/>
      <c r="V307" s="2311">
        <v>3775114443</v>
      </c>
      <c r="W307" s="2331">
        <v>60</v>
      </c>
      <c r="X307" s="2264" t="s">
        <v>2429</v>
      </c>
      <c r="Y307" s="3864"/>
      <c r="Z307" s="3864"/>
      <c r="AA307" s="3864"/>
      <c r="AB307" s="3864"/>
      <c r="AC307" s="3864"/>
      <c r="AD307" s="3864"/>
      <c r="AE307" s="3864"/>
      <c r="AF307" s="3864"/>
      <c r="AG307" s="3864"/>
      <c r="AH307" s="3864"/>
      <c r="AI307" s="3864"/>
      <c r="AJ307" s="3864"/>
      <c r="AK307" s="3864"/>
      <c r="AL307" s="3864"/>
      <c r="AM307" s="3864"/>
      <c r="AN307" s="3864"/>
      <c r="AO307" s="3879"/>
      <c r="AP307" s="3879"/>
      <c r="AQ307" s="3881"/>
      <c r="AR307" s="2204"/>
      <c r="AS307" s="2204"/>
      <c r="AT307" s="2204"/>
      <c r="AU307" s="2204"/>
      <c r="AV307" s="2204"/>
      <c r="AW307" s="2204"/>
      <c r="AX307" s="2204"/>
      <c r="AY307" s="2204"/>
      <c r="AZ307" s="2204"/>
      <c r="BA307" s="2204"/>
      <c r="BB307" s="2204"/>
      <c r="BC307" s="2204"/>
      <c r="BD307" s="2204"/>
      <c r="BE307" s="2204"/>
      <c r="BF307" s="2204"/>
      <c r="BG307" s="2204"/>
      <c r="BH307" s="2204"/>
      <c r="BI307" s="2204"/>
      <c r="BJ307" s="2204"/>
      <c r="BK307" s="2204"/>
      <c r="BL307" s="2204"/>
      <c r="BM307" s="2204"/>
      <c r="BN307" s="2204"/>
      <c r="BO307" s="2204"/>
      <c r="BP307" s="2204"/>
      <c r="BQ307" s="2204"/>
      <c r="BR307" s="2204"/>
      <c r="BS307" s="2204"/>
      <c r="BT307" s="2204"/>
      <c r="BU307" s="2204"/>
      <c r="BV307" s="2204"/>
      <c r="BW307" s="2204"/>
      <c r="BX307" s="2204"/>
      <c r="BY307" s="2204"/>
      <c r="BZ307" s="2204"/>
      <c r="CA307" s="2204"/>
      <c r="CB307" s="2204"/>
      <c r="CC307" s="2204"/>
      <c r="CD307" s="2204"/>
      <c r="CE307" s="2204"/>
      <c r="CF307" s="2204"/>
      <c r="CG307" s="2204"/>
      <c r="CH307" s="2204"/>
      <c r="CI307" s="2204"/>
      <c r="CJ307" s="2204"/>
      <c r="CK307" s="2204"/>
      <c r="CL307" s="2204"/>
      <c r="CM307" s="2204"/>
      <c r="CN307" s="2204"/>
      <c r="CO307" s="2204"/>
      <c r="CP307" s="2204"/>
      <c r="CQ307" s="2204"/>
      <c r="CR307" s="2204"/>
      <c r="CS307" s="2204"/>
      <c r="CT307" s="2204"/>
      <c r="CU307" s="2204"/>
      <c r="CV307" s="2204"/>
      <c r="CW307" s="2204"/>
      <c r="CX307" s="2204"/>
      <c r="CY307" s="2204"/>
      <c r="CZ307" s="2204"/>
      <c r="DA307" s="2204"/>
      <c r="DB307" s="2204"/>
      <c r="DC307" s="2204"/>
      <c r="DD307" s="2204"/>
      <c r="DE307" s="2204"/>
      <c r="DF307" s="2204"/>
      <c r="DG307" s="2204"/>
      <c r="DH307" s="2204"/>
      <c r="DI307" s="2204"/>
      <c r="DJ307" s="2204"/>
      <c r="DK307" s="2204"/>
      <c r="DL307" s="2204"/>
      <c r="DM307" s="2204"/>
      <c r="DN307" s="2204"/>
      <c r="DO307" s="2204"/>
      <c r="DP307" s="2204"/>
      <c r="DQ307" s="2204"/>
      <c r="DR307" s="2204"/>
      <c r="DS307" s="2204"/>
      <c r="DT307" s="2204"/>
      <c r="DU307" s="2204"/>
      <c r="DV307" s="2204"/>
      <c r="DW307" s="2204"/>
      <c r="DX307" s="2204"/>
      <c r="DY307" s="2204"/>
      <c r="DZ307" s="2204"/>
      <c r="EA307" s="2204"/>
      <c r="EB307" s="2204"/>
      <c r="EC307" s="2204"/>
      <c r="ED307" s="2204"/>
      <c r="EE307" s="2204"/>
      <c r="EF307" s="2204"/>
      <c r="EG307" s="2204"/>
      <c r="EH307" s="2204"/>
      <c r="EI307" s="2204"/>
      <c r="EJ307" s="2204"/>
      <c r="EK307" s="2204"/>
      <c r="EL307" s="2204"/>
      <c r="EM307" s="2204"/>
      <c r="EN307" s="2204"/>
      <c r="EO307" s="2204"/>
      <c r="EP307" s="2204"/>
      <c r="EQ307" s="2204"/>
      <c r="ER307" s="2204"/>
      <c r="ES307" s="2204"/>
      <c r="ET307" s="2204"/>
      <c r="EU307" s="2204"/>
      <c r="EV307" s="2204"/>
      <c r="EW307" s="2204"/>
      <c r="EX307" s="2204"/>
      <c r="EY307" s="2204"/>
      <c r="EZ307" s="2204"/>
      <c r="FA307" s="2204"/>
      <c r="FB307" s="2204"/>
      <c r="FC307" s="2204"/>
      <c r="FD307" s="2204"/>
      <c r="FE307" s="2204"/>
      <c r="FF307" s="2204"/>
      <c r="FG307" s="2204"/>
      <c r="FH307" s="2204"/>
      <c r="FI307" s="2204"/>
      <c r="FJ307" s="2204"/>
      <c r="FK307" s="2204"/>
      <c r="FL307" s="2204"/>
    </row>
    <row r="308" spans="1:168" s="2344" customFormat="1" ht="45" customHeight="1" x14ac:dyDescent="0.2">
      <c r="A308" s="2215"/>
      <c r="B308" s="2216"/>
      <c r="C308" s="2217"/>
      <c r="D308" s="2216"/>
      <c r="E308" s="2216"/>
      <c r="F308" s="2217"/>
      <c r="G308" s="2216"/>
      <c r="H308" s="2216"/>
      <c r="I308" s="2217"/>
      <c r="J308" s="3899"/>
      <c r="K308" s="3890"/>
      <c r="L308" s="3864"/>
      <c r="M308" s="3931"/>
      <c r="N308" s="3864"/>
      <c r="O308" s="3864"/>
      <c r="P308" s="3867"/>
      <c r="Q308" s="3918"/>
      <c r="R308" s="3884"/>
      <c r="S308" s="3867"/>
      <c r="T308" s="3867"/>
      <c r="U308" s="3934"/>
      <c r="V308" s="2311">
        <v>2572053017.4000001</v>
      </c>
      <c r="W308" s="2331">
        <v>96</v>
      </c>
      <c r="X308" s="2264" t="s">
        <v>2430</v>
      </c>
      <c r="Y308" s="3864"/>
      <c r="Z308" s="3864"/>
      <c r="AA308" s="3864"/>
      <c r="AB308" s="3864"/>
      <c r="AC308" s="3864"/>
      <c r="AD308" s="3864"/>
      <c r="AE308" s="3864"/>
      <c r="AF308" s="3864"/>
      <c r="AG308" s="3864"/>
      <c r="AH308" s="3864"/>
      <c r="AI308" s="3864"/>
      <c r="AJ308" s="3864"/>
      <c r="AK308" s="3864"/>
      <c r="AL308" s="3864"/>
      <c r="AM308" s="3864"/>
      <c r="AN308" s="3864"/>
      <c r="AO308" s="3879"/>
      <c r="AP308" s="3879"/>
      <c r="AQ308" s="3881"/>
      <c r="AR308" s="2204"/>
      <c r="AS308" s="2204"/>
      <c r="AT308" s="2204"/>
      <c r="AU308" s="2204"/>
      <c r="AV308" s="2204"/>
      <c r="AW308" s="2204"/>
      <c r="AX308" s="2204"/>
      <c r="AY308" s="2204"/>
      <c r="AZ308" s="2204"/>
      <c r="BA308" s="2204"/>
      <c r="BB308" s="2204"/>
      <c r="BC308" s="2204"/>
      <c r="BD308" s="2204"/>
      <c r="BE308" s="2204"/>
      <c r="BF308" s="2204"/>
      <c r="BG308" s="2204"/>
      <c r="BH308" s="2204"/>
      <c r="BI308" s="2204"/>
      <c r="BJ308" s="2204"/>
      <c r="BK308" s="2204"/>
      <c r="BL308" s="2204"/>
      <c r="BM308" s="2204"/>
      <c r="BN308" s="2204"/>
      <c r="BO308" s="2204"/>
      <c r="BP308" s="2204"/>
      <c r="BQ308" s="2204"/>
      <c r="BR308" s="2204"/>
      <c r="BS308" s="2204"/>
      <c r="BT308" s="2204"/>
      <c r="BU308" s="2204"/>
      <c r="BV308" s="2204"/>
      <c r="BW308" s="2204"/>
      <c r="BX308" s="2204"/>
      <c r="BY308" s="2204"/>
      <c r="BZ308" s="2204"/>
      <c r="CA308" s="2204"/>
      <c r="CB308" s="2204"/>
      <c r="CC308" s="2204"/>
      <c r="CD308" s="2204"/>
      <c r="CE308" s="2204"/>
      <c r="CF308" s="2204"/>
      <c r="CG308" s="2204"/>
      <c r="CH308" s="2204"/>
      <c r="CI308" s="2204"/>
      <c r="CJ308" s="2204"/>
      <c r="CK308" s="2204"/>
      <c r="CL308" s="2204"/>
      <c r="CM308" s="2204"/>
      <c r="CN308" s="2204"/>
      <c r="CO308" s="2204"/>
      <c r="CP308" s="2204"/>
      <c r="CQ308" s="2204"/>
      <c r="CR308" s="2204"/>
      <c r="CS308" s="2204"/>
      <c r="CT308" s="2204"/>
      <c r="CU308" s="2204"/>
      <c r="CV308" s="2204"/>
      <c r="CW308" s="2204"/>
      <c r="CX308" s="2204"/>
      <c r="CY308" s="2204"/>
      <c r="CZ308" s="2204"/>
      <c r="DA308" s="2204"/>
      <c r="DB308" s="2204"/>
      <c r="DC308" s="2204"/>
      <c r="DD308" s="2204"/>
      <c r="DE308" s="2204"/>
      <c r="DF308" s="2204"/>
      <c r="DG308" s="2204"/>
      <c r="DH308" s="2204"/>
      <c r="DI308" s="2204"/>
      <c r="DJ308" s="2204"/>
      <c r="DK308" s="2204"/>
      <c r="DL308" s="2204"/>
      <c r="DM308" s="2204"/>
      <c r="DN308" s="2204"/>
      <c r="DO308" s="2204"/>
      <c r="DP308" s="2204"/>
      <c r="DQ308" s="2204"/>
      <c r="DR308" s="2204"/>
      <c r="DS308" s="2204"/>
      <c r="DT308" s="2204"/>
      <c r="DU308" s="2204"/>
      <c r="DV308" s="2204"/>
      <c r="DW308" s="2204"/>
      <c r="DX308" s="2204"/>
      <c r="DY308" s="2204"/>
      <c r="DZ308" s="2204"/>
      <c r="EA308" s="2204"/>
      <c r="EB308" s="2204"/>
      <c r="EC308" s="2204"/>
      <c r="ED308" s="2204"/>
      <c r="EE308" s="2204"/>
      <c r="EF308" s="2204"/>
      <c r="EG308" s="2204"/>
      <c r="EH308" s="2204"/>
      <c r="EI308" s="2204"/>
      <c r="EJ308" s="2204"/>
      <c r="EK308" s="2204"/>
      <c r="EL308" s="2204"/>
      <c r="EM308" s="2204"/>
      <c r="EN308" s="2204"/>
      <c r="EO308" s="2204"/>
      <c r="EP308" s="2204"/>
      <c r="EQ308" s="2204"/>
      <c r="ER308" s="2204"/>
      <c r="ES308" s="2204"/>
      <c r="ET308" s="2204"/>
      <c r="EU308" s="2204"/>
      <c r="EV308" s="2204"/>
      <c r="EW308" s="2204"/>
      <c r="EX308" s="2204"/>
      <c r="EY308" s="2204"/>
      <c r="EZ308" s="2204"/>
      <c r="FA308" s="2204"/>
      <c r="FB308" s="2204"/>
      <c r="FC308" s="2204"/>
      <c r="FD308" s="2204"/>
      <c r="FE308" s="2204"/>
      <c r="FF308" s="2204"/>
      <c r="FG308" s="2204"/>
      <c r="FH308" s="2204"/>
      <c r="FI308" s="2204"/>
      <c r="FJ308" s="2204"/>
      <c r="FK308" s="2204"/>
      <c r="FL308" s="2204"/>
    </row>
    <row r="309" spans="1:168" s="2344" customFormat="1" ht="45" customHeight="1" x14ac:dyDescent="0.2">
      <c r="A309" s="2215"/>
      <c r="B309" s="2216"/>
      <c r="C309" s="2217"/>
      <c r="D309" s="2216"/>
      <c r="E309" s="2216"/>
      <c r="F309" s="2217"/>
      <c r="G309" s="2216"/>
      <c r="H309" s="2216"/>
      <c r="I309" s="2217"/>
      <c r="J309" s="3899"/>
      <c r="K309" s="3890"/>
      <c r="L309" s="3864"/>
      <c r="M309" s="3931"/>
      <c r="N309" s="3864"/>
      <c r="O309" s="3864"/>
      <c r="P309" s="3867"/>
      <c r="Q309" s="3918"/>
      <c r="R309" s="3884"/>
      <c r="S309" s="3867"/>
      <c r="T309" s="3867"/>
      <c r="U309" s="3934"/>
      <c r="V309" s="2311">
        <v>573833621</v>
      </c>
      <c r="W309" s="2331">
        <v>97</v>
      </c>
      <c r="X309" s="2264" t="s">
        <v>2431</v>
      </c>
      <c r="Y309" s="3864"/>
      <c r="Z309" s="3864"/>
      <c r="AA309" s="3864"/>
      <c r="AB309" s="3864"/>
      <c r="AC309" s="3864"/>
      <c r="AD309" s="3864"/>
      <c r="AE309" s="3864"/>
      <c r="AF309" s="3864"/>
      <c r="AG309" s="3864"/>
      <c r="AH309" s="3864"/>
      <c r="AI309" s="3864"/>
      <c r="AJ309" s="3864"/>
      <c r="AK309" s="3864"/>
      <c r="AL309" s="3864"/>
      <c r="AM309" s="3864"/>
      <c r="AN309" s="3864"/>
      <c r="AO309" s="3879"/>
      <c r="AP309" s="3879"/>
      <c r="AQ309" s="3881"/>
      <c r="AR309" s="2204"/>
      <c r="AS309" s="2204"/>
      <c r="AT309" s="2204"/>
      <c r="AU309" s="2204"/>
      <c r="AV309" s="2204"/>
      <c r="AW309" s="2204"/>
      <c r="AX309" s="2204"/>
      <c r="AY309" s="2204"/>
      <c r="AZ309" s="2204"/>
      <c r="BA309" s="2204"/>
      <c r="BB309" s="2204"/>
      <c r="BC309" s="2204"/>
      <c r="BD309" s="2204"/>
      <c r="BE309" s="2204"/>
      <c r="BF309" s="2204"/>
      <c r="BG309" s="2204"/>
      <c r="BH309" s="2204"/>
      <c r="BI309" s="2204"/>
      <c r="BJ309" s="2204"/>
      <c r="BK309" s="2204"/>
      <c r="BL309" s="2204"/>
      <c r="BM309" s="2204"/>
      <c r="BN309" s="2204"/>
      <c r="BO309" s="2204"/>
      <c r="BP309" s="2204"/>
      <c r="BQ309" s="2204"/>
      <c r="BR309" s="2204"/>
      <c r="BS309" s="2204"/>
      <c r="BT309" s="2204"/>
      <c r="BU309" s="2204"/>
      <c r="BV309" s="2204"/>
      <c r="BW309" s="2204"/>
      <c r="BX309" s="2204"/>
      <c r="BY309" s="2204"/>
      <c r="BZ309" s="2204"/>
      <c r="CA309" s="2204"/>
      <c r="CB309" s="2204"/>
      <c r="CC309" s="2204"/>
      <c r="CD309" s="2204"/>
      <c r="CE309" s="2204"/>
      <c r="CF309" s="2204"/>
      <c r="CG309" s="2204"/>
      <c r="CH309" s="2204"/>
      <c r="CI309" s="2204"/>
      <c r="CJ309" s="2204"/>
      <c r="CK309" s="2204"/>
      <c r="CL309" s="2204"/>
      <c r="CM309" s="2204"/>
      <c r="CN309" s="2204"/>
      <c r="CO309" s="2204"/>
      <c r="CP309" s="2204"/>
      <c r="CQ309" s="2204"/>
      <c r="CR309" s="2204"/>
      <c r="CS309" s="2204"/>
      <c r="CT309" s="2204"/>
      <c r="CU309" s="2204"/>
      <c r="CV309" s="2204"/>
      <c r="CW309" s="2204"/>
      <c r="CX309" s="2204"/>
      <c r="CY309" s="2204"/>
      <c r="CZ309" s="2204"/>
      <c r="DA309" s="2204"/>
      <c r="DB309" s="2204"/>
      <c r="DC309" s="2204"/>
      <c r="DD309" s="2204"/>
      <c r="DE309" s="2204"/>
      <c r="DF309" s="2204"/>
      <c r="DG309" s="2204"/>
      <c r="DH309" s="2204"/>
      <c r="DI309" s="2204"/>
      <c r="DJ309" s="2204"/>
      <c r="DK309" s="2204"/>
      <c r="DL309" s="2204"/>
      <c r="DM309" s="2204"/>
      <c r="DN309" s="2204"/>
      <c r="DO309" s="2204"/>
      <c r="DP309" s="2204"/>
      <c r="DQ309" s="2204"/>
      <c r="DR309" s="2204"/>
      <c r="DS309" s="2204"/>
      <c r="DT309" s="2204"/>
      <c r="DU309" s="2204"/>
      <c r="DV309" s="2204"/>
      <c r="DW309" s="2204"/>
      <c r="DX309" s="2204"/>
      <c r="DY309" s="2204"/>
      <c r="DZ309" s="2204"/>
      <c r="EA309" s="2204"/>
      <c r="EB309" s="2204"/>
      <c r="EC309" s="2204"/>
      <c r="ED309" s="2204"/>
      <c r="EE309" s="2204"/>
      <c r="EF309" s="2204"/>
      <c r="EG309" s="2204"/>
      <c r="EH309" s="2204"/>
      <c r="EI309" s="2204"/>
      <c r="EJ309" s="2204"/>
      <c r="EK309" s="2204"/>
      <c r="EL309" s="2204"/>
      <c r="EM309" s="2204"/>
      <c r="EN309" s="2204"/>
      <c r="EO309" s="2204"/>
      <c r="EP309" s="2204"/>
      <c r="EQ309" s="2204"/>
      <c r="ER309" s="2204"/>
      <c r="ES309" s="2204"/>
      <c r="ET309" s="2204"/>
      <c r="EU309" s="2204"/>
      <c r="EV309" s="2204"/>
      <c r="EW309" s="2204"/>
      <c r="EX309" s="2204"/>
      <c r="EY309" s="2204"/>
      <c r="EZ309" s="2204"/>
      <c r="FA309" s="2204"/>
      <c r="FB309" s="2204"/>
      <c r="FC309" s="2204"/>
      <c r="FD309" s="2204"/>
      <c r="FE309" s="2204"/>
      <c r="FF309" s="2204"/>
      <c r="FG309" s="2204"/>
      <c r="FH309" s="2204"/>
      <c r="FI309" s="2204"/>
      <c r="FJ309" s="2204"/>
      <c r="FK309" s="2204"/>
      <c r="FL309" s="2204"/>
    </row>
    <row r="310" spans="1:168" s="2344" customFormat="1" ht="45" customHeight="1" x14ac:dyDescent="0.2">
      <c r="A310" s="2215"/>
      <c r="B310" s="2216"/>
      <c r="C310" s="2217"/>
      <c r="D310" s="2216"/>
      <c r="E310" s="2216"/>
      <c r="F310" s="2217"/>
      <c r="G310" s="2216"/>
      <c r="H310" s="2216"/>
      <c r="I310" s="2217"/>
      <c r="J310" s="3899"/>
      <c r="K310" s="3890"/>
      <c r="L310" s="3864"/>
      <c r="M310" s="3931"/>
      <c r="N310" s="3864"/>
      <c r="O310" s="3864"/>
      <c r="P310" s="3867"/>
      <c r="Q310" s="3918"/>
      <c r="R310" s="3884"/>
      <c r="S310" s="3867"/>
      <c r="T310" s="3867"/>
      <c r="U310" s="3934"/>
      <c r="V310" s="2311">
        <v>6866202</v>
      </c>
      <c r="W310" s="2331">
        <v>65</v>
      </c>
      <c r="X310" s="2264" t="s">
        <v>2432</v>
      </c>
      <c r="Y310" s="3864"/>
      <c r="Z310" s="3864"/>
      <c r="AA310" s="3864"/>
      <c r="AB310" s="3864"/>
      <c r="AC310" s="3864"/>
      <c r="AD310" s="3864"/>
      <c r="AE310" s="3864"/>
      <c r="AF310" s="3864"/>
      <c r="AG310" s="3864"/>
      <c r="AH310" s="3864"/>
      <c r="AI310" s="3864"/>
      <c r="AJ310" s="3864"/>
      <c r="AK310" s="3864"/>
      <c r="AL310" s="3864"/>
      <c r="AM310" s="3864"/>
      <c r="AN310" s="3864"/>
      <c r="AO310" s="3879"/>
      <c r="AP310" s="3879"/>
      <c r="AQ310" s="3881"/>
      <c r="AR310" s="2204"/>
      <c r="AS310" s="2204"/>
      <c r="AT310" s="2204"/>
      <c r="AU310" s="2204"/>
      <c r="AV310" s="2204"/>
      <c r="AW310" s="2204"/>
      <c r="AX310" s="2204"/>
      <c r="AY310" s="2204"/>
      <c r="AZ310" s="2204"/>
      <c r="BA310" s="2204"/>
      <c r="BB310" s="2204"/>
      <c r="BC310" s="2204"/>
      <c r="BD310" s="2204"/>
      <c r="BE310" s="2204"/>
      <c r="BF310" s="2204"/>
      <c r="BG310" s="2204"/>
      <c r="BH310" s="2204"/>
      <c r="BI310" s="2204"/>
      <c r="BJ310" s="2204"/>
      <c r="BK310" s="2204"/>
      <c r="BL310" s="2204"/>
      <c r="BM310" s="2204"/>
      <c r="BN310" s="2204"/>
      <c r="BO310" s="2204"/>
      <c r="BP310" s="2204"/>
      <c r="BQ310" s="2204"/>
      <c r="BR310" s="2204"/>
      <c r="BS310" s="2204"/>
      <c r="BT310" s="2204"/>
      <c r="BU310" s="2204"/>
      <c r="BV310" s="2204"/>
      <c r="BW310" s="2204"/>
      <c r="BX310" s="2204"/>
      <c r="BY310" s="2204"/>
      <c r="BZ310" s="2204"/>
      <c r="CA310" s="2204"/>
      <c r="CB310" s="2204"/>
      <c r="CC310" s="2204"/>
      <c r="CD310" s="2204"/>
      <c r="CE310" s="2204"/>
      <c r="CF310" s="2204"/>
      <c r="CG310" s="2204"/>
      <c r="CH310" s="2204"/>
      <c r="CI310" s="2204"/>
      <c r="CJ310" s="2204"/>
      <c r="CK310" s="2204"/>
      <c r="CL310" s="2204"/>
      <c r="CM310" s="2204"/>
      <c r="CN310" s="2204"/>
      <c r="CO310" s="2204"/>
      <c r="CP310" s="2204"/>
      <c r="CQ310" s="2204"/>
      <c r="CR310" s="2204"/>
      <c r="CS310" s="2204"/>
      <c r="CT310" s="2204"/>
      <c r="CU310" s="2204"/>
      <c r="CV310" s="2204"/>
      <c r="CW310" s="2204"/>
      <c r="CX310" s="2204"/>
      <c r="CY310" s="2204"/>
      <c r="CZ310" s="2204"/>
      <c r="DA310" s="2204"/>
      <c r="DB310" s="2204"/>
      <c r="DC310" s="2204"/>
      <c r="DD310" s="2204"/>
      <c r="DE310" s="2204"/>
      <c r="DF310" s="2204"/>
      <c r="DG310" s="2204"/>
      <c r="DH310" s="2204"/>
      <c r="DI310" s="2204"/>
      <c r="DJ310" s="2204"/>
      <c r="DK310" s="2204"/>
      <c r="DL310" s="2204"/>
      <c r="DM310" s="2204"/>
      <c r="DN310" s="2204"/>
      <c r="DO310" s="2204"/>
      <c r="DP310" s="2204"/>
      <c r="DQ310" s="2204"/>
      <c r="DR310" s="2204"/>
      <c r="DS310" s="2204"/>
      <c r="DT310" s="2204"/>
      <c r="DU310" s="2204"/>
      <c r="DV310" s="2204"/>
      <c r="DW310" s="2204"/>
      <c r="DX310" s="2204"/>
      <c r="DY310" s="2204"/>
      <c r="DZ310" s="2204"/>
      <c r="EA310" s="2204"/>
      <c r="EB310" s="2204"/>
      <c r="EC310" s="2204"/>
      <c r="ED310" s="2204"/>
      <c r="EE310" s="2204"/>
      <c r="EF310" s="2204"/>
      <c r="EG310" s="2204"/>
      <c r="EH310" s="2204"/>
      <c r="EI310" s="2204"/>
      <c r="EJ310" s="2204"/>
      <c r="EK310" s="2204"/>
      <c r="EL310" s="2204"/>
      <c r="EM310" s="2204"/>
      <c r="EN310" s="2204"/>
      <c r="EO310" s="2204"/>
      <c r="EP310" s="2204"/>
      <c r="EQ310" s="2204"/>
      <c r="ER310" s="2204"/>
      <c r="ES310" s="2204"/>
      <c r="ET310" s="2204"/>
      <c r="EU310" s="2204"/>
      <c r="EV310" s="2204"/>
      <c r="EW310" s="2204"/>
      <c r="EX310" s="2204"/>
      <c r="EY310" s="2204"/>
      <c r="EZ310" s="2204"/>
      <c r="FA310" s="2204"/>
      <c r="FB310" s="2204"/>
      <c r="FC310" s="2204"/>
      <c r="FD310" s="2204"/>
      <c r="FE310" s="2204"/>
      <c r="FF310" s="2204"/>
      <c r="FG310" s="2204"/>
      <c r="FH310" s="2204"/>
      <c r="FI310" s="2204"/>
      <c r="FJ310" s="2204"/>
      <c r="FK310" s="2204"/>
      <c r="FL310" s="2204"/>
    </row>
    <row r="311" spans="1:168" s="2344" customFormat="1" ht="45" customHeight="1" x14ac:dyDescent="0.2">
      <c r="A311" s="2215"/>
      <c r="B311" s="2216"/>
      <c r="C311" s="2217"/>
      <c r="D311" s="2216"/>
      <c r="E311" s="2216"/>
      <c r="F311" s="2217"/>
      <c r="G311" s="2216"/>
      <c r="H311" s="2216"/>
      <c r="I311" s="2217"/>
      <c r="J311" s="3899"/>
      <c r="K311" s="3890"/>
      <c r="L311" s="3864"/>
      <c r="M311" s="3931"/>
      <c r="N311" s="3864"/>
      <c r="O311" s="3864"/>
      <c r="P311" s="3867"/>
      <c r="Q311" s="3918"/>
      <c r="R311" s="3884"/>
      <c r="S311" s="3867"/>
      <c r="T311" s="3867"/>
      <c r="U311" s="3934"/>
      <c r="V311" s="2311">
        <v>134128260</v>
      </c>
      <c r="W311" s="2331">
        <v>156</v>
      </c>
      <c r="X311" s="2264" t="s">
        <v>2433</v>
      </c>
      <c r="Y311" s="3864"/>
      <c r="Z311" s="3864"/>
      <c r="AA311" s="3864"/>
      <c r="AB311" s="3864"/>
      <c r="AC311" s="3864"/>
      <c r="AD311" s="3864"/>
      <c r="AE311" s="3864"/>
      <c r="AF311" s="3864"/>
      <c r="AG311" s="3864"/>
      <c r="AH311" s="3864"/>
      <c r="AI311" s="3864"/>
      <c r="AJ311" s="3864"/>
      <c r="AK311" s="3864"/>
      <c r="AL311" s="3864"/>
      <c r="AM311" s="3864"/>
      <c r="AN311" s="3864"/>
      <c r="AO311" s="3879"/>
      <c r="AP311" s="3879"/>
      <c r="AQ311" s="3881"/>
      <c r="AR311" s="2204"/>
      <c r="AS311" s="2204"/>
      <c r="AT311" s="2204"/>
      <c r="AU311" s="2204"/>
      <c r="AV311" s="2204"/>
      <c r="AW311" s="2204"/>
      <c r="AX311" s="2204"/>
      <c r="AY311" s="2204"/>
      <c r="AZ311" s="2204"/>
      <c r="BA311" s="2204"/>
      <c r="BB311" s="2204"/>
      <c r="BC311" s="2204"/>
      <c r="BD311" s="2204"/>
      <c r="BE311" s="2204"/>
      <c r="BF311" s="2204"/>
      <c r="BG311" s="2204"/>
      <c r="BH311" s="2204"/>
      <c r="BI311" s="2204"/>
      <c r="BJ311" s="2204"/>
      <c r="BK311" s="2204"/>
      <c r="BL311" s="2204"/>
      <c r="BM311" s="2204"/>
      <c r="BN311" s="2204"/>
      <c r="BO311" s="2204"/>
      <c r="BP311" s="2204"/>
      <c r="BQ311" s="2204"/>
      <c r="BR311" s="2204"/>
      <c r="BS311" s="2204"/>
      <c r="BT311" s="2204"/>
      <c r="BU311" s="2204"/>
      <c r="BV311" s="2204"/>
      <c r="BW311" s="2204"/>
      <c r="BX311" s="2204"/>
      <c r="BY311" s="2204"/>
      <c r="BZ311" s="2204"/>
      <c r="CA311" s="2204"/>
      <c r="CB311" s="2204"/>
      <c r="CC311" s="2204"/>
      <c r="CD311" s="2204"/>
      <c r="CE311" s="2204"/>
      <c r="CF311" s="2204"/>
      <c r="CG311" s="2204"/>
      <c r="CH311" s="2204"/>
      <c r="CI311" s="2204"/>
      <c r="CJ311" s="2204"/>
      <c r="CK311" s="2204"/>
      <c r="CL311" s="2204"/>
      <c r="CM311" s="2204"/>
      <c r="CN311" s="2204"/>
      <c r="CO311" s="2204"/>
      <c r="CP311" s="2204"/>
      <c r="CQ311" s="2204"/>
      <c r="CR311" s="2204"/>
      <c r="CS311" s="2204"/>
      <c r="CT311" s="2204"/>
      <c r="CU311" s="2204"/>
      <c r="CV311" s="2204"/>
      <c r="CW311" s="2204"/>
      <c r="CX311" s="2204"/>
      <c r="CY311" s="2204"/>
      <c r="CZ311" s="2204"/>
      <c r="DA311" s="2204"/>
      <c r="DB311" s="2204"/>
      <c r="DC311" s="2204"/>
      <c r="DD311" s="2204"/>
      <c r="DE311" s="2204"/>
      <c r="DF311" s="2204"/>
      <c r="DG311" s="2204"/>
      <c r="DH311" s="2204"/>
      <c r="DI311" s="2204"/>
      <c r="DJ311" s="2204"/>
      <c r="DK311" s="2204"/>
      <c r="DL311" s="2204"/>
      <c r="DM311" s="2204"/>
      <c r="DN311" s="2204"/>
      <c r="DO311" s="2204"/>
      <c r="DP311" s="2204"/>
      <c r="DQ311" s="2204"/>
      <c r="DR311" s="2204"/>
      <c r="DS311" s="2204"/>
      <c r="DT311" s="2204"/>
      <c r="DU311" s="2204"/>
      <c r="DV311" s="2204"/>
      <c r="DW311" s="2204"/>
      <c r="DX311" s="2204"/>
      <c r="DY311" s="2204"/>
      <c r="DZ311" s="2204"/>
      <c r="EA311" s="2204"/>
      <c r="EB311" s="2204"/>
      <c r="EC311" s="2204"/>
      <c r="ED311" s="2204"/>
      <c r="EE311" s="2204"/>
      <c r="EF311" s="2204"/>
      <c r="EG311" s="2204"/>
      <c r="EH311" s="2204"/>
      <c r="EI311" s="2204"/>
      <c r="EJ311" s="2204"/>
      <c r="EK311" s="2204"/>
      <c r="EL311" s="2204"/>
      <c r="EM311" s="2204"/>
      <c r="EN311" s="2204"/>
      <c r="EO311" s="2204"/>
      <c r="EP311" s="2204"/>
      <c r="EQ311" s="2204"/>
      <c r="ER311" s="2204"/>
      <c r="ES311" s="2204"/>
      <c r="ET311" s="2204"/>
      <c r="EU311" s="2204"/>
      <c r="EV311" s="2204"/>
      <c r="EW311" s="2204"/>
      <c r="EX311" s="2204"/>
      <c r="EY311" s="2204"/>
      <c r="EZ311" s="2204"/>
      <c r="FA311" s="2204"/>
      <c r="FB311" s="2204"/>
      <c r="FC311" s="2204"/>
      <c r="FD311" s="2204"/>
      <c r="FE311" s="2204"/>
      <c r="FF311" s="2204"/>
      <c r="FG311" s="2204"/>
      <c r="FH311" s="2204"/>
      <c r="FI311" s="2204"/>
      <c r="FJ311" s="2204"/>
      <c r="FK311" s="2204"/>
      <c r="FL311" s="2204"/>
    </row>
    <row r="312" spans="1:168" s="2344" customFormat="1" ht="51.75" customHeight="1" x14ac:dyDescent="0.2">
      <c r="A312" s="2215"/>
      <c r="B312" s="2216"/>
      <c r="C312" s="2217"/>
      <c r="D312" s="2216"/>
      <c r="E312" s="2216"/>
      <c r="F312" s="2217"/>
      <c r="G312" s="2216"/>
      <c r="H312" s="2216"/>
      <c r="I312" s="2217"/>
      <c r="J312" s="3899"/>
      <c r="K312" s="3890"/>
      <c r="L312" s="3864"/>
      <c r="M312" s="3931"/>
      <c r="N312" s="3864"/>
      <c r="O312" s="3864"/>
      <c r="P312" s="3867"/>
      <c r="Q312" s="3918"/>
      <c r="R312" s="3884"/>
      <c r="S312" s="3867"/>
      <c r="T312" s="3867"/>
      <c r="U312" s="3934"/>
      <c r="V312" s="2311">
        <v>68256639</v>
      </c>
      <c r="W312" s="2331">
        <v>102</v>
      </c>
      <c r="X312" s="2264" t="s">
        <v>2434</v>
      </c>
      <c r="Y312" s="3864"/>
      <c r="Z312" s="3864"/>
      <c r="AA312" s="3864"/>
      <c r="AB312" s="3864"/>
      <c r="AC312" s="3864"/>
      <c r="AD312" s="3864"/>
      <c r="AE312" s="3864"/>
      <c r="AF312" s="3864"/>
      <c r="AG312" s="3864"/>
      <c r="AH312" s="3864"/>
      <c r="AI312" s="3864"/>
      <c r="AJ312" s="3864"/>
      <c r="AK312" s="3864"/>
      <c r="AL312" s="3864"/>
      <c r="AM312" s="3864"/>
      <c r="AN312" s="3864"/>
      <c r="AO312" s="3879"/>
      <c r="AP312" s="3879"/>
      <c r="AQ312" s="3881"/>
      <c r="AR312" s="2204"/>
      <c r="AS312" s="2204"/>
      <c r="AT312" s="2204"/>
      <c r="AU312" s="2204"/>
      <c r="AV312" s="2204"/>
      <c r="AW312" s="2204"/>
      <c r="AX312" s="2204"/>
      <c r="AY312" s="2204"/>
      <c r="AZ312" s="2204"/>
      <c r="BA312" s="2204"/>
      <c r="BB312" s="2204"/>
      <c r="BC312" s="2204"/>
      <c r="BD312" s="2204"/>
      <c r="BE312" s="2204"/>
      <c r="BF312" s="2204"/>
      <c r="BG312" s="2204"/>
      <c r="BH312" s="2204"/>
      <c r="BI312" s="2204"/>
      <c r="BJ312" s="2204"/>
      <c r="BK312" s="2204"/>
      <c r="BL312" s="2204"/>
      <c r="BM312" s="2204"/>
      <c r="BN312" s="2204"/>
      <c r="BO312" s="2204"/>
      <c r="BP312" s="2204"/>
      <c r="BQ312" s="2204"/>
      <c r="BR312" s="2204"/>
      <c r="BS312" s="2204"/>
      <c r="BT312" s="2204"/>
      <c r="BU312" s="2204"/>
      <c r="BV312" s="2204"/>
      <c r="BW312" s="2204"/>
      <c r="BX312" s="2204"/>
      <c r="BY312" s="2204"/>
      <c r="BZ312" s="2204"/>
      <c r="CA312" s="2204"/>
      <c r="CB312" s="2204"/>
      <c r="CC312" s="2204"/>
      <c r="CD312" s="2204"/>
      <c r="CE312" s="2204"/>
      <c r="CF312" s="2204"/>
      <c r="CG312" s="2204"/>
      <c r="CH312" s="2204"/>
      <c r="CI312" s="2204"/>
      <c r="CJ312" s="2204"/>
      <c r="CK312" s="2204"/>
      <c r="CL312" s="2204"/>
      <c r="CM312" s="2204"/>
      <c r="CN312" s="2204"/>
      <c r="CO312" s="2204"/>
      <c r="CP312" s="2204"/>
      <c r="CQ312" s="2204"/>
      <c r="CR312" s="2204"/>
      <c r="CS312" s="2204"/>
      <c r="CT312" s="2204"/>
      <c r="CU312" s="2204"/>
      <c r="CV312" s="2204"/>
      <c r="CW312" s="2204"/>
      <c r="CX312" s="2204"/>
      <c r="CY312" s="2204"/>
      <c r="CZ312" s="2204"/>
      <c r="DA312" s="2204"/>
      <c r="DB312" s="2204"/>
      <c r="DC312" s="2204"/>
      <c r="DD312" s="2204"/>
      <c r="DE312" s="2204"/>
      <c r="DF312" s="2204"/>
      <c r="DG312" s="2204"/>
      <c r="DH312" s="2204"/>
      <c r="DI312" s="2204"/>
      <c r="DJ312" s="2204"/>
      <c r="DK312" s="2204"/>
      <c r="DL312" s="2204"/>
      <c r="DM312" s="2204"/>
      <c r="DN312" s="2204"/>
      <c r="DO312" s="2204"/>
      <c r="DP312" s="2204"/>
      <c r="DQ312" s="2204"/>
      <c r="DR312" s="2204"/>
      <c r="DS312" s="2204"/>
      <c r="DT312" s="2204"/>
      <c r="DU312" s="2204"/>
      <c r="DV312" s="2204"/>
      <c r="DW312" s="2204"/>
      <c r="DX312" s="2204"/>
      <c r="DY312" s="2204"/>
      <c r="DZ312" s="2204"/>
      <c r="EA312" s="2204"/>
      <c r="EB312" s="2204"/>
      <c r="EC312" s="2204"/>
      <c r="ED312" s="2204"/>
      <c r="EE312" s="2204"/>
      <c r="EF312" s="2204"/>
      <c r="EG312" s="2204"/>
      <c r="EH312" s="2204"/>
      <c r="EI312" s="2204"/>
      <c r="EJ312" s="2204"/>
      <c r="EK312" s="2204"/>
      <c r="EL312" s="2204"/>
      <c r="EM312" s="2204"/>
      <c r="EN312" s="2204"/>
      <c r="EO312" s="2204"/>
      <c r="EP312" s="2204"/>
      <c r="EQ312" s="2204"/>
      <c r="ER312" s="2204"/>
      <c r="ES312" s="2204"/>
      <c r="ET312" s="2204"/>
      <c r="EU312" s="2204"/>
      <c r="EV312" s="2204"/>
      <c r="EW312" s="2204"/>
      <c r="EX312" s="2204"/>
      <c r="EY312" s="2204"/>
      <c r="EZ312" s="2204"/>
      <c r="FA312" s="2204"/>
      <c r="FB312" s="2204"/>
      <c r="FC312" s="2204"/>
      <c r="FD312" s="2204"/>
      <c r="FE312" s="2204"/>
      <c r="FF312" s="2204"/>
      <c r="FG312" s="2204"/>
      <c r="FH312" s="2204"/>
      <c r="FI312" s="2204"/>
      <c r="FJ312" s="2204"/>
      <c r="FK312" s="2204"/>
      <c r="FL312" s="2204"/>
    </row>
    <row r="313" spans="1:168" s="2344" customFormat="1" ht="42.75" customHeight="1" x14ac:dyDescent="0.2">
      <c r="A313" s="2215"/>
      <c r="B313" s="2216"/>
      <c r="C313" s="2217"/>
      <c r="D313" s="2216"/>
      <c r="E313" s="2216"/>
      <c r="F313" s="2217"/>
      <c r="G313" s="2216"/>
      <c r="H313" s="2216"/>
      <c r="I313" s="2217"/>
      <c r="J313" s="3899"/>
      <c r="K313" s="3890"/>
      <c r="L313" s="3864"/>
      <c r="M313" s="3931"/>
      <c r="N313" s="3864"/>
      <c r="O313" s="3864"/>
      <c r="P313" s="3867"/>
      <c r="Q313" s="3918"/>
      <c r="R313" s="3884"/>
      <c r="S313" s="3867"/>
      <c r="T313" s="3867"/>
      <c r="U313" s="3934"/>
      <c r="V313" s="2345">
        <v>151028573</v>
      </c>
      <c r="W313" s="2343">
        <v>148</v>
      </c>
      <c r="X313" s="2264" t="s">
        <v>2435</v>
      </c>
      <c r="Y313" s="3864"/>
      <c r="Z313" s="3864"/>
      <c r="AA313" s="3864"/>
      <c r="AB313" s="3864"/>
      <c r="AC313" s="3864"/>
      <c r="AD313" s="3864"/>
      <c r="AE313" s="3864"/>
      <c r="AF313" s="3864"/>
      <c r="AG313" s="3864"/>
      <c r="AH313" s="3864"/>
      <c r="AI313" s="3864"/>
      <c r="AJ313" s="3864"/>
      <c r="AK313" s="3864"/>
      <c r="AL313" s="3864"/>
      <c r="AM313" s="3864"/>
      <c r="AN313" s="3864"/>
      <c r="AO313" s="3879"/>
      <c r="AP313" s="3879"/>
      <c r="AQ313" s="3881"/>
      <c r="AR313" s="2204"/>
      <c r="AS313" s="2204"/>
      <c r="AT313" s="2204"/>
      <c r="AU313" s="2204"/>
      <c r="AV313" s="2204"/>
      <c r="AW313" s="2204"/>
      <c r="AX313" s="2204"/>
      <c r="AY313" s="2204"/>
      <c r="AZ313" s="2204"/>
      <c r="BA313" s="2204"/>
      <c r="BB313" s="2204"/>
      <c r="BC313" s="2204"/>
      <c r="BD313" s="2204"/>
      <c r="BE313" s="2204"/>
      <c r="BF313" s="2204"/>
      <c r="BG313" s="2204"/>
      <c r="BH313" s="2204"/>
      <c r="BI313" s="2204"/>
      <c r="BJ313" s="2204"/>
      <c r="BK313" s="2204"/>
      <c r="BL313" s="2204"/>
      <c r="BM313" s="2204"/>
      <c r="BN313" s="2204"/>
      <c r="BO313" s="2204"/>
      <c r="BP313" s="2204"/>
      <c r="BQ313" s="2204"/>
      <c r="BR313" s="2204"/>
      <c r="BS313" s="2204"/>
      <c r="BT313" s="2204"/>
      <c r="BU313" s="2204"/>
      <c r="BV313" s="2204"/>
      <c r="BW313" s="2204"/>
      <c r="BX313" s="2204"/>
      <c r="BY313" s="2204"/>
      <c r="BZ313" s="2204"/>
      <c r="CA313" s="2204"/>
      <c r="CB313" s="2204"/>
      <c r="CC313" s="2204"/>
      <c r="CD313" s="2204"/>
      <c r="CE313" s="2204"/>
      <c r="CF313" s="2204"/>
      <c r="CG313" s="2204"/>
      <c r="CH313" s="2204"/>
      <c r="CI313" s="2204"/>
      <c r="CJ313" s="2204"/>
      <c r="CK313" s="2204"/>
      <c r="CL313" s="2204"/>
      <c r="CM313" s="2204"/>
      <c r="CN313" s="2204"/>
      <c r="CO313" s="2204"/>
      <c r="CP313" s="2204"/>
      <c r="CQ313" s="2204"/>
      <c r="CR313" s="2204"/>
      <c r="CS313" s="2204"/>
      <c r="CT313" s="2204"/>
      <c r="CU313" s="2204"/>
      <c r="CV313" s="2204"/>
      <c r="CW313" s="2204"/>
      <c r="CX313" s="2204"/>
      <c r="CY313" s="2204"/>
      <c r="CZ313" s="2204"/>
      <c r="DA313" s="2204"/>
      <c r="DB313" s="2204"/>
      <c r="DC313" s="2204"/>
      <c r="DD313" s="2204"/>
      <c r="DE313" s="2204"/>
      <c r="DF313" s="2204"/>
      <c r="DG313" s="2204"/>
      <c r="DH313" s="2204"/>
      <c r="DI313" s="2204"/>
      <c r="DJ313" s="2204"/>
      <c r="DK313" s="2204"/>
      <c r="DL313" s="2204"/>
      <c r="DM313" s="2204"/>
      <c r="DN313" s="2204"/>
      <c r="DO313" s="2204"/>
      <c r="DP313" s="2204"/>
      <c r="DQ313" s="2204"/>
      <c r="DR313" s="2204"/>
      <c r="DS313" s="2204"/>
      <c r="DT313" s="2204"/>
      <c r="DU313" s="2204"/>
      <c r="DV313" s="2204"/>
      <c r="DW313" s="2204"/>
      <c r="DX313" s="2204"/>
      <c r="DY313" s="2204"/>
      <c r="DZ313" s="2204"/>
      <c r="EA313" s="2204"/>
      <c r="EB313" s="2204"/>
      <c r="EC313" s="2204"/>
      <c r="ED313" s="2204"/>
      <c r="EE313" s="2204"/>
      <c r="EF313" s="2204"/>
      <c r="EG313" s="2204"/>
      <c r="EH313" s="2204"/>
      <c r="EI313" s="2204"/>
      <c r="EJ313" s="2204"/>
      <c r="EK313" s="2204"/>
      <c r="EL313" s="2204"/>
      <c r="EM313" s="2204"/>
      <c r="EN313" s="2204"/>
      <c r="EO313" s="2204"/>
      <c r="EP313" s="2204"/>
      <c r="EQ313" s="2204"/>
      <c r="ER313" s="2204"/>
      <c r="ES313" s="2204"/>
      <c r="ET313" s="2204"/>
      <c r="EU313" s="2204"/>
      <c r="EV313" s="2204"/>
      <c r="EW313" s="2204"/>
      <c r="EX313" s="2204"/>
      <c r="EY313" s="2204"/>
      <c r="EZ313" s="2204"/>
      <c r="FA313" s="2204"/>
      <c r="FB313" s="2204"/>
      <c r="FC313" s="2204"/>
      <c r="FD313" s="2204"/>
      <c r="FE313" s="2204"/>
      <c r="FF313" s="2204"/>
      <c r="FG313" s="2204"/>
      <c r="FH313" s="2204"/>
      <c r="FI313" s="2204"/>
      <c r="FJ313" s="2204"/>
      <c r="FK313" s="2204"/>
      <c r="FL313" s="2204"/>
    </row>
    <row r="314" spans="1:168" s="2344" customFormat="1" ht="38.25" customHeight="1" x14ac:dyDescent="0.2">
      <c r="A314" s="2215"/>
      <c r="B314" s="2216"/>
      <c r="C314" s="2217"/>
      <c r="D314" s="2216"/>
      <c r="E314" s="2216"/>
      <c r="F314" s="2217"/>
      <c r="G314" s="2216"/>
      <c r="H314" s="2216"/>
      <c r="I314" s="2217"/>
      <c r="J314" s="3899"/>
      <c r="K314" s="3890"/>
      <c r="L314" s="3864"/>
      <c r="M314" s="3931"/>
      <c r="N314" s="3864"/>
      <c r="O314" s="3864"/>
      <c r="P314" s="3867"/>
      <c r="Q314" s="3918"/>
      <c r="R314" s="3884"/>
      <c r="S314" s="3867"/>
      <c r="T314" s="3867"/>
      <c r="U314" s="3934"/>
      <c r="V314" s="2345">
        <v>903327</v>
      </c>
      <c r="W314" s="2343">
        <v>152</v>
      </c>
      <c r="X314" s="2264" t="s">
        <v>2436</v>
      </c>
      <c r="Y314" s="3864"/>
      <c r="Z314" s="3864"/>
      <c r="AA314" s="3864"/>
      <c r="AB314" s="3864"/>
      <c r="AC314" s="3864"/>
      <c r="AD314" s="3864"/>
      <c r="AE314" s="3864"/>
      <c r="AF314" s="3864"/>
      <c r="AG314" s="3864"/>
      <c r="AH314" s="3864"/>
      <c r="AI314" s="3864"/>
      <c r="AJ314" s="3864"/>
      <c r="AK314" s="3864"/>
      <c r="AL314" s="3864"/>
      <c r="AM314" s="3864"/>
      <c r="AN314" s="3864"/>
      <c r="AO314" s="3879"/>
      <c r="AP314" s="3879"/>
      <c r="AQ314" s="3881"/>
      <c r="AR314" s="2204"/>
      <c r="AS314" s="2204"/>
      <c r="AT314" s="2204"/>
      <c r="AU314" s="2204"/>
      <c r="AV314" s="2204"/>
      <c r="AW314" s="2204"/>
      <c r="AX314" s="2204"/>
      <c r="AY314" s="2204"/>
      <c r="AZ314" s="2204"/>
      <c r="BA314" s="2204"/>
      <c r="BB314" s="2204"/>
      <c r="BC314" s="2204"/>
      <c r="BD314" s="2204"/>
      <c r="BE314" s="2204"/>
      <c r="BF314" s="2204"/>
      <c r="BG314" s="2204"/>
      <c r="BH314" s="2204"/>
      <c r="BI314" s="2204"/>
      <c r="BJ314" s="2204"/>
      <c r="BK314" s="2204"/>
      <c r="BL314" s="2204"/>
      <c r="BM314" s="2204"/>
      <c r="BN314" s="2204"/>
      <c r="BO314" s="2204"/>
      <c r="BP314" s="2204"/>
      <c r="BQ314" s="2204"/>
      <c r="BR314" s="2204"/>
      <c r="BS314" s="2204"/>
      <c r="BT314" s="2204"/>
      <c r="BU314" s="2204"/>
      <c r="BV314" s="2204"/>
      <c r="BW314" s="2204"/>
      <c r="BX314" s="2204"/>
      <c r="BY314" s="2204"/>
      <c r="BZ314" s="2204"/>
      <c r="CA314" s="2204"/>
      <c r="CB314" s="2204"/>
      <c r="CC314" s="2204"/>
      <c r="CD314" s="2204"/>
      <c r="CE314" s="2204"/>
      <c r="CF314" s="2204"/>
      <c r="CG314" s="2204"/>
      <c r="CH314" s="2204"/>
      <c r="CI314" s="2204"/>
      <c r="CJ314" s="2204"/>
      <c r="CK314" s="2204"/>
      <c r="CL314" s="2204"/>
      <c r="CM314" s="2204"/>
      <c r="CN314" s="2204"/>
      <c r="CO314" s="2204"/>
      <c r="CP314" s="2204"/>
      <c r="CQ314" s="2204"/>
      <c r="CR314" s="2204"/>
      <c r="CS314" s="2204"/>
      <c r="CT314" s="2204"/>
      <c r="CU314" s="2204"/>
      <c r="CV314" s="2204"/>
      <c r="CW314" s="2204"/>
      <c r="CX314" s="2204"/>
      <c r="CY314" s="2204"/>
      <c r="CZ314" s="2204"/>
      <c r="DA314" s="2204"/>
      <c r="DB314" s="2204"/>
      <c r="DC314" s="2204"/>
      <c r="DD314" s="2204"/>
      <c r="DE314" s="2204"/>
      <c r="DF314" s="2204"/>
      <c r="DG314" s="2204"/>
      <c r="DH314" s="2204"/>
      <c r="DI314" s="2204"/>
      <c r="DJ314" s="2204"/>
      <c r="DK314" s="2204"/>
      <c r="DL314" s="2204"/>
      <c r="DM314" s="2204"/>
      <c r="DN314" s="2204"/>
      <c r="DO314" s="2204"/>
      <c r="DP314" s="2204"/>
      <c r="DQ314" s="2204"/>
      <c r="DR314" s="2204"/>
      <c r="DS314" s="2204"/>
      <c r="DT314" s="2204"/>
      <c r="DU314" s="2204"/>
      <c r="DV314" s="2204"/>
      <c r="DW314" s="2204"/>
      <c r="DX314" s="2204"/>
      <c r="DY314" s="2204"/>
      <c r="DZ314" s="2204"/>
      <c r="EA314" s="2204"/>
      <c r="EB314" s="2204"/>
      <c r="EC314" s="2204"/>
      <c r="ED314" s="2204"/>
      <c r="EE314" s="2204"/>
      <c r="EF314" s="2204"/>
      <c r="EG314" s="2204"/>
      <c r="EH314" s="2204"/>
      <c r="EI314" s="2204"/>
      <c r="EJ314" s="2204"/>
      <c r="EK314" s="2204"/>
      <c r="EL314" s="2204"/>
      <c r="EM314" s="2204"/>
      <c r="EN314" s="2204"/>
      <c r="EO314" s="2204"/>
      <c r="EP314" s="2204"/>
      <c r="EQ314" s="2204"/>
      <c r="ER314" s="2204"/>
      <c r="ES314" s="2204"/>
      <c r="ET314" s="2204"/>
      <c r="EU314" s="2204"/>
      <c r="EV314" s="2204"/>
      <c r="EW314" s="2204"/>
      <c r="EX314" s="2204"/>
      <c r="EY314" s="2204"/>
      <c r="EZ314" s="2204"/>
      <c r="FA314" s="2204"/>
      <c r="FB314" s="2204"/>
      <c r="FC314" s="2204"/>
      <c r="FD314" s="2204"/>
      <c r="FE314" s="2204"/>
      <c r="FF314" s="2204"/>
      <c r="FG314" s="2204"/>
      <c r="FH314" s="2204"/>
      <c r="FI314" s="2204"/>
      <c r="FJ314" s="2204"/>
      <c r="FK314" s="2204"/>
      <c r="FL314" s="2204"/>
    </row>
    <row r="315" spans="1:168" s="2344" customFormat="1" ht="38.25" customHeight="1" x14ac:dyDescent="0.2">
      <c r="A315" s="2215"/>
      <c r="B315" s="2216"/>
      <c r="C315" s="2217"/>
      <c r="D315" s="2216"/>
      <c r="E315" s="2216"/>
      <c r="F315" s="2217"/>
      <c r="G315" s="2216"/>
      <c r="H315" s="2216"/>
      <c r="I315" s="2217"/>
      <c r="J315" s="3900"/>
      <c r="K315" s="3891"/>
      <c r="L315" s="3865"/>
      <c r="M315" s="3932"/>
      <c r="N315" s="3864"/>
      <c r="O315" s="3864"/>
      <c r="P315" s="3867"/>
      <c r="Q315" s="3919"/>
      <c r="R315" s="3884"/>
      <c r="S315" s="3867"/>
      <c r="T315" s="3868"/>
      <c r="U315" s="3935"/>
      <c r="V315" s="2345">
        <v>130836198</v>
      </c>
      <c r="W315" s="2343">
        <v>162</v>
      </c>
      <c r="X315" s="2264" t="s">
        <v>2437</v>
      </c>
      <c r="Y315" s="3864"/>
      <c r="Z315" s="3864"/>
      <c r="AA315" s="3864"/>
      <c r="AB315" s="3864"/>
      <c r="AC315" s="3864"/>
      <c r="AD315" s="3864"/>
      <c r="AE315" s="3864"/>
      <c r="AF315" s="3864"/>
      <c r="AG315" s="3864"/>
      <c r="AH315" s="3864"/>
      <c r="AI315" s="3864"/>
      <c r="AJ315" s="3864"/>
      <c r="AK315" s="3864"/>
      <c r="AL315" s="3864"/>
      <c r="AM315" s="3864"/>
      <c r="AN315" s="3864"/>
      <c r="AO315" s="3879"/>
      <c r="AP315" s="3879"/>
      <c r="AQ315" s="3881"/>
      <c r="AR315" s="2204"/>
      <c r="AS315" s="2204"/>
      <c r="AT315" s="2204"/>
      <c r="AU315" s="2204"/>
      <c r="AV315" s="2204"/>
      <c r="AW315" s="2204"/>
      <c r="AX315" s="2204"/>
      <c r="AY315" s="2204"/>
      <c r="AZ315" s="2204"/>
      <c r="BA315" s="2204"/>
      <c r="BB315" s="2204"/>
      <c r="BC315" s="2204"/>
      <c r="BD315" s="2204"/>
      <c r="BE315" s="2204"/>
      <c r="BF315" s="2204"/>
      <c r="BG315" s="2204"/>
      <c r="BH315" s="2204"/>
      <c r="BI315" s="2204"/>
      <c r="BJ315" s="2204"/>
      <c r="BK315" s="2204"/>
      <c r="BL315" s="2204"/>
      <c r="BM315" s="2204"/>
      <c r="BN315" s="2204"/>
      <c r="BO315" s="2204"/>
      <c r="BP315" s="2204"/>
      <c r="BQ315" s="2204"/>
      <c r="BR315" s="2204"/>
      <c r="BS315" s="2204"/>
      <c r="BT315" s="2204"/>
      <c r="BU315" s="2204"/>
      <c r="BV315" s="2204"/>
      <c r="BW315" s="2204"/>
      <c r="BX315" s="2204"/>
      <c r="BY315" s="2204"/>
      <c r="BZ315" s="2204"/>
      <c r="CA315" s="2204"/>
      <c r="CB315" s="2204"/>
      <c r="CC315" s="2204"/>
      <c r="CD315" s="2204"/>
      <c r="CE315" s="2204"/>
      <c r="CF315" s="2204"/>
      <c r="CG315" s="2204"/>
      <c r="CH315" s="2204"/>
      <c r="CI315" s="2204"/>
      <c r="CJ315" s="2204"/>
      <c r="CK315" s="2204"/>
      <c r="CL315" s="2204"/>
      <c r="CM315" s="2204"/>
      <c r="CN315" s="2204"/>
      <c r="CO315" s="2204"/>
      <c r="CP315" s="2204"/>
      <c r="CQ315" s="2204"/>
      <c r="CR315" s="2204"/>
      <c r="CS315" s="2204"/>
      <c r="CT315" s="2204"/>
      <c r="CU315" s="2204"/>
      <c r="CV315" s="2204"/>
      <c r="CW315" s="2204"/>
      <c r="CX315" s="2204"/>
      <c r="CY315" s="2204"/>
      <c r="CZ315" s="2204"/>
      <c r="DA315" s="2204"/>
      <c r="DB315" s="2204"/>
      <c r="DC315" s="2204"/>
      <c r="DD315" s="2204"/>
      <c r="DE315" s="2204"/>
      <c r="DF315" s="2204"/>
      <c r="DG315" s="2204"/>
      <c r="DH315" s="2204"/>
      <c r="DI315" s="2204"/>
      <c r="DJ315" s="2204"/>
      <c r="DK315" s="2204"/>
      <c r="DL315" s="2204"/>
      <c r="DM315" s="2204"/>
      <c r="DN315" s="2204"/>
      <c r="DO315" s="2204"/>
      <c r="DP315" s="2204"/>
      <c r="DQ315" s="2204"/>
      <c r="DR315" s="2204"/>
      <c r="DS315" s="2204"/>
      <c r="DT315" s="2204"/>
      <c r="DU315" s="2204"/>
      <c r="DV315" s="2204"/>
      <c r="DW315" s="2204"/>
      <c r="DX315" s="2204"/>
      <c r="DY315" s="2204"/>
      <c r="DZ315" s="2204"/>
      <c r="EA315" s="2204"/>
      <c r="EB315" s="2204"/>
      <c r="EC315" s="2204"/>
      <c r="ED315" s="2204"/>
      <c r="EE315" s="2204"/>
      <c r="EF315" s="2204"/>
      <c r="EG315" s="2204"/>
      <c r="EH315" s="2204"/>
      <c r="EI315" s="2204"/>
      <c r="EJ315" s="2204"/>
      <c r="EK315" s="2204"/>
      <c r="EL315" s="2204"/>
      <c r="EM315" s="2204"/>
      <c r="EN315" s="2204"/>
      <c r="EO315" s="2204"/>
      <c r="EP315" s="2204"/>
      <c r="EQ315" s="2204"/>
      <c r="ER315" s="2204"/>
      <c r="ES315" s="2204"/>
      <c r="ET315" s="2204"/>
      <c r="EU315" s="2204"/>
      <c r="EV315" s="2204"/>
      <c r="EW315" s="2204"/>
      <c r="EX315" s="2204"/>
      <c r="EY315" s="2204"/>
      <c r="EZ315" s="2204"/>
      <c r="FA315" s="2204"/>
      <c r="FB315" s="2204"/>
      <c r="FC315" s="2204"/>
      <c r="FD315" s="2204"/>
      <c r="FE315" s="2204"/>
      <c r="FF315" s="2204"/>
      <c r="FG315" s="2204"/>
      <c r="FH315" s="2204"/>
      <c r="FI315" s="2204"/>
      <c r="FJ315" s="2204"/>
      <c r="FK315" s="2204"/>
      <c r="FL315" s="2204"/>
    </row>
    <row r="316" spans="1:168" ht="61.5" customHeight="1" x14ac:dyDescent="0.2">
      <c r="A316" s="2215"/>
      <c r="B316" s="2216"/>
      <c r="C316" s="2217"/>
      <c r="D316" s="2216"/>
      <c r="E316" s="2216"/>
      <c r="F316" s="2217"/>
      <c r="G316" s="2216"/>
      <c r="H316" s="2216"/>
      <c r="I316" s="2217"/>
      <c r="J316" s="3898">
        <v>168</v>
      </c>
      <c r="K316" s="3889" t="s">
        <v>2438</v>
      </c>
      <c r="L316" s="3863" t="s">
        <v>2040</v>
      </c>
      <c r="M316" s="3863">
        <v>14</v>
      </c>
      <c r="N316" s="3864"/>
      <c r="O316" s="3864"/>
      <c r="P316" s="3867"/>
      <c r="Q316" s="3917">
        <v>0</v>
      </c>
      <c r="R316" s="3884"/>
      <c r="S316" s="3867"/>
      <c r="T316" s="3866" t="s">
        <v>2439</v>
      </c>
      <c r="U316" s="2323" t="s">
        <v>2440</v>
      </c>
      <c r="V316" s="2345">
        <v>0</v>
      </c>
      <c r="W316" s="2324"/>
      <c r="X316" s="2342"/>
      <c r="Y316" s="3864"/>
      <c r="Z316" s="3864"/>
      <c r="AA316" s="3864"/>
      <c r="AB316" s="3864"/>
      <c r="AC316" s="3864"/>
      <c r="AD316" s="3864"/>
      <c r="AE316" s="3864"/>
      <c r="AF316" s="3864"/>
      <c r="AG316" s="3864"/>
      <c r="AH316" s="3864"/>
      <c r="AI316" s="3864"/>
      <c r="AJ316" s="3864"/>
      <c r="AK316" s="3864"/>
      <c r="AL316" s="3864"/>
      <c r="AM316" s="3864"/>
      <c r="AN316" s="3864"/>
      <c r="AO316" s="3879"/>
      <c r="AP316" s="3879"/>
      <c r="AQ316" s="3881"/>
    </row>
    <row r="317" spans="1:168" ht="51.75" customHeight="1" x14ac:dyDescent="0.2">
      <c r="A317" s="2215"/>
      <c r="B317" s="2216"/>
      <c r="C317" s="2217"/>
      <c r="D317" s="2216"/>
      <c r="E317" s="2216"/>
      <c r="F317" s="2217"/>
      <c r="G317" s="2346"/>
      <c r="H317" s="2346"/>
      <c r="I317" s="2347"/>
      <c r="J317" s="3900"/>
      <c r="K317" s="3891"/>
      <c r="L317" s="3864"/>
      <c r="M317" s="3864"/>
      <c r="N317" s="3865"/>
      <c r="O317" s="3864"/>
      <c r="P317" s="3867"/>
      <c r="Q317" s="3919"/>
      <c r="R317" s="3884"/>
      <c r="S317" s="3867"/>
      <c r="T317" s="3868"/>
      <c r="U317" s="2323" t="s">
        <v>2441</v>
      </c>
      <c r="V317" s="2345"/>
      <c r="W317" s="2324"/>
      <c r="X317" s="2342"/>
      <c r="Y317" s="3865"/>
      <c r="Z317" s="3865"/>
      <c r="AA317" s="3865"/>
      <c r="AB317" s="3865"/>
      <c r="AC317" s="3865"/>
      <c r="AD317" s="3865"/>
      <c r="AE317" s="3865"/>
      <c r="AF317" s="3865"/>
      <c r="AG317" s="3865"/>
      <c r="AH317" s="3865"/>
      <c r="AI317" s="3865"/>
      <c r="AJ317" s="3865"/>
      <c r="AK317" s="3865"/>
      <c r="AL317" s="3865"/>
      <c r="AM317" s="3865"/>
      <c r="AN317" s="3865"/>
      <c r="AO317" s="3879"/>
      <c r="AP317" s="3879"/>
      <c r="AQ317" s="3887"/>
    </row>
    <row r="318" spans="1:168" ht="36" customHeight="1" x14ac:dyDescent="0.2">
      <c r="A318" s="2215"/>
      <c r="B318" s="2216"/>
      <c r="C318" s="2217"/>
      <c r="D318" s="2216"/>
      <c r="E318" s="2216"/>
      <c r="F318" s="2217"/>
      <c r="G318" s="2348">
        <v>51</v>
      </c>
      <c r="H318" s="2349" t="s">
        <v>2442</v>
      </c>
      <c r="I318" s="2349"/>
      <c r="J318" s="2333"/>
      <c r="K318" s="2292"/>
      <c r="L318" s="2221"/>
      <c r="M318" s="2221"/>
      <c r="N318" s="2223"/>
      <c r="O318" s="2221"/>
      <c r="P318" s="2222"/>
      <c r="Q318" s="2221"/>
      <c r="R318" s="2250"/>
      <c r="S318" s="2222"/>
      <c r="T318" s="2222"/>
      <c r="U318" s="2222"/>
      <c r="V318" s="2297"/>
      <c r="W318" s="2294"/>
      <c r="X318" s="2295"/>
      <c r="Y318" s="2223"/>
      <c r="Z318" s="2223"/>
      <c r="AA318" s="3928"/>
      <c r="AB318" s="3928"/>
      <c r="AC318" s="3928"/>
      <c r="AD318" s="3928"/>
      <c r="AE318" s="3928"/>
      <c r="AF318" s="3928"/>
      <c r="AG318" s="3928"/>
      <c r="AH318" s="3928"/>
      <c r="AI318" s="3928"/>
      <c r="AJ318" s="3928"/>
      <c r="AK318" s="3928"/>
      <c r="AL318" s="3928"/>
      <c r="AM318" s="3928"/>
      <c r="AN318" s="2350"/>
      <c r="AO318" s="2221"/>
      <c r="AP318" s="2221"/>
      <c r="AQ318" s="2228"/>
    </row>
    <row r="319" spans="1:168" ht="67.5" customHeight="1" x14ac:dyDescent="0.2">
      <c r="A319" s="2351"/>
      <c r="B319" s="2352"/>
      <c r="C319" s="2300"/>
      <c r="D319" s="2352"/>
      <c r="E319" s="2352"/>
      <c r="F319" s="2300"/>
      <c r="G319" s="2353"/>
      <c r="H319" s="2353"/>
      <c r="I319" s="2354"/>
      <c r="J319" s="3863">
        <v>169</v>
      </c>
      <c r="K319" s="3866" t="s">
        <v>2443</v>
      </c>
      <c r="L319" s="3863" t="s">
        <v>2040</v>
      </c>
      <c r="M319" s="3863">
        <v>12</v>
      </c>
      <c r="N319" s="3863" t="s">
        <v>2444</v>
      </c>
      <c r="O319" s="3863" t="s">
        <v>2445</v>
      </c>
      <c r="P319" s="3866" t="s">
        <v>2446</v>
      </c>
      <c r="Q319" s="3917">
        <v>1</v>
      </c>
      <c r="R319" s="3883">
        <f>SUM(V319+V320+V321)</f>
        <v>58080000</v>
      </c>
      <c r="S319" s="3866" t="s">
        <v>2447</v>
      </c>
      <c r="T319" s="2264" t="s">
        <v>2448</v>
      </c>
      <c r="U319" s="2355" t="s">
        <v>2449</v>
      </c>
      <c r="V319" s="2296">
        <v>19360000</v>
      </c>
      <c r="W319" s="2235">
        <v>20</v>
      </c>
      <c r="X319" s="3863" t="s">
        <v>61</v>
      </c>
      <c r="Y319" s="3863">
        <v>292684</v>
      </c>
      <c r="Z319" s="3863">
        <v>282326</v>
      </c>
      <c r="AA319" s="3863">
        <v>135912</v>
      </c>
      <c r="AB319" s="3863">
        <v>45122</v>
      </c>
      <c r="AC319" s="3863">
        <v>307101</v>
      </c>
      <c r="AD319" s="3863">
        <v>86875</v>
      </c>
      <c r="AE319" s="3863">
        <v>2145</v>
      </c>
      <c r="AF319" s="3863">
        <v>12718</v>
      </c>
      <c r="AG319" s="3863">
        <v>26</v>
      </c>
      <c r="AH319" s="3863">
        <v>37</v>
      </c>
      <c r="AI319" s="3863" t="s">
        <v>2047</v>
      </c>
      <c r="AJ319" s="3863" t="s">
        <v>2047</v>
      </c>
      <c r="AK319" s="3863">
        <v>53164</v>
      </c>
      <c r="AL319" s="3863">
        <v>16982</v>
      </c>
      <c r="AM319" s="3863">
        <v>60013</v>
      </c>
      <c r="AN319" s="3863">
        <v>575010</v>
      </c>
      <c r="AO319" s="3926">
        <v>43467</v>
      </c>
      <c r="AP319" s="3926">
        <v>43830</v>
      </c>
      <c r="AQ319" s="3880" t="s">
        <v>2048</v>
      </c>
    </row>
    <row r="320" spans="1:168" ht="67.5" customHeight="1" x14ac:dyDescent="0.2">
      <c r="A320" s="2351"/>
      <c r="B320" s="2352"/>
      <c r="C320" s="2300"/>
      <c r="D320" s="2352"/>
      <c r="E320" s="2352"/>
      <c r="F320" s="2300"/>
      <c r="G320" s="2352"/>
      <c r="H320" s="2352"/>
      <c r="I320" s="2300"/>
      <c r="J320" s="3864"/>
      <c r="K320" s="3867"/>
      <c r="L320" s="3864"/>
      <c r="M320" s="3864"/>
      <c r="N320" s="3864"/>
      <c r="O320" s="3864"/>
      <c r="P320" s="3867"/>
      <c r="Q320" s="3918"/>
      <c r="R320" s="3884"/>
      <c r="S320" s="3867"/>
      <c r="T320" s="2264" t="s">
        <v>2450</v>
      </c>
      <c r="U320" s="2355" t="s">
        <v>2451</v>
      </c>
      <c r="V320" s="2296">
        <v>19360000</v>
      </c>
      <c r="W320" s="2235">
        <v>20</v>
      </c>
      <c r="X320" s="3864"/>
      <c r="Y320" s="3864"/>
      <c r="Z320" s="3864"/>
      <c r="AA320" s="3864"/>
      <c r="AB320" s="3864"/>
      <c r="AC320" s="3864"/>
      <c r="AD320" s="3864"/>
      <c r="AE320" s="3864"/>
      <c r="AF320" s="3864"/>
      <c r="AG320" s="3864"/>
      <c r="AH320" s="3864"/>
      <c r="AI320" s="3864"/>
      <c r="AJ320" s="3864"/>
      <c r="AK320" s="3864"/>
      <c r="AL320" s="3864"/>
      <c r="AM320" s="3864"/>
      <c r="AN320" s="3864"/>
      <c r="AO320" s="3926"/>
      <c r="AP320" s="3926"/>
      <c r="AQ320" s="3881"/>
    </row>
    <row r="321" spans="1:43" ht="71.25" x14ac:dyDescent="0.2">
      <c r="A321" s="2229"/>
      <c r="B321" s="2230"/>
      <c r="C321" s="2231"/>
      <c r="D321" s="2230"/>
      <c r="E321" s="2230"/>
      <c r="F321" s="2231"/>
      <c r="G321" s="2239"/>
      <c r="H321" s="2239"/>
      <c r="I321" s="2240"/>
      <c r="J321" s="3865"/>
      <c r="K321" s="3868"/>
      <c r="L321" s="3865"/>
      <c r="M321" s="3865"/>
      <c r="N321" s="3865"/>
      <c r="O321" s="3865"/>
      <c r="P321" s="3868"/>
      <c r="Q321" s="3919"/>
      <c r="R321" s="3904"/>
      <c r="S321" s="3868"/>
      <c r="T321" s="2264" t="s">
        <v>2438</v>
      </c>
      <c r="U321" s="2355" t="s">
        <v>2452</v>
      </c>
      <c r="V321" s="2296">
        <v>19360000</v>
      </c>
      <c r="W321" s="2235">
        <v>20</v>
      </c>
      <c r="X321" s="3865"/>
      <c r="Y321" s="3865"/>
      <c r="Z321" s="3865"/>
      <c r="AA321" s="3865"/>
      <c r="AB321" s="3865"/>
      <c r="AC321" s="3865"/>
      <c r="AD321" s="3865"/>
      <c r="AE321" s="3865"/>
      <c r="AF321" s="3865"/>
      <c r="AG321" s="3865"/>
      <c r="AH321" s="3865"/>
      <c r="AI321" s="3865"/>
      <c r="AJ321" s="3865"/>
      <c r="AK321" s="3865"/>
      <c r="AL321" s="3865"/>
      <c r="AM321" s="3865"/>
      <c r="AN321" s="3865"/>
      <c r="AO321" s="3926"/>
      <c r="AP321" s="3926"/>
      <c r="AQ321" s="3887"/>
    </row>
    <row r="322" spans="1:43" ht="36" customHeight="1" x14ac:dyDescent="0.2">
      <c r="A322" s="2215"/>
      <c r="B322" s="2216"/>
      <c r="C322" s="2217"/>
      <c r="D322" s="2216"/>
      <c r="E322" s="2216"/>
      <c r="F322" s="2217"/>
      <c r="G322" s="2249">
        <v>52</v>
      </c>
      <c r="H322" s="2221" t="s">
        <v>2453</v>
      </c>
      <c r="I322" s="2221"/>
      <c r="J322" s="2327"/>
      <c r="K322" s="2328"/>
      <c r="L322" s="2221"/>
      <c r="M322" s="2221"/>
      <c r="N322" s="2223"/>
      <c r="O322" s="2221"/>
      <c r="P322" s="2222"/>
      <c r="Q322" s="2221"/>
      <c r="R322" s="2250"/>
      <c r="S322" s="2222"/>
      <c r="T322" s="2222"/>
      <c r="U322" s="2222"/>
      <c r="V322" s="2293"/>
      <c r="W322" s="2294"/>
      <c r="X322" s="2295"/>
      <c r="Y322" s="2223"/>
      <c r="Z322" s="2223"/>
      <c r="AA322" s="3927"/>
      <c r="AB322" s="3928"/>
      <c r="AC322" s="3928"/>
      <c r="AD322" s="3928"/>
      <c r="AE322" s="3928"/>
      <c r="AF322" s="3928"/>
      <c r="AG322" s="3928"/>
      <c r="AH322" s="3928"/>
      <c r="AI322" s="3928"/>
      <c r="AJ322" s="3928"/>
      <c r="AK322" s="3928"/>
      <c r="AL322" s="3928"/>
      <c r="AM322" s="3928"/>
      <c r="AN322" s="2356"/>
      <c r="AO322" s="2221"/>
      <c r="AP322" s="2221"/>
      <c r="AQ322" s="2228"/>
    </row>
    <row r="323" spans="1:43" ht="39.75" customHeight="1" x14ac:dyDescent="0.2">
      <c r="A323" s="2254"/>
      <c r="B323" s="2255"/>
      <c r="C323" s="2256"/>
      <c r="D323" s="2255"/>
      <c r="E323" s="2255"/>
      <c r="F323" s="2256"/>
      <c r="G323" s="2258"/>
      <c r="H323" s="2258"/>
      <c r="I323" s="2258"/>
      <c r="J323" s="3909">
        <v>170</v>
      </c>
      <c r="K323" s="3929" t="s">
        <v>2454</v>
      </c>
      <c r="L323" s="3863" t="s">
        <v>2040</v>
      </c>
      <c r="M323" s="3863">
        <v>14</v>
      </c>
      <c r="N323" s="3863" t="s">
        <v>2455</v>
      </c>
      <c r="O323" s="3863" t="s">
        <v>2456</v>
      </c>
      <c r="P323" s="3866" t="s">
        <v>2457</v>
      </c>
      <c r="Q323" s="3917">
        <f>(V323+V325+V324)/R323</f>
        <v>0.5</v>
      </c>
      <c r="R323" s="3883">
        <f>SUM(V323:V327)</f>
        <v>20000000</v>
      </c>
      <c r="S323" s="3866" t="s">
        <v>2458</v>
      </c>
      <c r="T323" s="3866" t="s">
        <v>2459</v>
      </c>
      <c r="U323" s="2357" t="s">
        <v>2460</v>
      </c>
      <c r="V323" s="2358">
        <v>3000000</v>
      </c>
      <c r="W323" s="2235">
        <v>20</v>
      </c>
      <c r="X323" s="2342" t="s">
        <v>61</v>
      </c>
      <c r="Y323" s="3863">
        <v>292684</v>
      </c>
      <c r="Z323" s="3863">
        <v>282326</v>
      </c>
      <c r="AA323" s="3863">
        <v>135912</v>
      </c>
      <c r="AB323" s="3863">
        <v>45122</v>
      </c>
      <c r="AC323" s="3863">
        <v>307101</v>
      </c>
      <c r="AD323" s="3863">
        <v>86875</v>
      </c>
      <c r="AE323" s="3863">
        <v>2145</v>
      </c>
      <c r="AF323" s="3863">
        <v>12718</v>
      </c>
      <c r="AG323" s="3863">
        <v>26</v>
      </c>
      <c r="AH323" s="3863">
        <v>37</v>
      </c>
      <c r="AI323" s="3863" t="s">
        <v>2047</v>
      </c>
      <c r="AJ323" s="3863" t="s">
        <v>2047</v>
      </c>
      <c r="AK323" s="3863">
        <v>53164</v>
      </c>
      <c r="AL323" s="3863">
        <v>16982</v>
      </c>
      <c r="AM323" s="3863">
        <v>60013</v>
      </c>
      <c r="AN323" s="3863">
        <v>575010</v>
      </c>
      <c r="AO323" s="3920">
        <v>43467</v>
      </c>
      <c r="AP323" s="3920">
        <v>43830</v>
      </c>
      <c r="AQ323" s="3923" t="s">
        <v>2048</v>
      </c>
    </row>
    <row r="324" spans="1:43" ht="37.5" customHeight="1" x14ac:dyDescent="0.2">
      <c r="A324" s="2254"/>
      <c r="B324" s="2255"/>
      <c r="C324" s="2256"/>
      <c r="D324" s="2255"/>
      <c r="E324" s="2255"/>
      <c r="F324" s="2256"/>
      <c r="G324" s="2255"/>
      <c r="H324" s="2255"/>
      <c r="I324" s="2255"/>
      <c r="J324" s="3909"/>
      <c r="K324" s="3929"/>
      <c r="L324" s="3864"/>
      <c r="M324" s="3864"/>
      <c r="N324" s="3864"/>
      <c r="O324" s="3864"/>
      <c r="P324" s="3867"/>
      <c r="Q324" s="3918"/>
      <c r="R324" s="3884"/>
      <c r="S324" s="3867"/>
      <c r="T324" s="3867"/>
      <c r="U324" s="2357" t="s">
        <v>2461</v>
      </c>
      <c r="V324" s="2358">
        <v>4000000</v>
      </c>
      <c r="W324" s="2235">
        <v>20</v>
      </c>
      <c r="X324" s="2342" t="s">
        <v>61</v>
      </c>
      <c r="Y324" s="3864"/>
      <c r="Z324" s="3864"/>
      <c r="AA324" s="3864"/>
      <c r="AB324" s="3864"/>
      <c r="AC324" s="3864"/>
      <c r="AD324" s="3864"/>
      <c r="AE324" s="3864"/>
      <c r="AF324" s="3864"/>
      <c r="AG324" s="3864"/>
      <c r="AH324" s="3864"/>
      <c r="AI324" s="3864"/>
      <c r="AJ324" s="3864"/>
      <c r="AK324" s="3864"/>
      <c r="AL324" s="3864"/>
      <c r="AM324" s="3864"/>
      <c r="AN324" s="3864"/>
      <c r="AO324" s="3921"/>
      <c r="AP324" s="3921"/>
      <c r="AQ324" s="3924"/>
    </row>
    <row r="325" spans="1:43" ht="49.5" customHeight="1" x14ac:dyDescent="0.2">
      <c r="A325" s="2254"/>
      <c r="B325" s="2255"/>
      <c r="C325" s="2256"/>
      <c r="D325" s="2255"/>
      <c r="E325" s="2255"/>
      <c r="F325" s="2256"/>
      <c r="G325" s="2255"/>
      <c r="H325" s="2255"/>
      <c r="I325" s="2255"/>
      <c r="J325" s="3909"/>
      <c r="K325" s="3929"/>
      <c r="L325" s="3865"/>
      <c r="M325" s="3865"/>
      <c r="N325" s="3864"/>
      <c r="O325" s="3864"/>
      <c r="P325" s="3867"/>
      <c r="Q325" s="3918"/>
      <c r="R325" s="3884"/>
      <c r="S325" s="3867"/>
      <c r="T325" s="3868"/>
      <c r="U325" s="2357" t="s">
        <v>2462</v>
      </c>
      <c r="V325" s="2042">
        <v>3000000</v>
      </c>
      <c r="W325" s="2235">
        <v>20</v>
      </c>
      <c r="X325" s="2342" t="s">
        <v>61</v>
      </c>
      <c r="Y325" s="3864"/>
      <c r="Z325" s="3864"/>
      <c r="AA325" s="3864"/>
      <c r="AB325" s="3864"/>
      <c r="AC325" s="3864"/>
      <c r="AD325" s="3864"/>
      <c r="AE325" s="3864"/>
      <c r="AF325" s="3864"/>
      <c r="AG325" s="3864"/>
      <c r="AH325" s="3864"/>
      <c r="AI325" s="3864"/>
      <c r="AJ325" s="3864"/>
      <c r="AK325" s="3864"/>
      <c r="AL325" s="3864"/>
      <c r="AM325" s="3864"/>
      <c r="AN325" s="3864"/>
      <c r="AO325" s="3921"/>
      <c r="AP325" s="3921"/>
      <c r="AQ325" s="3924"/>
    </row>
    <row r="326" spans="1:43" ht="38.25" customHeight="1" x14ac:dyDescent="0.2">
      <c r="A326" s="2254"/>
      <c r="B326" s="2255"/>
      <c r="C326" s="2256"/>
      <c r="D326" s="2255"/>
      <c r="E326" s="2255"/>
      <c r="F326" s="2256"/>
      <c r="G326" s="2255"/>
      <c r="H326" s="2255"/>
      <c r="I326" s="2255"/>
      <c r="J326" s="3909">
        <v>171</v>
      </c>
      <c r="K326" s="3903" t="s">
        <v>2463</v>
      </c>
      <c r="L326" s="3911" t="s">
        <v>2040</v>
      </c>
      <c r="M326" s="3863">
        <v>1</v>
      </c>
      <c r="N326" s="3864"/>
      <c r="O326" s="3864"/>
      <c r="P326" s="3867"/>
      <c r="Q326" s="3917">
        <f>+SUM(V326:V327)/R323</f>
        <v>0.5</v>
      </c>
      <c r="R326" s="3884"/>
      <c r="S326" s="3867"/>
      <c r="T326" s="3866" t="s">
        <v>2464</v>
      </c>
      <c r="U326" s="2357" t="s">
        <v>2465</v>
      </c>
      <c r="V326" s="2042">
        <v>5000000</v>
      </c>
      <c r="W326" s="2235">
        <v>20</v>
      </c>
      <c r="X326" s="2342" t="s">
        <v>61</v>
      </c>
      <c r="Y326" s="3864"/>
      <c r="Z326" s="3864"/>
      <c r="AA326" s="3864"/>
      <c r="AB326" s="3864"/>
      <c r="AC326" s="3864"/>
      <c r="AD326" s="3864"/>
      <c r="AE326" s="3864"/>
      <c r="AF326" s="3864"/>
      <c r="AG326" s="3864"/>
      <c r="AH326" s="3864"/>
      <c r="AI326" s="3864"/>
      <c r="AJ326" s="3864"/>
      <c r="AK326" s="3864"/>
      <c r="AL326" s="3864"/>
      <c r="AM326" s="3864"/>
      <c r="AN326" s="3864"/>
      <c r="AO326" s="3921"/>
      <c r="AP326" s="3921"/>
      <c r="AQ326" s="3924"/>
    </row>
    <row r="327" spans="1:43" ht="50.25" customHeight="1" x14ac:dyDescent="0.2">
      <c r="A327" s="2254"/>
      <c r="B327" s="2255"/>
      <c r="C327" s="2256"/>
      <c r="D327" s="2255"/>
      <c r="E327" s="2255"/>
      <c r="F327" s="2256"/>
      <c r="G327" s="2255"/>
      <c r="H327" s="2255"/>
      <c r="I327" s="2255"/>
      <c r="J327" s="3909"/>
      <c r="K327" s="3903"/>
      <c r="L327" s="3913"/>
      <c r="M327" s="3865"/>
      <c r="N327" s="3865"/>
      <c r="O327" s="3865"/>
      <c r="P327" s="3868"/>
      <c r="Q327" s="3919"/>
      <c r="R327" s="3904"/>
      <c r="S327" s="3868"/>
      <c r="T327" s="3868"/>
      <c r="U327" s="2357" t="s">
        <v>2466</v>
      </c>
      <c r="V327" s="2042">
        <v>5000000</v>
      </c>
      <c r="W327" s="2235">
        <v>20</v>
      </c>
      <c r="X327" s="2342" t="s">
        <v>61</v>
      </c>
      <c r="Y327" s="3865"/>
      <c r="Z327" s="3865"/>
      <c r="AA327" s="3865"/>
      <c r="AB327" s="3865"/>
      <c r="AC327" s="3865"/>
      <c r="AD327" s="3865"/>
      <c r="AE327" s="3865"/>
      <c r="AF327" s="3865"/>
      <c r="AG327" s="3865"/>
      <c r="AH327" s="3865"/>
      <c r="AI327" s="3865"/>
      <c r="AJ327" s="3865"/>
      <c r="AK327" s="3865"/>
      <c r="AL327" s="3865"/>
      <c r="AM327" s="3865"/>
      <c r="AN327" s="3865"/>
      <c r="AO327" s="3922"/>
      <c r="AP327" s="3922"/>
      <c r="AQ327" s="3925"/>
    </row>
    <row r="328" spans="1:43" ht="53.25" customHeight="1" x14ac:dyDescent="0.2">
      <c r="A328" s="2254"/>
      <c r="B328" s="2255"/>
      <c r="C328" s="2256"/>
      <c r="D328" s="2255"/>
      <c r="E328" s="2255"/>
      <c r="F328" s="2256"/>
      <c r="G328" s="2255"/>
      <c r="H328" s="2255"/>
      <c r="I328" s="2256"/>
      <c r="J328" s="3899">
        <v>172</v>
      </c>
      <c r="K328" s="3867" t="s">
        <v>2467</v>
      </c>
      <c r="L328" s="3863" t="s">
        <v>2040</v>
      </c>
      <c r="M328" s="3863">
        <v>12</v>
      </c>
      <c r="N328" s="3863" t="s">
        <v>2468</v>
      </c>
      <c r="O328" s="3863" t="s">
        <v>2469</v>
      </c>
      <c r="P328" s="3866" t="s">
        <v>2470</v>
      </c>
      <c r="Q328" s="3917">
        <f>SUM(V328:V335)/R328</f>
        <v>1</v>
      </c>
      <c r="R328" s="3883">
        <f>SUM(V328:V335)</f>
        <v>674441641</v>
      </c>
      <c r="S328" s="3866" t="s">
        <v>2471</v>
      </c>
      <c r="T328" s="3866" t="s">
        <v>2472</v>
      </c>
      <c r="U328" s="3907" t="s">
        <v>2473</v>
      </c>
      <c r="V328" s="2042">
        <v>100000000</v>
      </c>
      <c r="W328" s="2235">
        <v>20</v>
      </c>
      <c r="X328" s="2307" t="s">
        <v>61</v>
      </c>
      <c r="Y328" s="3863">
        <v>292684</v>
      </c>
      <c r="Z328" s="3863">
        <v>282326</v>
      </c>
      <c r="AA328" s="3863">
        <v>135912</v>
      </c>
      <c r="AB328" s="3863">
        <v>45122</v>
      </c>
      <c r="AC328" s="3863">
        <v>307101</v>
      </c>
      <c r="AD328" s="3863">
        <v>86875</v>
      </c>
      <c r="AE328" s="3863">
        <v>2145</v>
      </c>
      <c r="AF328" s="3863">
        <v>12718</v>
      </c>
      <c r="AG328" s="3863">
        <v>26</v>
      </c>
      <c r="AH328" s="3863">
        <v>37</v>
      </c>
      <c r="AI328" s="3863" t="s">
        <v>2047</v>
      </c>
      <c r="AJ328" s="3863" t="s">
        <v>2047</v>
      </c>
      <c r="AK328" s="3863">
        <v>53164</v>
      </c>
      <c r="AL328" s="3863">
        <v>16982</v>
      </c>
      <c r="AM328" s="3863">
        <v>60013</v>
      </c>
      <c r="AN328" s="3863">
        <v>575010</v>
      </c>
      <c r="AO328" s="3878">
        <v>43467</v>
      </c>
      <c r="AP328" s="3878">
        <v>43830</v>
      </c>
      <c r="AQ328" s="3880" t="s">
        <v>2048</v>
      </c>
    </row>
    <row r="329" spans="1:43" ht="53.25" customHeight="1" x14ac:dyDescent="0.2">
      <c r="A329" s="2254"/>
      <c r="B329" s="2255"/>
      <c r="C329" s="2256"/>
      <c r="D329" s="2255"/>
      <c r="E329" s="2255"/>
      <c r="F329" s="2256"/>
      <c r="G329" s="2255"/>
      <c r="H329" s="2255"/>
      <c r="I329" s="2256"/>
      <c r="J329" s="3899"/>
      <c r="K329" s="3867"/>
      <c r="L329" s="3864"/>
      <c r="M329" s="3864"/>
      <c r="N329" s="3864"/>
      <c r="O329" s="3864"/>
      <c r="P329" s="3867"/>
      <c r="Q329" s="3918"/>
      <c r="R329" s="3884"/>
      <c r="S329" s="3867"/>
      <c r="T329" s="3867"/>
      <c r="U329" s="3908"/>
      <c r="V329" s="2042">
        <v>114000000</v>
      </c>
      <c r="W329" s="2235">
        <v>96</v>
      </c>
      <c r="X329" s="2307" t="s">
        <v>2474</v>
      </c>
      <c r="Y329" s="3864"/>
      <c r="Z329" s="3864"/>
      <c r="AA329" s="3864"/>
      <c r="AB329" s="3864"/>
      <c r="AC329" s="3864"/>
      <c r="AD329" s="3864"/>
      <c r="AE329" s="3864"/>
      <c r="AF329" s="3864"/>
      <c r="AG329" s="3864"/>
      <c r="AH329" s="3864"/>
      <c r="AI329" s="3864"/>
      <c r="AJ329" s="3864"/>
      <c r="AK329" s="3864"/>
      <c r="AL329" s="3864"/>
      <c r="AM329" s="3864"/>
      <c r="AN329" s="3864"/>
      <c r="AO329" s="3879"/>
      <c r="AP329" s="3879"/>
      <c r="AQ329" s="3881"/>
    </row>
    <row r="330" spans="1:43" ht="42" customHeight="1" x14ac:dyDescent="0.2">
      <c r="A330" s="2254"/>
      <c r="B330" s="2255"/>
      <c r="C330" s="2256"/>
      <c r="D330" s="2255"/>
      <c r="E330" s="2255"/>
      <c r="F330" s="2256"/>
      <c r="G330" s="2255"/>
      <c r="H330" s="2255"/>
      <c r="I330" s="2256"/>
      <c r="J330" s="3899"/>
      <c r="K330" s="3867"/>
      <c r="L330" s="3864"/>
      <c r="M330" s="3864"/>
      <c r="N330" s="3864"/>
      <c r="O330" s="3864"/>
      <c r="P330" s="3867"/>
      <c r="Q330" s="3918"/>
      <c r="R330" s="3884"/>
      <c r="S330" s="3867"/>
      <c r="T330" s="3867"/>
      <c r="U330" s="2359" t="s">
        <v>2475</v>
      </c>
      <c r="V330" s="2042">
        <v>10000000</v>
      </c>
      <c r="W330" s="2235">
        <v>20</v>
      </c>
      <c r="X330" s="2307" t="s">
        <v>61</v>
      </c>
      <c r="Y330" s="3864"/>
      <c r="Z330" s="3864"/>
      <c r="AA330" s="3864"/>
      <c r="AB330" s="3864"/>
      <c r="AC330" s="3864"/>
      <c r="AD330" s="3864"/>
      <c r="AE330" s="3864"/>
      <c r="AF330" s="3864"/>
      <c r="AG330" s="3864"/>
      <c r="AH330" s="3864"/>
      <c r="AI330" s="3864"/>
      <c r="AJ330" s="3864"/>
      <c r="AK330" s="3864"/>
      <c r="AL330" s="3864"/>
      <c r="AM330" s="3864"/>
      <c r="AN330" s="3864"/>
      <c r="AO330" s="3879"/>
      <c r="AP330" s="3879"/>
      <c r="AQ330" s="3881"/>
    </row>
    <row r="331" spans="1:43" ht="69" customHeight="1" x14ac:dyDescent="0.2">
      <c r="A331" s="2254"/>
      <c r="B331" s="2255"/>
      <c r="C331" s="2256"/>
      <c r="D331" s="2255"/>
      <c r="E331" s="2255"/>
      <c r="F331" s="2256"/>
      <c r="G331" s="2255"/>
      <c r="H331" s="2255"/>
      <c r="I331" s="2256"/>
      <c r="J331" s="3899"/>
      <c r="K331" s="3867"/>
      <c r="L331" s="3864"/>
      <c r="M331" s="3864"/>
      <c r="N331" s="3864"/>
      <c r="O331" s="3864"/>
      <c r="P331" s="3867"/>
      <c r="Q331" s="3918"/>
      <c r="R331" s="3884"/>
      <c r="S331" s="3867"/>
      <c r="T331" s="3867"/>
      <c r="U331" s="3907" t="s">
        <v>2476</v>
      </c>
      <c r="V331" s="2042">
        <v>15441641</v>
      </c>
      <c r="W331" s="2235">
        <v>20</v>
      </c>
      <c r="X331" s="2307" t="s">
        <v>61</v>
      </c>
      <c r="Y331" s="3864"/>
      <c r="Z331" s="3864"/>
      <c r="AA331" s="3864"/>
      <c r="AB331" s="3864"/>
      <c r="AC331" s="3864"/>
      <c r="AD331" s="3864"/>
      <c r="AE331" s="3864"/>
      <c r="AF331" s="3864"/>
      <c r="AG331" s="3864"/>
      <c r="AH331" s="3864"/>
      <c r="AI331" s="3864"/>
      <c r="AJ331" s="3864"/>
      <c r="AK331" s="3864"/>
      <c r="AL331" s="3864"/>
      <c r="AM331" s="3864"/>
      <c r="AN331" s="3864"/>
      <c r="AO331" s="3879"/>
      <c r="AP331" s="3879"/>
      <c r="AQ331" s="3881"/>
    </row>
    <row r="332" spans="1:43" ht="69" customHeight="1" x14ac:dyDescent="0.2">
      <c r="A332" s="2254"/>
      <c r="B332" s="2255"/>
      <c r="C332" s="2256"/>
      <c r="D332" s="2255"/>
      <c r="E332" s="2255"/>
      <c r="F332" s="2256"/>
      <c r="G332" s="2255"/>
      <c r="H332" s="2255"/>
      <c r="I332" s="2256"/>
      <c r="J332" s="3899"/>
      <c r="K332" s="3867"/>
      <c r="L332" s="3864"/>
      <c r="M332" s="3864"/>
      <c r="N332" s="3864"/>
      <c r="O332" s="3864"/>
      <c r="P332" s="3867"/>
      <c r="Q332" s="3918"/>
      <c r="R332" s="3884"/>
      <c r="S332" s="3867"/>
      <c r="T332" s="3867"/>
      <c r="U332" s="3908"/>
      <c r="V332" s="2042">
        <v>400000000</v>
      </c>
      <c r="W332" s="2267">
        <v>88</v>
      </c>
      <c r="X332" s="2306" t="s">
        <v>2477</v>
      </c>
      <c r="Y332" s="3864"/>
      <c r="Z332" s="3864"/>
      <c r="AA332" s="3864"/>
      <c r="AB332" s="3864"/>
      <c r="AC332" s="3864"/>
      <c r="AD332" s="3864"/>
      <c r="AE332" s="3864"/>
      <c r="AF332" s="3864"/>
      <c r="AG332" s="3864"/>
      <c r="AH332" s="3864"/>
      <c r="AI332" s="3864"/>
      <c r="AJ332" s="3864"/>
      <c r="AK332" s="3864"/>
      <c r="AL332" s="3864"/>
      <c r="AM332" s="3864"/>
      <c r="AN332" s="3864"/>
      <c r="AO332" s="3879"/>
      <c r="AP332" s="3879"/>
      <c r="AQ332" s="3881"/>
    </row>
    <row r="333" spans="1:43" ht="39" customHeight="1" x14ac:dyDescent="0.2">
      <c r="A333" s="2254"/>
      <c r="B333" s="2255"/>
      <c r="C333" s="2256"/>
      <c r="D333" s="2255"/>
      <c r="E333" s="2255"/>
      <c r="F333" s="2256"/>
      <c r="G333" s="2255"/>
      <c r="H333" s="2255"/>
      <c r="I333" s="2256"/>
      <c r="J333" s="3899"/>
      <c r="K333" s="3867"/>
      <c r="L333" s="3864"/>
      <c r="M333" s="3864"/>
      <c r="N333" s="3864"/>
      <c r="O333" s="3864"/>
      <c r="P333" s="3867"/>
      <c r="Q333" s="3918"/>
      <c r="R333" s="3884"/>
      <c r="S333" s="3867"/>
      <c r="T333" s="3867"/>
      <c r="U333" s="2359" t="s">
        <v>2478</v>
      </c>
      <c r="V333" s="2042">
        <v>10000000</v>
      </c>
      <c r="W333" s="2235">
        <v>20</v>
      </c>
      <c r="X333" s="2307" t="s">
        <v>61</v>
      </c>
      <c r="Y333" s="3864"/>
      <c r="Z333" s="3864"/>
      <c r="AA333" s="3864"/>
      <c r="AB333" s="3864"/>
      <c r="AC333" s="3864"/>
      <c r="AD333" s="3864"/>
      <c r="AE333" s="3864"/>
      <c r="AF333" s="3864"/>
      <c r="AG333" s="3864"/>
      <c r="AH333" s="3864"/>
      <c r="AI333" s="3864"/>
      <c r="AJ333" s="3864"/>
      <c r="AK333" s="3864"/>
      <c r="AL333" s="3864"/>
      <c r="AM333" s="3864"/>
      <c r="AN333" s="3864"/>
      <c r="AO333" s="3879"/>
      <c r="AP333" s="3879"/>
      <c r="AQ333" s="3881"/>
    </row>
    <row r="334" spans="1:43" ht="56.25" customHeight="1" x14ac:dyDescent="0.2">
      <c r="A334" s="2254"/>
      <c r="B334" s="2255"/>
      <c r="C334" s="2256"/>
      <c r="D334" s="2255"/>
      <c r="E334" s="2255"/>
      <c r="F334" s="2256"/>
      <c r="G334" s="2255"/>
      <c r="H334" s="2255"/>
      <c r="I334" s="2256"/>
      <c r="J334" s="3899"/>
      <c r="K334" s="3867"/>
      <c r="L334" s="3864"/>
      <c r="M334" s="3864"/>
      <c r="N334" s="3864"/>
      <c r="O334" s="3864"/>
      <c r="P334" s="3867"/>
      <c r="Q334" s="3918"/>
      <c r="R334" s="3884"/>
      <c r="S334" s="3867"/>
      <c r="T334" s="3868"/>
      <c r="U334" s="2359" t="s">
        <v>2479</v>
      </c>
      <c r="V334" s="2042">
        <v>10000000</v>
      </c>
      <c r="W334" s="2235">
        <v>20</v>
      </c>
      <c r="X334" s="2307" t="s">
        <v>61</v>
      </c>
      <c r="Y334" s="3864"/>
      <c r="Z334" s="3864"/>
      <c r="AA334" s="3864"/>
      <c r="AB334" s="3864"/>
      <c r="AC334" s="3864"/>
      <c r="AD334" s="3864"/>
      <c r="AE334" s="3864"/>
      <c r="AF334" s="3864"/>
      <c r="AG334" s="3864"/>
      <c r="AH334" s="3864"/>
      <c r="AI334" s="3864"/>
      <c r="AJ334" s="3864"/>
      <c r="AK334" s="3864"/>
      <c r="AL334" s="3864"/>
      <c r="AM334" s="3864"/>
      <c r="AN334" s="3864"/>
      <c r="AO334" s="3879"/>
      <c r="AP334" s="3879"/>
      <c r="AQ334" s="3881"/>
    </row>
    <row r="335" spans="1:43" ht="42.75" x14ac:dyDescent="0.2">
      <c r="A335" s="2254"/>
      <c r="B335" s="2255"/>
      <c r="C335" s="2256"/>
      <c r="D335" s="2255"/>
      <c r="E335" s="2255"/>
      <c r="F335" s="2256"/>
      <c r="G335" s="2262"/>
      <c r="H335" s="2262"/>
      <c r="I335" s="2263"/>
      <c r="J335" s="3900"/>
      <c r="K335" s="3868"/>
      <c r="L335" s="3865"/>
      <c r="M335" s="3865"/>
      <c r="N335" s="3865"/>
      <c r="O335" s="3865"/>
      <c r="P335" s="3868"/>
      <c r="Q335" s="3919"/>
      <c r="R335" s="3904"/>
      <c r="S335" s="3868"/>
      <c r="T335" s="2264" t="s">
        <v>2480</v>
      </c>
      <c r="U335" s="2360" t="s">
        <v>2481</v>
      </c>
      <c r="V335" s="2042">
        <v>15000000</v>
      </c>
      <c r="W335" s="2235">
        <v>20</v>
      </c>
      <c r="X335" s="2307" t="s">
        <v>61</v>
      </c>
      <c r="Y335" s="3865"/>
      <c r="Z335" s="3865"/>
      <c r="AA335" s="3865"/>
      <c r="AB335" s="3865"/>
      <c r="AC335" s="3865"/>
      <c r="AD335" s="3865"/>
      <c r="AE335" s="3865"/>
      <c r="AF335" s="3865"/>
      <c r="AG335" s="3865"/>
      <c r="AH335" s="3865"/>
      <c r="AI335" s="3865"/>
      <c r="AJ335" s="3865"/>
      <c r="AK335" s="3865"/>
      <c r="AL335" s="3865"/>
      <c r="AM335" s="3865"/>
      <c r="AN335" s="3865"/>
      <c r="AO335" s="3901"/>
      <c r="AP335" s="3901"/>
      <c r="AQ335" s="3887"/>
    </row>
    <row r="336" spans="1:43" ht="36" customHeight="1" x14ac:dyDescent="0.2">
      <c r="A336" s="2215"/>
      <c r="B336" s="2216"/>
      <c r="C336" s="2217"/>
      <c r="D336" s="2216"/>
      <c r="E336" s="2216"/>
      <c r="F336" s="2217"/>
      <c r="G336" s="2249">
        <v>53</v>
      </c>
      <c r="H336" s="2221" t="s">
        <v>2482</v>
      </c>
      <c r="I336" s="2221"/>
      <c r="J336" s="2327"/>
      <c r="K336" s="2328"/>
      <c r="L336" s="2221"/>
      <c r="M336" s="2221"/>
      <c r="N336" s="2223"/>
      <c r="O336" s="2221"/>
      <c r="P336" s="2222"/>
      <c r="Q336" s="2221"/>
      <c r="R336" s="2250"/>
      <c r="S336" s="2222"/>
      <c r="T336" s="2222"/>
      <c r="U336" s="2222"/>
      <c r="V336" s="2361"/>
      <c r="W336" s="2294"/>
      <c r="X336" s="2295"/>
      <c r="Y336" s="2223"/>
      <c r="Z336" s="2223"/>
      <c r="AA336" s="2362"/>
      <c r="AB336" s="2362"/>
      <c r="AC336" s="2363"/>
      <c r="AD336" s="2362"/>
      <c r="AE336" s="2362"/>
      <c r="AF336" s="2362"/>
      <c r="AG336" s="2362"/>
      <c r="AH336" s="2364"/>
      <c r="AI336" s="2362"/>
      <c r="AJ336" s="2363"/>
      <c r="AK336" s="2362"/>
      <c r="AL336" s="2362"/>
      <c r="AM336" s="2363"/>
      <c r="AN336" s="2363"/>
      <c r="AO336" s="2221"/>
      <c r="AP336" s="2221"/>
      <c r="AQ336" s="2228"/>
    </row>
    <row r="337" spans="1:43" ht="70.5" customHeight="1" x14ac:dyDescent="0.2">
      <c r="A337" s="2229"/>
      <c r="B337" s="2230"/>
      <c r="C337" s="2231"/>
      <c r="D337" s="2230"/>
      <c r="E337" s="2230"/>
      <c r="F337" s="2231"/>
      <c r="G337" s="2233"/>
      <c r="H337" s="2233"/>
      <c r="I337" s="2233"/>
      <c r="J337" s="3909">
        <v>173</v>
      </c>
      <c r="K337" s="3903" t="s">
        <v>2483</v>
      </c>
      <c r="L337" s="3911" t="s">
        <v>2040</v>
      </c>
      <c r="M337" s="3914">
        <v>7</v>
      </c>
      <c r="N337" s="3863" t="s">
        <v>2484</v>
      </c>
      <c r="O337" s="3863" t="s">
        <v>2485</v>
      </c>
      <c r="P337" s="3866" t="s">
        <v>2486</v>
      </c>
      <c r="Q337" s="3917">
        <f>SUM(V337:V345)/R337</f>
        <v>0.46524064171122997</v>
      </c>
      <c r="R337" s="3883">
        <f>SUM(V337:V346)</f>
        <v>56100000</v>
      </c>
      <c r="S337" s="3866" t="s">
        <v>2487</v>
      </c>
      <c r="T337" s="3866" t="s">
        <v>2488</v>
      </c>
      <c r="U337" s="2301" t="s">
        <v>2489</v>
      </c>
      <c r="V337" s="2042">
        <v>2000000</v>
      </c>
      <c r="W337" s="2235">
        <v>20</v>
      </c>
      <c r="X337" s="2307" t="s">
        <v>61</v>
      </c>
      <c r="Y337" s="3863">
        <v>292684</v>
      </c>
      <c r="Z337" s="3863">
        <v>282326</v>
      </c>
      <c r="AA337" s="3863">
        <v>135912</v>
      </c>
      <c r="AB337" s="3863">
        <v>45122</v>
      </c>
      <c r="AC337" s="3863">
        <v>307101</v>
      </c>
      <c r="AD337" s="3863">
        <v>86875</v>
      </c>
      <c r="AE337" s="3863">
        <v>2145</v>
      </c>
      <c r="AF337" s="3863">
        <v>12718</v>
      </c>
      <c r="AG337" s="3863">
        <v>26</v>
      </c>
      <c r="AH337" s="3863">
        <v>37</v>
      </c>
      <c r="AI337" s="3863" t="s">
        <v>2047</v>
      </c>
      <c r="AJ337" s="3863" t="s">
        <v>2047</v>
      </c>
      <c r="AK337" s="3863">
        <v>53164</v>
      </c>
      <c r="AL337" s="3863">
        <v>16982</v>
      </c>
      <c r="AM337" s="3863">
        <v>60013</v>
      </c>
      <c r="AN337" s="3863">
        <v>575010</v>
      </c>
      <c r="AO337" s="3878">
        <v>43467</v>
      </c>
      <c r="AP337" s="3878">
        <v>43830</v>
      </c>
      <c r="AQ337" s="3880" t="s">
        <v>2048</v>
      </c>
    </row>
    <row r="338" spans="1:43" ht="60.75" customHeight="1" x14ac:dyDescent="0.2">
      <c r="A338" s="2229"/>
      <c r="B338" s="2230"/>
      <c r="C338" s="2231"/>
      <c r="D338" s="2230"/>
      <c r="E338" s="2230"/>
      <c r="F338" s="2231"/>
      <c r="G338" s="2230"/>
      <c r="H338" s="2230"/>
      <c r="I338" s="2230"/>
      <c r="J338" s="3909"/>
      <c r="K338" s="3903"/>
      <c r="L338" s="3912"/>
      <c r="M338" s="3915"/>
      <c r="N338" s="3864"/>
      <c r="O338" s="3864"/>
      <c r="P338" s="3867"/>
      <c r="Q338" s="3918"/>
      <c r="R338" s="3884"/>
      <c r="S338" s="3867"/>
      <c r="T338" s="3867"/>
      <c r="U338" s="2301" t="s">
        <v>2490</v>
      </c>
      <c r="V338" s="2042">
        <v>2000000</v>
      </c>
      <c r="W338" s="2235">
        <v>20</v>
      </c>
      <c r="X338" s="2307" t="s">
        <v>61</v>
      </c>
      <c r="Y338" s="3864"/>
      <c r="Z338" s="3864"/>
      <c r="AA338" s="3864"/>
      <c r="AB338" s="3864"/>
      <c r="AC338" s="3864"/>
      <c r="AD338" s="3864"/>
      <c r="AE338" s="3864"/>
      <c r="AF338" s="3864"/>
      <c r="AG338" s="3864"/>
      <c r="AH338" s="3864"/>
      <c r="AI338" s="3864"/>
      <c r="AJ338" s="3864"/>
      <c r="AK338" s="3864"/>
      <c r="AL338" s="3864"/>
      <c r="AM338" s="3864"/>
      <c r="AN338" s="3864"/>
      <c r="AO338" s="3879"/>
      <c r="AP338" s="3879"/>
      <c r="AQ338" s="3881"/>
    </row>
    <row r="339" spans="1:43" ht="42.75" customHeight="1" x14ac:dyDescent="0.2">
      <c r="A339" s="2229"/>
      <c r="B339" s="2230"/>
      <c r="C339" s="2231"/>
      <c r="D339" s="2230"/>
      <c r="E339" s="2230"/>
      <c r="F339" s="2231"/>
      <c r="G339" s="2230"/>
      <c r="H339" s="2230"/>
      <c r="I339" s="2230"/>
      <c r="J339" s="3909"/>
      <c r="K339" s="3903"/>
      <c r="L339" s="3912"/>
      <c r="M339" s="3915"/>
      <c r="N339" s="3864"/>
      <c r="O339" s="3864"/>
      <c r="P339" s="3867"/>
      <c r="Q339" s="3918"/>
      <c r="R339" s="3884"/>
      <c r="S339" s="3867"/>
      <c r="T339" s="3867"/>
      <c r="U339" s="3896" t="s">
        <v>2491</v>
      </c>
      <c r="V339" s="2042">
        <v>2000000</v>
      </c>
      <c r="W339" s="2235">
        <v>20</v>
      </c>
      <c r="X339" s="2307" t="s">
        <v>61</v>
      </c>
      <c r="Y339" s="3864"/>
      <c r="Z339" s="3864"/>
      <c r="AA339" s="3864"/>
      <c r="AB339" s="3864"/>
      <c r="AC339" s="3864"/>
      <c r="AD339" s="3864"/>
      <c r="AE339" s="3864"/>
      <c r="AF339" s="3864"/>
      <c r="AG339" s="3864"/>
      <c r="AH339" s="3864"/>
      <c r="AI339" s="3864"/>
      <c r="AJ339" s="3864"/>
      <c r="AK339" s="3864"/>
      <c r="AL339" s="3864"/>
      <c r="AM339" s="3864"/>
      <c r="AN339" s="3864"/>
      <c r="AO339" s="3879"/>
      <c r="AP339" s="3879"/>
      <c r="AQ339" s="3881"/>
    </row>
    <row r="340" spans="1:43" ht="33" customHeight="1" x14ac:dyDescent="0.2">
      <c r="A340" s="2229"/>
      <c r="B340" s="2230"/>
      <c r="C340" s="2231"/>
      <c r="D340" s="2230"/>
      <c r="E340" s="2230"/>
      <c r="F340" s="2231"/>
      <c r="G340" s="2230"/>
      <c r="H340" s="2230"/>
      <c r="I340" s="2230"/>
      <c r="J340" s="3909"/>
      <c r="K340" s="3903"/>
      <c r="L340" s="3912"/>
      <c r="M340" s="3915"/>
      <c r="N340" s="3864"/>
      <c r="O340" s="3864"/>
      <c r="P340" s="3867"/>
      <c r="Q340" s="3918"/>
      <c r="R340" s="3884"/>
      <c r="S340" s="3867"/>
      <c r="T340" s="3868"/>
      <c r="U340" s="3897"/>
      <c r="V340" s="2042">
        <v>4000000</v>
      </c>
      <c r="W340" s="2267">
        <v>96</v>
      </c>
      <c r="X340" s="2306" t="s">
        <v>2411</v>
      </c>
      <c r="Y340" s="3864"/>
      <c r="Z340" s="3864"/>
      <c r="AA340" s="3864"/>
      <c r="AB340" s="3864"/>
      <c r="AC340" s="3864"/>
      <c r="AD340" s="3864"/>
      <c r="AE340" s="3864"/>
      <c r="AF340" s="3864"/>
      <c r="AG340" s="3864"/>
      <c r="AH340" s="3864"/>
      <c r="AI340" s="3864"/>
      <c r="AJ340" s="3864"/>
      <c r="AK340" s="3864"/>
      <c r="AL340" s="3864"/>
      <c r="AM340" s="3864"/>
      <c r="AN340" s="3864"/>
      <c r="AO340" s="3879"/>
      <c r="AP340" s="3879"/>
      <c r="AQ340" s="3881"/>
    </row>
    <row r="341" spans="1:43" ht="34.5" customHeight="1" x14ac:dyDescent="0.2">
      <c r="A341" s="2229"/>
      <c r="B341" s="2230"/>
      <c r="C341" s="2231"/>
      <c r="D341" s="2230"/>
      <c r="E341" s="2230"/>
      <c r="F341" s="2231"/>
      <c r="G341" s="2230"/>
      <c r="H341" s="2230"/>
      <c r="I341" s="2230"/>
      <c r="J341" s="3909"/>
      <c r="K341" s="3903"/>
      <c r="L341" s="3912"/>
      <c r="M341" s="3915"/>
      <c r="N341" s="3864"/>
      <c r="O341" s="3864"/>
      <c r="P341" s="3867"/>
      <c r="Q341" s="3918"/>
      <c r="R341" s="3884"/>
      <c r="S341" s="3867"/>
      <c r="T341" s="3866" t="s">
        <v>2492</v>
      </c>
      <c r="U341" s="3896" t="s">
        <v>2493</v>
      </c>
      <c r="V341" s="2042">
        <v>5000000</v>
      </c>
      <c r="W341" s="2267">
        <v>20</v>
      </c>
      <c r="X341" s="2306" t="s">
        <v>61</v>
      </c>
      <c r="Y341" s="3864"/>
      <c r="Z341" s="3864"/>
      <c r="AA341" s="3864"/>
      <c r="AB341" s="3864"/>
      <c r="AC341" s="3864"/>
      <c r="AD341" s="3864"/>
      <c r="AE341" s="3864"/>
      <c r="AF341" s="3864"/>
      <c r="AG341" s="3864"/>
      <c r="AH341" s="3864"/>
      <c r="AI341" s="3864"/>
      <c r="AJ341" s="3864"/>
      <c r="AK341" s="3864"/>
      <c r="AL341" s="3864"/>
      <c r="AM341" s="3864"/>
      <c r="AN341" s="3864"/>
      <c r="AO341" s="3879"/>
      <c r="AP341" s="3879"/>
      <c r="AQ341" s="3881"/>
    </row>
    <row r="342" spans="1:43" ht="51" customHeight="1" x14ac:dyDescent="0.2">
      <c r="A342" s="2229"/>
      <c r="B342" s="2230"/>
      <c r="C342" s="2231"/>
      <c r="D342" s="2230"/>
      <c r="E342" s="2230"/>
      <c r="F342" s="2231"/>
      <c r="G342" s="2230"/>
      <c r="H342" s="2230"/>
      <c r="I342" s="2230"/>
      <c r="J342" s="3909"/>
      <c r="K342" s="3903"/>
      <c r="L342" s="3912"/>
      <c r="M342" s="3915"/>
      <c r="N342" s="3864"/>
      <c r="O342" s="3864"/>
      <c r="P342" s="3867"/>
      <c r="Q342" s="3918"/>
      <c r="R342" s="3884"/>
      <c r="S342" s="3867"/>
      <c r="T342" s="3902"/>
      <c r="U342" s="3897"/>
      <c r="V342" s="2042">
        <v>3500000</v>
      </c>
      <c r="W342" s="2267">
        <v>96</v>
      </c>
      <c r="X342" s="2306" t="s">
        <v>2411</v>
      </c>
      <c r="Y342" s="3864"/>
      <c r="Z342" s="3864"/>
      <c r="AA342" s="3864"/>
      <c r="AB342" s="3864"/>
      <c r="AC342" s="3864"/>
      <c r="AD342" s="3864"/>
      <c r="AE342" s="3864"/>
      <c r="AF342" s="3864"/>
      <c r="AG342" s="3864"/>
      <c r="AH342" s="3864"/>
      <c r="AI342" s="3864"/>
      <c r="AJ342" s="3864"/>
      <c r="AK342" s="3864"/>
      <c r="AL342" s="3864"/>
      <c r="AM342" s="3864"/>
      <c r="AN342" s="3864"/>
      <c r="AO342" s="3879"/>
      <c r="AP342" s="3879"/>
      <c r="AQ342" s="3881"/>
    </row>
    <row r="343" spans="1:43" ht="59.25" customHeight="1" x14ac:dyDescent="0.2">
      <c r="A343" s="2229"/>
      <c r="B343" s="2230"/>
      <c r="C343" s="2231"/>
      <c r="D343" s="2230"/>
      <c r="E343" s="2230"/>
      <c r="F343" s="2231"/>
      <c r="G343" s="2230"/>
      <c r="H343" s="2230"/>
      <c r="I343" s="2230"/>
      <c r="J343" s="3909"/>
      <c r="K343" s="3903"/>
      <c r="L343" s="3912"/>
      <c r="M343" s="3915"/>
      <c r="N343" s="3864"/>
      <c r="O343" s="3864"/>
      <c r="P343" s="3867"/>
      <c r="Q343" s="3918"/>
      <c r="R343" s="3884"/>
      <c r="S343" s="3905"/>
      <c r="T343" s="3903" t="s">
        <v>2494</v>
      </c>
      <c r="U343" s="2365" t="s">
        <v>2495</v>
      </c>
      <c r="V343" s="2042">
        <v>3000000</v>
      </c>
      <c r="W343" s="2235">
        <v>20</v>
      </c>
      <c r="X343" s="2307" t="s">
        <v>61</v>
      </c>
      <c r="Y343" s="3864"/>
      <c r="Z343" s="3864"/>
      <c r="AA343" s="3864"/>
      <c r="AB343" s="3864"/>
      <c r="AC343" s="3864"/>
      <c r="AD343" s="3864"/>
      <c r="AE343" s="3864"/>
      <c r="AF343" s="3864"/>
      <c r="AG343" s="3864"/>
      <c r="AH343" s="3864"/>
      <c r="AI343" s="3864"/>
      <c r="AJ343" s="3864"/>
      <c r="AK343" s="3864"/>
      <c r="AL343" s="3864"/>
      <c r="AM343" s="3864"/>
      <c r="AN343" s="3864"/>
      <c r="AO343" s="3879"/>
      <c r="AP343" s="3879"/>
      <c r="AQ343" s="3881"/>
    </row>
    <row r="344" spans="1:43" ht="72" customHeight="1" x14ac:dyDescent="0.2">
      <c r="A344" s="2229"/>
      <c r="B344" s="2230"/>
      <c r="C344" s="2231"/>
      <c r="D344" s="2230"/>
      <c r="E344" s="2230"/>
      <c r="F344" s="2231"/>
      <c r="G344" s="2230"/>
      <c r="H344" s="2230"/>
      <c r="I344" s="2230"/>
      <c r="J344" s="3909"/>
      <c r="K344" s="3903"/>
      <c r="L344" s="3912"/>
      <c r="M344" s="3915"/>
      <c r="N344" s="3864"/>
      <c r="O344" s="3864"/>
      <c r="P344" s="3867"/>
      <c r="Q344" s="3918"/>
      <c r="R344" s="3884"/>
      <c r="S344" s="3905"/>
      <c r="T344" s="3903"/>
      <c r="U344" s="2365" t="s">
        <v>2496</v>
      </c>
      <c r="V344" s="2042">
        <v>3000000</v>
      </c>
      <c r="W344" s="2235">
        <v>20</v>
      </c>
      <c r="X344" s="2307" t="s">
        <v>61</v>
      </c>
      <c r="Y344" s="3864"/>
      <c r="Z344" s="3864"/>
      <c r="AA344" s="3864"/>
      <c r="AB344" s="3864"/>
      <c r="AC344" s="3864"/>
      <c r="AD344" s="3864"/>
      <c r="AE344" s="3864"/>
      <c r="AF344" s="3864"/>
      <c r="AG344" s="3864"/>
      <c r="AH344" s="3864"/>
      <c r="AI344" s="3864"/>
      <c r="AJ344" s="3864"/>
      <c r="AK344" s="3864"/>
      <c r="AL344" s="3864"/>
      <c r="AM344" s="3864"/>
      <c r="AN344" s="3864"/>
      <c r="AO344" s="3879"/>
      <c r="AP344" s="3879"/>
      <c r="AQ344" s="3881"/>
    </row>
    <row r="345" spans="1:43" ht="58.5" customHeight="1" x14ac:dyDescent="0.2">
      <c r="A345" s="2229"/>
      <c r="B345" s="2230"/>
      <c r="C345" s="2231"/>
      <c r="D345" s="2230"/>
      <c r="E345" s="2230"/>
      <c r="F345" s="2231"/>
      <c r="G345" s="2230"/>
      <c r="H345" s="2230"/>
      <c r="I345" s="2230"/>
      <c r="J345" s="3910"/>
      <c r="K345" s="3903"/>
      <c r="L345" s="3913"/>
      <c r="M345" s="3916"/>
      <c r="N345" s="3864"/>
      <c r="O345" s="3864"/>
      <c r="P345" s="3867"/>
      <c r="Q345" s="3919"/>
      <c r="R345" s="3884"/>
      <c r="S345" s="3905"/>
      <c r="T345" s="3903"/>
      <c r="U345" s="2365" t="s">
        <v>2497</v>
      </c>
      <c r="V345" s="2042">
        <v>1600000</v>
      </c>
      <c r="W345" s="2235">
        <v>20</v>
      </c>
      <c r="X345" s="2307" t="s">
        <v>61</v>
      </c>
      <c r="Y345" s="3864"/>
      <c r="Z345" s="3864"/>
      <c r="AA345" s="3864"/>
      <c r="AB345" s="3864"/>
      <c r="AC345" s="3864"/>
      <c r="AD345" s="3864"/>
      <c r="AE345" s="3864"/>
      <c r="AF345" s="3864"/>
      <c r="AG345" s="3864"/>
      <c r="AH345" s="3864"/>
      <c r="AI345" s="3864"/>
      <c r="AJ345" s="3864"/>
      <c r="AK345" s="3864"/>
      <c r="AL345" s="3864"/>
      <c r="AM345" s="3864"/>
      <c r="AN345" s="3864"/>
      <c r="AO345" s="3879"/>
      <c r="AP345" s="3879"/>
      <c r="AQ345" s="3881"/>
    </row>
    <row r="346" spans="1:43" ht="99.75" customHeight="1" x14ac:dyDescent="0.2">
      <c r="A346" s="2351"/>
      <c r="B346" s="2352"/>
      <c r="C346" s="2300"/>
      <c r="D346" s="2352"/>
      <c r="E346" s="2352"/>
      <c r="F346" s="2300"/>
      <c r="G346" s="2366"/>
      <c r="H346" s="2366"/>
      <c r="I346" s="2366"/>
      <c r="J346" s="2367">
        <v>174</v>
      </c>
      <c r="K346" s="2368" t="s">
        <v>2498</v>
      </c>
      <c r="L346" s="2307" t="s">
        <v>2040</v>
      </c>
      <c r="M346" s="2307">
        <v>150</v>
      </c>
      <c r="N346" s="3865"/>
      <c r="O346" s="3865"/>
      <c r="P346" s="3868"/>
      <c r="Q346" s="2308">
        <f>SUM(V346/R337)</f>
        <v>0.53475935828877008</v>
      </c>
      <c r="R346" s="3904"/>
      <c r="S346" s="3906"/>
      <c r="T346" s="2369" t="s">
        <v>2499</v>
      </c>
      <c r="U346" s="2370" t="s">
        <v>2500</v>
      </c>
      <c r="V346" s="2042">
        <v>30000000</v>
      </c>
      <c r="W346" s="2235">
        <v>20</v>
      </c>
      <c r="X346" s="2307" t="s">
        <v>61</v>
      </c>
      <c r="Y346" s="3865"/>
      <c r="Z346" s="3865"/>
      <c r="AA346" s="3865"/>
      <c r="AB346" s="3865"/>
      <c r="AC346" s="3865"/>
      <c r="AD346" s="3865"/>
      <c r="AE346" s="3865"/>
      <c r="AF346" s="3865"/>
      <c r="AG346" s="3865"/>
      <c r="AH346" s="3865"/>
      <c r="AI346" s="3865"/>
      <c r="AJ346" s="3865"/>
      <c r="AK346" s="3865"/>
      <c r="AL346" s="3865"/>
      <c r="AM346" s="3865"/>
      <c r="AN346" s="3865"/>
      <c r="AO346" s="3901"/>
      <c r="AP346" s="3901"/>
      <c r="AQ346" s="3887"/>
    </row>
    <row r="347" spans="1:43" ht="36" customHeight="1" x14ac:dyDescent="0.2">
      <c r="A347" s="2215"/>
      <c r="B347" s="2216"/>
      <c r="C347" s="2217"/>
      <c r="D347" s="2216"/>
      <c r="E347" s="2216"/>
      <c r="F347" s="2217"/>
      <c r="G347" s="2336">
        <v>54</v>
      </c>
      <c r="H347" s="2327" t="s">
        <v>2501</v>
      </c>
      <c r="I347" s="2327"/>
      <c r="J347" s="2333"/>
      <c r="K347" s="2292"/>
      <c r="L347" s="2221"/>
      <c r="M347" s="2221"/>
      <c r="N347" s="2223"/>
      <c r="O347" s="2221"/>
      <c r="P347" s="2222"/>
      <c r="Q347" s="2221"/>
      <c r="R347" s="2250"/>
      <c r="S347" s="2222"/>
      <c r="T347" s="2292"/>
      <c r="U347" s="2222"/>
      <c r="V347" s="2361"/>
      <c r="W347" s="2294"/>
      <c r="X347" s="2295"/>
      <c r="Y347" s="2223"/>
      <c r="Z347" s="2223"/>
      <c r="AA347" s="2362"/>
      <c r="AB347" s="2362"/>
      <c r="AC347" s="2363"/>
      <c r="AD347" s="2362"/>
      <c r="AE347" s="2362"/>
      <c r="AF347" s="2362"/>
      <c r="AG347" s="2362"/>
      <c r="AH347" s="2364"/>
      <c r="AI347" s="2362"/>
      <c r="AJ347" s="2363"/>
      <c r="AK347" s="2362"/>
      <c r="AL347" s="2362"/>
      <c r="AM347" s="2363"/>
      <c r="AN347" s="2363"/>
      <c r="AO347" s="2221"/>
      <c r="AP347" s="2221"/>
      <c r="AQ347" s="2228"/>
    </row>
    <row r="348" spans="1:43" ht="39" customHeight="1" x14ac:dyDescent="0.2">
      <c r="A348" s="2229"/>
      <c r="B348" s="2230"/>
      <c r="C348" s="2231"/>
      <c r="D348" s="2230"/>
      <c r="E348" s="2230"/>
      <c r="F348" s="2230"/>
      <c r="G348" s="2232"/>
      <c r="H348" s="2233"/>
      <c r="I348" s="2234"/>
      <c r="J348" s="3898">
        <v>175</v>
      </c>
      <c r="K348" s="3889" t="s">
        <v>2502</v>
      </c>
      <c r="L348" s="3898" t="s">
        <v>2040</v>
      </c>
      <c r="M348" s="3898">
        <v>14</v>
      </c>
      <c r="N348" s="3898" t="s">
        <v>2503</v>
      </c>
      <c r="O348" s="3898" t="s">
        <v>2504</v>
      </c>
      <c r="P348" s="3889" t="s">
        <v>2505</v>
      </c>
      <c r="Q348" s="3892">
        <f>SUM(V348:V351)/R348</f>
        <v>0.96471418489767113</v>
      </c>
      <c r="R348" s="3895">
        <f>SUM(V348:V352)</f>
        <v>340080000</v>
      </c>
      <c r="S348" s="3889" t="s">
        <v>2506</v>
      </c>
      <c r="T348" s="3889" t="s">
        <v>2507</v>
      </c>
      <c r="U348" s="2301" t="s">
        <v>2508</v>
      </c>
      <c r="V348" s="2371">
        <v>10000000</v>
      </c>
      <c r="W348" s="2235">
        <v>20</v>
      </c>
      <c r="X348" s="2307" t="s">
        <v>61</v>
      </c>
      <c r="Y348" s="3863">
        <v>292684</v>
      </c>
      <c r="Z348" s="3863">
        <v>282326</v>
      </c>
      <c r="AA348" s="3863">
        <v>135912</v>
      </c>
      <c r="AB348" s="3863">
        <v>45122</v>
      </c>
      <c r="AC348" s="3863">
        <v>307101</v>
      </c>
      <c r="AD348" s="3863">
        <v>86875</v>
      </c>
      <c r="AE348" s="3863">
        <v>2145</v>
      </c>
      <c r="AF348" s="3863">
        <v>12718</v>
      </c>
      <c r="AG348" s="3863">
        <v>26</v>
      </c>
      <c r="AH348" s="3863">
        <v>37</v>
      </c>
      <c r="AI348" s="3863" t="s">
        <v>2047</v>
      </c>
      <c r="AJ348" s="3863" t="s">
        <v>2047</v>
      </c>
      <c r="AK348" s="3863">
        <v>53164</v>
      </c>
      <c r="AL348" s="3863">
        <v>16982</v>
      </c>
      <c r="AM348" s="3863">
        <v>60013</v>
      </c>
      <c r="AN348" s="3863">
        <v>575010</v>
      </c>
      <c r="AO348" s="3885">
        <v>43467</v>
      </c>
      <c r="AP348" s="3885">
        <v>43830</v>
      </c>
      <c r="AQ348" s="3880" t="s">
        <v>2048</v>
      </c>
    </row>
    <row r="349" spans="1:43" ht="37.5" customHeight="1" x14ac:dyDescent="0.2">
      <c r="A349" s="2229"/>
      <c r="B349" s="2230"/>
      <c r="C349" s="2231"/>
      <c r="D349" s="2230"/>
      <c r="E349" s="2230"/>
      <c r="F349" s="2230"/>
      <c r="G349" s="2237"/>
      <c r="H349" s="2230"/>
      <c r="I349" s="2231"/>
      <c r="J349" s="3899"/>
      <c r="K349" s="3890"/>
      <c r="L349" s="3899"/>
      <c r="M349" s="3899"/>
      <c r="N349" s="3899"/>
      <c r="O349" s="3899"/>
      <c r="P349" s="3890"/>
      <c r="Q349" s="3893"/>
      <c r="R349" s="3895"/>
      <c r="S349" s="3890"/>
      <c r="T349" s="3890"/>
      <c r="U349" s="2301" t="s">
        <v>2509</v>
      </c>
      <c r="V349" s="2371">
        <v>8080000</v>
      </c>
      <c r="W349" s="2235">
        <v>20</v>
      </c>
      <c r="X349" s="2307" t="s">
        <v>61</v>
      </c>
      <c r="Y349" s="3864"/>
      <c r="Z349" s="3864"/>
      <c r="AA349" s="3864"/>
      <c r="AB349" s="3864"/>
      <c r="AC349" s="3864"/>
      <c r="AD349" s="3864"/>
      <c r="AE349" s="3864"/>
      <c r="AF349" s="3864"/>
      <c r="AG349" s="3864"/>
      <c r="AH349" s="3864"/>
      <c r="AI349" s="3864"/>
      <c r="AJ349" s="3864"/>
      <c r="AK349" s="3864"/>
      <c r="AL349" s="3864"/>
      <c r="AM349" s="3864"/>
      <c r="AN349" s="3864"/>
      <c r="AO349" s="3885"/>
      <c r="AP349" s="3885"/>
      <c r="AQ349" s="3881"/>
    </row>
    <row r="350" spans="1:43" ht="48" customHeight="1" x14ac:dyDescent="0.2">
      <c r="A350" s="2229"/>
      <c r="B350" s="2230"/>
      <c r="C350" s="2231"/>
      <c r="D350" s="2230"/>
      <c r="E350" s="2230"/>
      <c r="F350" s="2230"/>
      <c r="G350" s="2237"/>
      <c r="H350" s="2230"/>
      <c r="I350" s="2231"/>
      <c r="J350" s="3899"/>
      <c r="K350" s="3890"/>
      <c r="L350" s="3899"/>
      <c r="M350" s="3899"/>
      <c r="N350" s="3899"/>
      <c r="O350" s="3899"/>
      <c r="P350" s="3890"/>
      <c r="Q350" s="3893"/>
      <c r="R350" s="3895"/>
      <c r="S350" s="3890"/>
      <c r="T350" s="3890"/>
      <c r="U350" s="3896" t="s">
        <v>2510</v>
      </c>
      <c r="V350" s="2042">
        <v>10000000</v>
      </c>
      <c r="W350" s="2235">
        <v>20</v>
      </c>
      <c r="X350" s="2307" t="s">
        <v>61</v>
      </c>
      <c r="Y350" s="3864"/>
      <c r="Z350" s="3864"/>
      <c r="AA350" s="3864"/>
      <c r="AB350" s="3864"/>
      <c r="AC350" s="3864"/>
      <c r="AD350" s="3864"/>
      <c r="AE350" s="3864"/>
      <c r="AF350" s="3864"/>
      <c r="AG350" s="3864"/>
      <c r="AH350" s="3864"/>
      <c r="AI350" s="3864"/>
      <c r="AJ350" s="3864"/>
      <c r="AK350" s="3864"/>
      <c r="AL350" s="3864"/>
      <c r="AM350" s="3864"/>
      <c r="AN350" s="3864"/>
      <c r="AO350" s="3886"/>
      <c r="AP350" s="3886"/>
      <c r="AQ350" s="3881"/>
    </row>
    <row r="351" spans="1:43" ht="48" customHeight="1" x14ac:dyDescent="0.2">
      <c r="A351" s="2229"/>
      <c r="B351" s="2230"/>
      <c r="C351" s="2231"/>
      <c r="D351" s="2230"/>
      <c r="E351" s="2230"/>
      <c r="F351" s="2230"/>
      <c r="G351" s="2237"/>
      <c r="H351" s="2230"/>
      <c r="I351" s="2231"/>
      <c r="J351" s="2286"/>
      <c r="K351" s="2372"/>
      <c r="L351" s="2286"/>
      <c r="M351" s="2286"/>
      <c r="N351" s="3899"/>
      <c r="O351" s="3899"/>
      <c r="P351" s="3890"/>
      <c r="Q351" s="3894"/>
      <c r="R351" s="3895"/>
      <c r="S351" s="3890"/>
      <c r="T351" s="3891"/>
      <c r="U351" s="3897"/>
      <c r="V351" s="2042">
        <v>300000000</v>
      </c>
      <c r="W351" s="2267">
        <v>88</v>
      </c>
      <c r="X351" s="2306" t="s">
        <v>2477</v>
      </c>
      <c r="Y351" s="3864"/>
      <c r="Z351" s="3864"/>
      <c r="AA351" s="3864"/>
      <c r="AB351" s="3864"/>
      <c r="AC351" s="3864"/>
      <c r="AD351" s="3864"/>
      <c r="AE351" s="3864"/>
      <c r="AF351" s="3864"/>
      <c r="AG351" s="3864"/>
      <c r="AH351" s="3864"/>
      <c r="AI351" s="3864"/>
      <c r="AJ351" s="3864"/>
      <c r="AK351" s="3864"/>
      <c r="AL351" s="3864"/>
      <c r="AM351" s="3864"/>
      <c r="AN351" s="3864"/>
      <c r="AO351" s="3886"/>
      <c r="AP351" s="3886"/>
      <c r="AQ351" s="3881"/>
    </row>
    <row r="352" spans="1:43" ht="66.75" customHeight="1" x14ac:dyDescent="0.2">
      <c r="A352" s="2229"/>
      <c r="B352" s="2230"/>
      <c r="C352" s="2231"/>
      <c r="D352" s="2239"/>
      <c r="E352" s="2239"/>
      <c r="F352" s="2239"/>
      <c r="G352" s="2237"/>
      <c r="H352" s="2230"/>
      <c r="I352" s="2231"/>
      <c r="J352" s="2306">
        <v>176</v>
      </c>
      <c r="K352" s="2373" t="s">
        <v>2511</v>
      </c>
      <c r="L352" s="2306" t="s">
        <v>947</v>
      </c>
      <c r="M352" s="2306">
        <v>2</v>
      </c>
      <c r="N352" s="3900"/>
      <c r="O352" s="3900"/>
      <c r="P352" s="3891"/>
      <c r="Q352" s="2374">
        <f>V352/R348</f>
        <v>3.5285815102328866E-2</v>
      </c>
      <c r="R352" s="3895"/>
      <c r="S352" s="3890"/>
      <c r="T352" s="2339" t="s">
        <v>2512</v>
      </c>
      <c r="U352" s="2301" t="s">
        <v>2513</v>
      </c>
      <c r="V352" s="2042">
        <v>12000000</v>
      </c>
      <c r="W352" s="2235">
        <v>20</v>
      </c>
      <c r="X352" s="2307" t="s">
        <v>61</v>
      </c>
      <c r="Y352" s="3865"/>
      <c r="Z352" s="3865"/>
      <c r="AA352" s="3865"/>
      <c r="AB352" s="3865"/>
      <c r="AC352" s="3865"/>
      <c r="AD352" s="3865"/>
      <c r="AE352" s="3865"/>
      <c r="AF352" s="3865"/>
      <c r="AG352" s="3865"/>
      <c r="AH352" s="3865"/>
      <c r="AI352" s="3865"/>
      <c r="AJ352" s="3865"/>
      <c r="AK352" s="3865"/>
      <c r="AL352" s="3865"/>
      <c r="AM352" s="3865"/>
      <c r="AN352" s="3865"/>
      <c r="AO352" s="3886"/>
      <c r="AP352" s="3886"/>
      <c r="AQ352" s="3887"/>
    </row>
    <row r="353" spans="1:301" ht="36" customHeight="1" x14ac:dyDescent="0.2">
      <c r="A353" s="2215"/>
      <c r="C353" s="2242"/>
      <c r="D353" s="2335">
        <v>15</v>
      </c>
      <c r="E353" s="2206" t="s">
        <v>2514</v>
      </c>
      <c r="F353" s="2206"/>
      <c r="G353" s="2315"/>
      <c r="H353" s="2315"/>
      <c r="I353" s="2315"/>
      <c r="J353" s="2207"/>
      <c r="K353" s="2208"/>
      <c r="L353" s="2207"/>
      <c r="M353" s="2207"/>
      <c r="N353" s="2209"/>
      <c r="O353" s="2207"/>
      <c r="P353" s="2208"/>
      <c r="Q353" s="2207"/>
      <c r="R353" s="2246"/>
      <c r="S353" s="2208"/>
      <c r="T353" s="2208"/>
      <c r="U353" s="2208"/>
      <c r="V353" s="2375"/>
      <c r="W353" s="2320"/>
      <c r="X353" s="2321"/>
      <c r="Y353" s="2209"/>
      <c r="Z353" s="2209"/>
      <c r="AA353" s="2376"/>
      <c r="AB353" s="2376"/>
      <c r="AC353" s="2377"/>
      <c r="AD353" s="2376"/>
      <c r="AE353" s="2376"/>
      <c r="AF353" s="2376"/>
      <c r="AG353" s="2376"/>
      <c r="AH353" s="2378"/>
      <c r="AI353" s="2376"/>
      <c r="AJ353" s="2377"/>
      <c r="AK353" s="2376"/>
      <c r="AL353" s="2376"/>
      <c r="AM353" s="2377"/>
      <c r="AN353" s="2377"/>
      <c r="AO353" s="2207"/>
      <c r="AP353" s="2207"/>
      <c r="AQ353" s="2214"/>
    </row>
    <row r="354" spans="1:301" ht="36" customHeight="1" x14ac:dyDescent="0.2">
      <c r="A354" s="2215"/>
      <c r="B354" s="2216"/>
      <c r="C354" s="2217"/>
      <c r="D354" s="2218"/>
      <c r="E354" s="2218"/>
      <c r="F354" s="2219"/>
      <c r="G354" s="2249">
        <v>55</v>
      </c>
      <c r="H354" s="2221" t="s">
        <v>2515</v>
      </c>
      <c r="I354" s="2221"/>
      <c r="J354" s="2221"/>
      <c r="K354" s="2222"/>
      <c r="L354" s="2221"/>
      <c r="M354" s="2221"/>
      <c r="N354" s="2223"/>
      <c r="O354" s="2221"/>
      <c r="P354" s="2222"/>
      <c r="Q354" s="2221"/>
      <c r="R354" s="2250"/>
      <c r="S354" s="2222"/>
      <c r="T354" s="2222"/>
      <c r="U354" s="2222"/>
      <c r="V354" s="2361"/>
      <c r="W354" s="2294"/>
      <c r="X354" s="2295"/>
      <c r="Y354" s="2379"/>
      <c r="Z354" s="2379"/>
      <c r="AA354" s="2380"/>
      <c r="AB354" s="2380"/>
      <c r="AC354" s="2381"/>
      <c r="AD354" s="2380"/>
      <c r="AE354" s="2380"/>
      <c r="AF354" s="2380"/>
      <c r="AG354" s="2380"/>
      <c r="AH354" s="2382"/>
      <c r="AI354" s="2380"/>
      <c r="AJ354" s="2381"/>
      <c r="AK354" s="2380"/>
      <c r="AL354" s="2380"/>
      <c r="AM354" s="2381"/>
      <c r="AN354" s="2381"/>
      <c r="AO354" s="2221"/>
      <c r="AP354" s="2221"/>
      <c r="AQ354" s="2228"/>
    </row>
    <row r="355" spans="1:301" s="2236" customFormat="1" ht="59.25" customHeight="1" x14ac:dyDescent="0.2">
      <c r="A355" s="2254"/>
      <c r="B355" s="2255"/>
      <c r="C355" s="2256"/>
      <c r="D355" s="2255"/>
      <c r="E355" s="2255"/>
      <c r="F355" s="2256"/>
      <c r="G355" s="2258"/>
      <c r="H355" s="2258"/>
      <c r="I355" s="2259"/>
      <c r="J355" s="2304">
        <v>177</v>
      </c>
      <c r="K355" s="2269" t="s">
        <v>2516</v>
      </c>
      <c r="L355" s="2304" t="s">
        <v>2040</v>
      </c>
      <c r="M355" s="2304">
        <v>2</v>
      </c>
      <c r="N355" s="3863" t="s">
        <v>2517</v>
      </c>
      <c r="O355" s="3863" t="s">
        <v>2518</v>
      </c>
      <c r="P355" s="3866" t="s">
        <v>2519</v>
      </c>
      <c r="Q355" s="2383">
        <v>0</v>
      </c>
      <c r="R355" s="3883">
        <f>SUM(V355:V361)</f>
        <v>150000000</v>
      </c>
      <c r="S355" s="3866" t="s">
        <v>2520</v>
      </c>
      <c r="T355" s="2384" t="s">
        <v>2521</v>
      </c>
      <c r="U355" s="2355" t="s">
        <v>2522</v>
      </c>
      <c r="V355" s="2385">
        <v>0</v>
      </c>
      <c r="W355" s="2386"/>
      <c r="X355" s="2307"/>
      <c r="Y355" s="3863">
        <v>292684</v>
      </c>
      <c r="Z355" s="3863">
        <v>282326</v>
      </c>
      <c r="AA355" s="3863">
        <v>135912</v>
      </c>
      <c r="AB355" s="3863">
        <v>45122</v>
      </c>
      <c r="AC355" s="3863">
        <v>307101</v>
      </c>
      <c r="AD355" s="3863">
        <v>86875</v>
      </c>
      <c r="AE355" s="3863">
        <v>2145</v>
      </c>
      <c r="AF355" s="3863">
        <v>12718</v>
      </c>
      <c r="AG355" s="3863">
        <v>26</v>
      </c>
      <c r="AH355" s="3863">
        <v>37</v>
      </c>
      <c r="AI355" s="3863" t="s">
        <v>2047</v>
      </c>
      <c r="AJ355" s="3863" t="s">
        <v>2047</v>
      </c>
      <c r="AK355" s="3863">
        <v>53164</v>
      </c>
      <c r="AL355" s="3863">
        <v>16982</v>
      </c>
      <c r="AM355" s="3863">
        <v>60013</v>
      </c>
      <c r="AN355" s="3863">
        <v>575010</v>
      </c>
      <c r="AO355" s="3878">
        <v>43467</v>
      </c>
      <c r="AP355" s="3878">
        <v>43830</v>
      </c>
      <c r="AQ355" s="3880" t="s">
        <v>2048</v>
      </c>
    </row>
    <row r="356" spans="1:301" ht="54.75" customHeight="1" x14ac:dyDescent="0.2">
      <c r="A356" s="2254"/>
      <c r="B356" s="2255"/>
      <c r="C356" s="2256"/>
      <c r="D356" s="2255"/>
      <c r="E356" s="2255"/>
      <c r="F356" s="2256"/>
      <c r="G356" s="2255"/>
      <c r="H356" s="2255"/>
      <c r="I356" s="2256"/>
      <c r="J356" s="3863">
        <v>178</v>
      </c>
      <c r="K356" s="3866" t="s">
        <v>2523</v>
      </c>
      <c r="L356" s="3863" t="s">
        <v>2040</v>
      </c>
      <c r="M356" s="3863">
        <v>3</v>
      </c>
      <c r="N356" s="3864"/>
      <c r="O356" s="3864"/>
      <c r="P356" s="3867"/>
      <c r="Q356" s="3869">
        <f>SUM(V356:V360)/R355</f>
        <v>1</v>
      </c>
      <c r="R356" s="3884"/>
      <c r="S356" s="3867"/>
      <c r="T356" s="3888" t="s">
        <v>2524</v>
      </c>
      <c r="U356" s="2287" t="s">
        <v>2525</v>
      </c>
      <c r="V356" s="2042">
        <v>60000000</v>
      </c>
      <c r="W356" s="2386">
        <v>72</v>
      </c>
      <c r="X356" s="2307" t="s">
        <v>2526</v>
      </c>
      <c r="Y356" s="3864"/>
      <c r="Z356" s="3864"/>
      <c r="AA356" s="3864"/>
      <c r="AB356" s="3864"/>
      <c r="AC356" s="3864"/>
      <c r="AD356" s="3864"/>
      <c r="AE356" s="3864"/>
      <c r="AF356" s="3864"/>
      <c r="AG356" s="3864"/>
      <c r="AH356" s="3864"/>
      <c r="AI356" s="3864"/>
      <c r="AJ356" s="3864"/>
      <c r="AK356" s="3864"/>
      <c r="AL356" s="3864"/>
      <c r="AM356" s="3864"/>
      <c r="AN356" s="3864"/>
      <c r="AO356" s="3879"/>
      <c r="AP356" s="3879"/>
      <c r="AQ356" s="3881"/>
    </row>
    <row r="357" spans="1:301" ht="37.5" customHeight="1" x14ac:dyDescent="0.2">
      <c r="A357" s="2254"/>
      <c r="B357" s="2255"/>
      <c r="C357" s="2256"/>
      <c r="D357" s="2255"/>
      <c r="E357" s="2255"/>
      <c r="F357" s="2256"/>
      <c r="G357" s="2255"/>
      <c r="H357" s="2255"/>
      <c r="I357" s="2256"/>
      <c r="J357" s="3864"/>
      <c r="K357" s="3867"/>
      <c r="L357" s="3864"/>
      <c r="M357" s="3864"/>
      <c r="N357" s="3864"/>
      <c r="O357" s="3864"/>
      <c r="P357" s="3867"/>
      <c r="Q357" s="3870"/>
      <c r="R357" s="3884"/>
      <c r="S357" s="3867"/>
      <c r="T357" s="3888"/>
      <c r="U357" s="2287" t="s">
        <v>2527</v>
      </c>
      <c r="V357" s="2042">
        <v>40000000</v>
      </c>
      <c r="W357" s="2386">
        <v>72</v>
      </c>
      <c r="X357" s="2307" t="s">
        <v>2526</v>
      </c>
      <c r="Y357" s="3864"/>
      <c r="Z357" s="3864"/>
      <c r="AA357" s="3864"/>
      <c r="AB357" s="3864"/>
      <c r="AC357" s="3864"/>
      <c r="AD357" s="3864"/>
      <c r="AE357" s="3864"/>
      <c r="AF357" s="3864"/>
      <c r="AG357" s="3864"/>
      <c r="AH357" s="3864"/>
      <c r="AI357" s="3864"/>
      <c r="AJ357" s="3864"/>
      <c r="AK357" s="3864"/>
      <c r="AL357" s="3864"/>
      <c r="AM357" s="3864"/>
      <c r="AN357" s="3864"/>
      <c r="AO357" s="3879"/>
      <c r="AP357" s="3879"/>
      <c r="AQ357" s="3881"/>
    </row>
    <row r="358" spans="1:301" ht="38.25" customHeight="1" x14ac:dyDescent="0.2">
      <c r="A358" s="2254"/>
      <c r="B358" s="2255"/>
      <c r="C358" s="2256"/>
      <c r="D358" s="2255"/>
      <c r="E358" s="2255"/>
      <c r="F358" s="2256"/>
      <c r="G358" s="2255"/>
      <c r="H358" s="2255"/>
      <c r="I358" s="2256"/>
      <c r="J358" s="3864"/>
      <c r="K358" s="3867"/>
      <c r="L358" s="3864"/>
      <c r="M358" s="3864"/>
      <c r="N358" s="3864"/>
      <c r="O358" s="3864"/>
      <c r="P358" s="3867"/>
      <c r="Q358" s="3870"/>
      <c r="R358" s="3884"/>
      <c r="S358" s="3867"/>
      <c r="T358" s="3888"/>
      <c r="U358" s="2287" t="s">
        <v>2528</v>
      </c>
      <c r="V358" s="2042">
        <v>20000000</v>
      </c>
      <c r="W358" s="2386">
        <v>72</v>
      </c>
      <c r="X358" s="2307" t="s">
        <v>2526</v>
      </c>
      <c r="Y358" s="3864"/>
      <c r="Z358" s="3864"/>
      <c r="AA358" s="3864"/>
      <c r="AB358" s="3864"/>
      <c r="AC358" s="3864"/>
      <c r="AD358" s="3864"/>
      <c r="AE358" s="3864"/>
      <c r="AF358" s="3864"/>
      <c r="AG358" s="3864"/>
      <c r="AH358" s="3864"/>
      <c r="AI358" s="3864"/>
      <c r="AJ358" s="3864"/>
      <c r="AK358" s="3864"/>
      <c r="AL358" s="3864"/>
      <c r="AM358" s="3864"/>
      <c r="AN358" s="3864"/>
      <c r="AO358" s="3879"/>
      <c r="AP358" s="3879"/>
      <c r="AQ358" s="3881"/>
    </row>
    <row r="359" spans="1:301" ht="37.5" customHeight="1" x14ac:dyDescent="0.2">
      <c r="A359" s="2254"/>
      <c r="B359" s="2255"/>
      <c r="C359" s="2256"/>
      <c r="D359" s="2255"/>
      <c r="E359" s="2255"/>
      <c r="F359" s="2256"/>
      <c r="G359" s="2255"/>
      <c r="H359" s="2255"/>
      <c r="I359" s="2256"/>
      <c r="J359" s="3864"/>
      <c r="K359" s="3867"/>
      <c r="L359" s="3864"/>
      <c r="M359" s="3864"/>
      <c r="N359" s="3864"/>
      <c r="O359" s="3864"/>
      <c r="P359" s="3867"/>
      <c r="Q359" s="3870"/>
      <c r="R359" s="3884"/>
      <c r="S359" s="3867"/>
      <c r="T359" s="3888" t="s">
        <v>2529</v>
      </c>
      <c r="U359" s="2387" t="s">
        <v>2530</v>
      </c>
      <c r="V359" s="2042">
        <v>15000000</v>
      </c>
      <c r="W359" s="2386">
        <v>72</v>
      </c>
      <c r="X359" s="2307" t="s">
        <v>2526</v>
      </c>
      <c r="Y359" s="3864"/>
      <c r="Z359" s="3864"/>
      <c r="AA359" s="3864"/>
      <c r="AB359" s="3864"/>
      <c r="AC359" s="3864"/>
      <c r="AD359" s="3864"/>
      <c r="AE359" s="3864"/>
      <c r="AF359" s="3864"/>
      <c r="AG359" s="3864"/>
      <c r="AH359" s="3864"/>
      <c r="AI359" s="3864"/>
      <c r="AJ359" s="3864"/>
      <c r="AK359" s="3864"/>
      <c r="AL359" s="3864"/>
      <c r="AM359" s="3864"/>
      <c r="AN359" s="3864"/>
      <c r="AO359" s="3879"/>
      <c r="AP359" s="3879"/>
      <c r="AQ359" s="3881"/>
    </row>
    <row r="360" spans="1:301" ht="40.5" customHeight="1" x14ac:dyDescent="0.2">
      <c r="A360" s="2254"/>
      <c r="B360" s="2255"/>
      <c r="C360" s="2256"/>
      <c r="D360" s="2255"/>
      <c r="E360" s="2255"/>
      <c r="F360" s="2256"/>
      <c r="G360" s="2255"/>
      <c r="H360" s="2255"/>
      <c r="I360" s="2256"/>
      <c r="J360" s="3865"/>
      <c r="K360" s="3868"/>
      <c r="L360" s="3865"/>
      <c r="M360" s="3865"/>
      <c r="N360" s="3864"/>
      <c r="O360" s="3864"/>
      <c r="P360" s="3867"/>
      <c r="Q360" s="3871"/>
      <c r="R360" s="3884"/>
      <c r="S360" s="3867"/>
      <c r="T360" s="3888"/>
      <c r="U360" s="2387" t="s">
        <v>2531</v>
      </c>
      <c r="V360" s="2042">
        <v>15000000</v>
      </c>
      <c r="W360" s="2386">
        <v>72</v>
      </c>
      <c r="X360" s="2307" t="s">
        <v>2526</v>
      </c>
      <c r="Y360" s="3864"/>
      <c r="Z360" s="3864"/>
      <c r="AA360" s="3864"/>
      <c r="AB360" s="3864"/>
      <c r="AC360" s="3864"/>
      <c r="AD360" s="3864"/>
      <c r="AE360" s="3864"/>
      <c r="AF360" s="3864"/>
      <c r="AG360" s="3864"/>
      <c r="AH360" s="3864"/>
      <c r="AI360" s="3864"/>
      <c r="AJ360" s="3864"/>
      <c r="AK360" s="3864"/>
      <c r="AL360" s="3864"/>
      <c r="AM360" s="3864"/>
      <c r="AN360" s="3864"/>
      <c r="AO360" s="3879"/>
      <c r="AP360" s="3879"/>
      <c r="AQ360" s="3881"/>
    </row>
    <row r="361" spans="1:301" s="2390" customFormat="1" ht="83.25" customHeight="1" thickBot="1" x14ac:dyDescent="0.25">
      <c r="A361" s="2254"/>
      <c r="B361" s="2255"/>
      <c r="C361" s="2256"/>
      <c r="D361" s="2255"/>
      <c r="E361" s="2255"/>
      <c r="F361" s="2256"/>
      <c r="G361" s="2255"/>
      <c r="H361" s="2255"/>
      <c r="I361" s="2256"/>
      <c r="J361" s="2298">
        <v>179</v>
      </c>
      <c r="K361" s="2384" t="s">
        <v>2532</v>
      </c>
      <c r="L361" s="2298" t="s">
        <v>2040</v>
      </c>
      <c r="M361" s="2298">
        <v>4</v>
      </c>
      <c r="N361" s="3864"/>
      <c r="O361" s="3864"/>
      <c r="P361" s="3867"/>
      <c r="Q361" s="2341">
        <v>0</v>
      </c>
      <c r="R361" s="3884"/>
      <c r="S361" s="3867"/>
      <c r="T361" s="2384" t="s">
        <v>2533</v>
      </c>
      <c r="U361" s="2388" t="s">
        <v>2534</v>
      </c>
      <c r="V361" s="2032">
        <v>0</v>
      </c>
      <c r="W361" s="2386"/>
      <c r="X361" s="2389"/>
      <c r="Y361" s="3872"/>
      <c r="Z361" s="3872"/>
      <c r="AA361" s="3872"/>
      <c r="AB361" s="3872"/>
      <c r="AC361" s="3872"/>
      <c r="AD361" s="3872"/>
      <c r="AE361" s="3872"/>
      <c r="AF361" s="3872"/>
      <c r="AG361" s="3872"/>
      <c r="AH361" s="3872"/>
      <c r="AI361" s="3872"/>
      <c r="AJ361" s="3872"/>
      <c r="AK361" s="3872"/>
      <c r="AL361" s="3872"/>
      <c r="AM361" s="3872"/>
      <c r="AN361" s="3872"/>
      <c r="AO361" s="3879"/>
      <c r="AP361" s="3879"/>
      <c r="AQ361" s="3882"/>
      <c r="AR361" s="2204"/>
      <c r="AS361" s="2204"/>
      <c r="AT361" s="2204"/>
      <c r="AU361" s="2204"/>
      <c r="AV361" s="2204"/>
      <c r="AW361" s="2204"/>
      <c r="AX361" s="2204"/>
      <c r="AY361" s="2204"/>
      <c r="AZ361" s="2204"/>
      <c r="BA361" s="2204"/>
      <c r="BB361" s="2204"/>
      <c r="BC361" s="2204"/>
      <c r="BD361" s="2204"/>
      <c r="BE361" s="2204"/>
      <c r="BF361" s="2204"/>
      <c r="BG361" s="2204"/>
      <c r="BH361" s="2204"/>
      <c r="BI361" s="2204"/>
      <c r="BJ361" s="2204"/>
      <c r="BK361" s="2204"/>
      <c r="BL361" s="2204"/>
      <c r="BM361" s="2204"/>
      <c r="BN361" s="2204"/>
      <c r="BO361" s="2204"/>
      <c r="BP361" s="2204"/>
      <c r="BQ361" s="2204"/>
      <c r="BR361" s="2204"/>
      <c r="BS361" s="2204"/>
      <c r="BT361" s="2204"/>
      <c r="BU361" s="2204"/>
      <c r="BV361" s="2204"/>
      <c r="BW361" s="2204"/>
      <c r="BX361" s="2204"/>
      <c r="BY361" s="2204"/>
      <c r="BZ361" s="2204"/>
      <c r="CA361" s="2204"/>
      <c r="CB361" s="2204"/>
      <c r="CC361" s="2204"/>
      <c r="CD361" s="2204"/>
      <c r="CE361" s="2204"/>
      <c r="CF361" s="2204"/>
      <c r="CG361" s="2204"/>
      <c r="CH361" s="2204"/>
      <c r="CI361" s="2204"/>
      <c r="CJ361" s="2204"/>
      <c r="CK361" s="2204"/>
      <c r="CL361" s="2204"/>
      <c r="CM361" s="2204"/>
      <c r="CN361" s="2204"/>
      <c r="CO361" s="2204"/>
      <c r="CP361" s="2204"/>
      <c r="CQ361" s="2204"/>
      <c r="CR361" s="2204"/>
      <c r="CS361" s="2204"/>
      <c r="CT361" s="2204"/>
      <c r="CU361" s="2204"/>
      <c r="CV361" s="2204"/>
      <c r="CW361" s="2204"/>
      <c r="CX361" s="2204"/>
      <c r="CY361" s="2204"/>
      <c r="CZ361" s="2204"/>
      <c r="DA361" s="2204"/>
      <c r="DB361" s="2204"/>
      <c r="DC361" s="2204"/>
      <c r="DD361" s="2204"/>
      <c r="DE361" s="2204"/>
      <c r="DF361" s="2204"/>
      <c r="DG361" s="2204"/>
      <c r="DH361" s="2204"/>
      <c r="DI361" s="2204"/>
      <c r="DJ361" s="2204"/>
      <c r="DK361" s="2204"/>
      <c r="DL361" s="2204"/>
      <c r="DM361" s="2204"/>
      <c r="DN361" s="2204"/>
      <c r="DO361" s="2204"/>
      <c r="DP361" s="2204"/>
      <c r="DQ361" s="2204"/>
      <c r="DR361" s="2204"/>
      <c r="DS361" s="2204"/>
      <c r="DT361" s="2204"/>
      <c r="DU361" s="2204"/>
      <c r="DV361" s="2204"/>
      <c r="DW361" s="2204"/>
      <c r="DX361" s="2204"/>
      <c r="DY361" s="2204"/>
      <c r="DZ361" s="2204"/>
      <c r="EA361" s="2204"/>
      <c r="EB361" s="2204"/>
      <c r="EC361" s="2204"/>
      <c r="ED361" s="2204"/>
      <c r="EE361" s="2204"/>
      <c r="EF361" s="2204"/>
      <c r="EG361" s="2204"/>
      <c r="EH361" s="2204"/>
      <c r="EI361" s="2204"/>
      <c r="EJ361" s="2204"/>
      <c r="EK361" s="2204"/>
      <c r="EL361" s="2204"/>
      <c r="EM361" s="2204"/>
      <c r="EN361" s="2204"/>
      <c r="EO361" s="2204"/>
      <c r="EP361" s="2204"/>
      <c r="EQ361" s="2204"/>
      <c r="ER361" s="2204"/>
      <c r="ES361" s="2204"/>
      <c r="ET361" s="2204"/>
      <c r="EU361" s="2204"/>
      <c r="EV361" s="2204"/>
      <c r="EW361" s="2204"/>
      <c r="EX361" s="2204"/>
      <c r="EY361" s="2204"/>
      <c r="EZ361" s="2204"/>
      <c r="FA361" s="2204"/>
      <c r="FB361" s="2204"/>
      <c r="FC361" s="2204"/>
      <c r="FD361" s="2204"/>
      <c r="FE361" s="2204"/>
      <c r="FF361" s="2204"/>
      <c r="FG361" s="2204"/>
      <c r="FH361" s="2204"/>
      <c r="FI361" s="2204"/>
      <c r="FJ361" s="2204"/>
      <c r="FK361" s="2204"/>
      <c r="FL361" s="2204"/>
      <c r="FM361" s="2204"/>
      <c r="FN361" s="2204"/>
      <c r="FO361" s="2204"/>
      <c r="FP361" s="2204"/>
      <c r="FQ361" s="2204"/>
      <c r="FR361" s="2204"/>
      <c r="FS361" s="2204"/>
      <c r="FT361" s="2204"/>
      <c r="FU361" s="2204"/>
      <c r="FV361" s="2204"/>
      <c r="FW361" s="2204"/>
      <c r="FX361" s="2204"/>
      <c r="FY361" s="2204"/>
      <c r="FZ361" s="2204"/>
      <c r="GA361" s="2204"/>
      <c r="GB361" s="2204"/>
      <c r="GC361" s="2204"/>
      <c r="GD361" s="2204"/>
      <c r="GE361" s="2204"/>
      <c r="GF361" s="2204"/>
      <c r="GG361" s="2204"/>
      <c r="GH361" s="2204"/>
      <c r="GI361" s="2204"/>
      <c r="GJ361" s="2204"/>
      <c r="GK361" s="2204"/>
      <c r="GL361" s="2204"/>
      <c r="GM361" s="2204"/>
      <c r="GN361" s="2204"/>
      <c r="GO361" s="2204"/>
      <c r="GP361" s="2204"/>
      <c r="GQ361" s="2204"/>
      <c r="GR361" s="2204"/>
      <c r="GS361" s="2204"/>
      <c r="GT361" s="2204"/>
      <c r="GU361" s="2204"/>
      <c r="GV361" s="2204"/>
      <c r="GW361" s="2204"/>
      <c r="GX361" s="2204"/>
      <c r="GY361" s="2204"/>
      <c r="GZ361" s="2204"/>
      <c r="HA361" s="2204"/>
      <c r="HB361" s="2204"/>
      <c r="HC361" s="2204"/>
      <c r="HD361" s="2204"/>
      <c r="HE361" s="2204"/>
      <c r="HF361" s="2204"/>
      <c r="HG361" s="2204"/>
      <c r="HH361" s="2204"/>
      <c r="HI361" s="2204"/>
      <c r="HJ361" s="2204"/>
      <c r="HK361" s="2204"/>
      <c r="HL361" s="2204"/>
      <c r="HM361" s="2204"/>
      <c r="HN361" s="2204"/>
      <c r="HO361" s="2204"/>
      <c r="HP361" s="2204"/>
      <c r="HQ361" s="2204"/>
      <c r="HR361" s="2204"/>
      <c r="HS361" s="2204"/>
      <c r="HT361" s="2204"/>
      <c r="HU361" s="2204"/>
      <c r="HV361" s="2204"/>
      <c r="HW361" s="2204"/>
      <c r="HX361" s="2204"/>
      <c r="HY361" s="2204"/>
      <c r="HZ361" s="2204"/>
      <c r="IA361" s="2204"/>
      <c r="IB361" s="2204"/>
      <c r="IC361" s="2204"/>
      <c r="ID361" s="2204"/>
      <c r="IE361" s="2204"/>
      <c r="IF361" s="2204"/>
      <c r="IG361" s="2204"/>
      <c r="IH361" s="2204"/>
      <c r="II361" s="2204"/>
      <c r="IJ361" s="2204"/>
      <c r="IK361" s="2204"/>
      <c r="IL361" s="2204"/>
      <c r="IM361" s="2204"/>
      <c r="IN361" s="2204"/>
      <c r="IO361" s="2204"/>
      <c r="IP361" s="2204"/>
      <c r="IQ361" s="2204"/>
      <c r="IR361" s="2204"/>
      <c r="IS361" s="2204"/>
      <c r="IT361" s="2204"/>
      <c r="IU361" s="2204"/>
      <c r="IV361" s="2204"/>
      <c r="IW361" s="2204"/>
      <c r="IX361" s="2204"/>
      <c r="IY361" s="2204"/>
      <c r="IZ361" s="2204"/>
      <c r="JA361" s="2204"/>
      <c r="JB361" s="2204"/>
      <c r="JC361" s="2204"/>
      <c r="JD361" s="2204"/>
      <c r="JE361" s="2204"/>
      <c r="JF361" s="2204"/>
      <c r="JG361" s="2204"/>
      <c r="JH361" s="2204"/>
      <c r="JI361" s="2204"/>
      <c r="JJ361" s="2204"/>
      <c r="JK361" s="2204"/>
      <c r="JL361" s="2204"/>
      <c r="JM361" s="2204"/>
      <c r="JN361" s="2204"/>
      <c r="JO361" s="2204"/>
      <c r="JP361" s="2204"/>
      <c r="JQ361" s="2204"/>
      <c r="JR361" s="2204"/>
      <c r="JS361" s="2204"/>
      <c r="JT361" s="2204"/>
      <c r="JU361" s="2204"/>
      <c r="JV361" s="2204"/>
      <c r="JW361" s="2204"/>
      <c r="JX361" s="2204"/>
      <c r="JY361" s="2204"/>
      <c r="JZ361" s="2204"/>
      <c r="KA361" s="2204"/>
      <c r="KB361" s="2204"/>
      <c r="KC361" s="2204"/>
      <c r="KD361" s="2204"/>
      <c r="KE361" s="2204"/>
      <c r="KF361" s="2204"/>
      <c r="KG361" s="2204"/>
      <c r="KH361" s="2204"/>
      <c r="KI361" s="2204"/>
      <c r="KJ361" s="2204"/>
      <c r="KK361" s="2204"/>
      <c r="KL361" s="2204"/>
      <c r="KM361" s="2204"/>
      <c r="KN361" s="2204"/>
      <c r="KO361" s="2204"/>
    </row>
    <row r="362" spans="1:301" ht="30" customHeight="1" thickBot="1" x14ac:dyDescent="0.25">
      <c r="A362" s="3873"/>
      <c r="B362" s="3874"/>
      <c r="C362" s="3874"/>
      <c r="D362" s="3874"/>
      <c r="E362" s="3874"/>
      <c r="F362" s="3874"/>
      <c r="G362" s="3874"/>
      <c r="H362" s="3874"/>
      <c r="I362" s="3874"/>
      <c r="J362" s="3874"/>
      <c r="K362" s="3874"/>
      <c r="L362" s="3874"/>
      <c r="M362" s="3874"/>
      <c r="N362" s="3874"/>
      <c r="O362" s="3874"/>
      <c r="P362" s="3874"/>
      <c r="Q362" s="3875"/>
      <c r="R362" s="2391">
        <f>SUM(R13:R361)</f>
        <v>47776639165.400002</v>
      </c>
      <c r="S362" s="2392"/>
      <c r="T362" s="2393"/>
      <c r="U362" s="2394"/>
      <c r="V362" s="2395">
        <f>SUM(V13:V361)</f>
        <v>47776639165.400002</v>
      </c>
      <c r="W362" s="2396"/>
      <c r="X362" s="2397"/>
      <c r="Y362" s="2398"/>
      <c r="Z362" s="2398"/>
      <c r="AA362" s="2399"/>
      <c r="AB362" s="2398"/>
      <c r="AC362" s="2398"/>
      <c r="AD362" s="2398"/>
      <c r="AE362" s="2398"/>
      <c r="AF362" s="2400"/>
      <c r="AG362" s="2398"/>
      <c r="AH362" s="2399"/>
      <c r="AI362" s="2398"/>
      <c r="AJ362" s="2398"/>
      <c r="AK362" s="2399"/>
      <c r="AL362" s="2399"/>
      <c r="AM362" s="2399"/>
      <c r="AN362" s="2399"/>
      <c r="AO362" s="2401"/>
      <c r="AP362" s="2401"/>
      <c r="AQ362" s="2402"/>
    </row>
    <row r="363" spans="1:301" x14ac:dyDescent="0.2">
      <c r="V363" s="2406"/>
    </row>
    <row r="364" spans="1:301" ht="43.5" customHeight="1" x14ac:dyDescent="0.2">
      <c r="K364" s="3876"/>
      <c r="L364" s="3876"/>
      <c r="M364" s="3876"/>
      <c r="N364" s="3876"/>
      <c r="O364" s="3876"/>
      <c r="P364" s="3876"/>
      <c r="Q364" s="3876"/>
      <c r="U364" s="2410"/>
      <c r="V364" s="2411"/>
      <c r="W364" s="2412"/>
    </row>
    <row r="365" spans="1:301" ht="43.5" customHeight="1" x14ac:dyDescent="0.2">
      <c r="R365" s="2413"/>
      <c r="U365" s="2410"/>
      <c r="V365" s="2414"/>
      <c r="W365" s="2412"/>
    </row>
    <row r="366" spans="1:301" ht="43.5" customHeight="1" x14ac:dyDescent="0.25">
      <c r="K366" s="3877" t="s">
        <v>2535</v>
      </c>
      <c r="L366" s="3877"/>
      <c r="M366" s="3877"/>
      <c r="V366" s="2415"/>
    </row>
    <row r="367" spans="1:301" s="2404" customFormat="1" ht="43.5" customHeight="1" x14ac:dyDescent="0.2">
      <c r="A367" s="2204"/>
      <c r="B367" s="2204"/>
      <c r="C367" s="2204"/>
      <c r="D367" s="2204"/>
      <c r="E367" s="2204"/>
      <c r="F367" s="2204"/>
      <c r="G367" s="2204"/>
      <c r="H367" s="2204"/>
      <c r="I367" s="2204"/>
      <c r="J367" s="2204"/>
      <c r="K367" s="3862" t="s">
        <v>2536</v>
      </c>
      <c r="L367" s="3862"/>
      <c r="M367" s="3862"/>
      <c r="N367" s="2303"/>
      <c r="O367" s="2236"/>
      <c r="P367" s="2403"/>
      <c r="R367" s="2303"/>
      <c r="S367" s="2236"/>
      <c r="T367" s="2403"/>
      <c r="U367" s="2405"/>
      <c r="V367" s="2405"/>
      <c r="Y367" s="2407"/>
      <c r="Z367" s="2407"/>
      <c r="AA367" s="2408"/>
      <c r="AB367" s="2407"/>
      <c r="AC367" s="2407"/>
      <c r="AD367" s="2407"/>
      <c r="AE367" s="2407"/>
      <c r="AF367" s="2409"/>
      <c r="AG367" s="2407"/>
      <c r="AH367" s="2408"/>
      <c r="AI367" s="2407"/>
      <c r="AJ367" s="2407"/>
      <c r="AK367" s="2408"/>
      <c r="AL367" s="2408"/>
      <c r="AM367" s="2408"/>
      <c r="AN367" s="2408"/>
      <c r="AO367" s="2204"/>
      <c r="AP367" s="2204"/>
      <c r="AQ367" s="2204"/>
      <c r="AR367" s="2204"/>
      <c r="AS367" s="2204"/>
      <c r="AT367" s="2204"/>
      <c r="AU367" s="2204"/>
      <c r="AV367" s="2204"/>
      <c r="AW367" s="2204"/>
      <c r="AX367" s="2204"/>
      <c r="AY367" s="2204"/>
      <c r="AZ367" s="2204"/>
      <c r="BA367" s="2204"/>
      <c r="BB367" s="2204"/>
      <c r="BC367" s="2204"/>
      <c r="BD367" s="2204"/>
      <c r="BE367" s="2204"/>
      <c r="BF367" s="2204"/>
      <c r="BG367" s="2204"/>
      <c r="BH367" s="2204"/>
      <c r="BI367" s="2204"/>
      <c r="BJ367" s="2204"/>
      <c r="BK367" s="2204"/>
      <c r="BL367" s="2204"/>
      <c r="BM367" s="2204"/>
      <c r="BN367" s="2204"/>
      <c r="BO367" s="2204"/>
      <c r="BP367" s="2204"/>
      <c r="BQ367" s="2204"/>
      <c r="BR367" s="2204"/>
      <c r="BS367" s="2204"/>
      <c r="BT367" s="2204"/>
      <c r="BU367" s="2204"/>
      <c r="BV367" s="2204"/>
      <c r="BW367" s="2204"/>
      <c r="BX367" s="2204"/>
      <c r="BY367" s="2204"/>
      <c r="BZ367" s="2204"/>
      <c r="CA367" s="2204"/>
      <c r="CB367" s="2204"/>
      <c r="CC367" s="2204"/>
      <c r="CD367" s="2204"/>
      <c r="CE367" s="2204"/>
      <c r="CF367" s="2204"/>
      <c r="CG367" s="2204"/>
      <c r="CH367" s="2204"/>
      <c r="CI367" s="2204"/>
      <c r="CJ367" s="2204"/>
      <c r="CK367" s="2204"/>
      <c r="CL367" s="2204"/>
      <c r="CM367" s="2204"/>
      <c r="CN367" s="2204"/>
      <c r="CO367" s="2204"/>
      <c r="CP367" s="2204"/>
      <c r="CQ367" s="2204"/>
      <c r="CR367" s="2204"/>
      <c r="CS367" s="2204"/>
      <c r="CT367" s="2204"/>
      <c r="CU367" s="2204"/>
      <c r="CV367" s="2204"/>
      <c r="CW367" s="2204"/>
      <c r="CX367" s="2204"/>
      <c r="CY367" s="2204"/>
      <c r="CZ367" s="2204"/>
      <c r="DA367" s="2204"/>
      <c r="DB367" s="2204"/>
      <c r="DC367" s="2204"/>
      <c r="DD367" s="2204"/>
      <c r="DE367" s="2204"/>
      <c r="DF367" s="2204"/>
      <c r="DG367" s="2204"/>
      <c r="DH367" s="2204"/>
      <c r="DI367" s="2204"/>
      <c r="DJ367" s="2204"/>
      <c r="DK367" s="2204"/>
      <c r="DL367" s="2204"/>
      <c r="DM367" s="2204"/>
      <c r="DN367" s="2204"/>
      <c r="DO367" s="2204"/>
      <c r="DP367" s="2204"/>
      <c r="DQ367" s="2204"/>
      <c r="DR367" s="2204"/>
      <c r="DS367" s="2204"/>
      <c r="DT367" s="2204"/>
      <c r="DU367" s="2204"/>
      <c r="DV367" s="2204"/>
      <c r="DW367" s="2204"/>
      <c r="DX367" s="2204"/>
      <c r="DY367" s="2204"/>
      <c r="DZ367" s="2204"/>
      <c r="EA367" s="2204"/>
      <c r="EB367" s="2204"/>
      <c r="EC367" s="2204"/>
      <c r="ED367" s="2204"/>
      <c r="EE367" s="2204"/>
      <c r="EF367" s="2204"/>
      <c r="EG367" s="2204"/>
      <c r="EH367" s="2204"/>
      <c r="EI367" s="2204"/>
      <c r="EJ367" s="2204"/>
      <c r="EK367" s="2204"/>
      <c r="EL367" s="2204"/>
      <c r="EM367" s="2204"/>
      <c r="EN367" s="2204"/>
      <c r="EO367" s="2204"/>
      <c r="EP367" s="2204"/>
      <c r="EQ367" s="2204"/>
      <c r="ER367" s="2204"/>
      <c r="ES367" s="2204"/>
      <c r="ET367" s="2204"/>
      <c r="EU367" s="2204"/>
      <c r="EV367" s="2204"/>
      <c r="EW367" s="2204"/>
      <c r="EX367" s="2204"/>
      <c r="EY367" s="2204"/>
      <c r="EZ367" s="2204"/>
      <c r="FA367" s="2204"/>
      <c r="FB367" s="2204"/>
      <c r="FC367" s="2204"/>
      <c r="FD367" s="2204"/>
      <c r="FE367" s="2204"/>
      <c r="FF367" s="2204"/>
      <c r="FG367" s="2204"/>
      <c r="FH367" s="2204"/>
      <c r="FI367" s="2204"/>
      <c r="FJ367" s="2204"/>
      <c r="FK367" s="2204"/>
      <c r="FL367" s="2204"/>
      <c r="FM367" s="2204"/>
      <c r="FN367" s="2204"/>
      <c r="FO367" s="2204"/>
      <c r="FP367" s="2204"/>
      <c r="FQ367" s="2204"/>
      <c r="FR367" s="2204"/>
      <c r="FS367" s="2204"/>
      <c r="FT367" s="2204"/>
      <c r="FU367" s="2204"/>
      <c r="FV367" s="2204"/>
      <c r="FW367" s="2204"/>
      <c r="FX367" s="2204"/>
      <c r="FY367" s="2204"/>
      <c r="FZ367" s="2204"/>
      <c r="GA367" s="2204"/>
      <c r="GB367" s="2204"/>
      <c r="GC367" s="2204"/>
      <c r="GD367" s="2204"/>
      <c r="GE367" s="2204"/>
      <c r="GF367" s="2204"/>
      <c r="GG367" s="2204"/>
      <c r="GH367" s="2204"/>
      <c r="GI367" s="2204"/>
      <c r="GJ367" s="2204"/>
      <c r="GK367" s="2204"/>
      <c r="GL367" s="2204"/>
      <c r="GM367" s="2204"/>
      <c r="GN367" s="2204"/>
      <c r="GO367" s="2204"/>
      <c r="GP367" s="2204"/>
      <c r="GQ367" s="2204"/>
      <c r="GR367" s="2204"/>
      <c r="GS367" s="2204"/>
      <c r="GT367" s="2204"/>
      <c r="GU367" s="2204"/>
      <c r="GV367" s="2204"/>
      <c r="GW367" s="2204"/>
      <c r="GX367" s="2204"/>
      <c r="GY367" s="2204"/>
      <c r="GZ367" s="2204"/>
      <c r="HA367" s="2204"/>
      <c r="HB367" s="2204"/>
      <c r="HC367" s="2204"/>
      <c r="HD367" s="2204"/>
      <c r="HE367" s="2204"/>
      <c r="HF367" s="2204"/>
      <c r="HG367" s="2204"/>
      <c r="HH367" s="2204"/>
      <c r="HI367" s="2204"/>
      <c r="HJ367" s="2204"/>
      <c r="HK367" s="2204"/>
      <c r="HL367" s="2204"/>
      <c r="HM367" s="2204"/>
      <c r="HN367" s="2204"/>
      <c r="HO367" s="2204"/>
      <c r="HP367" s="2204"/>
      <c r="HQ367" s="2204"/>
      <c r="HR367" s="2204"/>
      <c r="HS367" s="2204"/>
      <c r="HT367" s="2204"/>
      <c r="HU367" s="2204"/>
      <c r="HV367" s="2204"/>
      <c r="HW367" s="2204"/>
      <c r="HX367" s="2204"/>
      <c r="HY367" s="2204"/>
      <c r="HZ367" s="2204"/>
      <c r="IA367" s="2204"/>
      <c r="IB367" s="2204"/>
      <c r="IC367" s="2204"/>
      <c r="ID367" s="2204"/>
      <c r="IE367" s="2204"/>
      <c r="IF367" s="2204"/>
      <c r="IG367" s="2204"/>
      <c r="IH367" s="2204"/>
      <c r="II367" s="2204"/>
      <c r="IJ367" s="2204"/>
      <c r="IK367" s="2204"/>
      <c r="IL367" s="2204"/>
      <c r="IM367" s="2204"/>
      <c r="IN367" s="2204"/>
      <c r="IO367" s="2204"/>
      <c r="IP367" s="2204"/>
      <c r="IQ367" s="2204"/>
      <c r="IR367" s="2204"/>
      <c r="IS367" s="2204"/>
      <c r="IT367" s="2204"/>
      <c r="IU367" s="2204"/>
      <c r="IV367" s="2204"/>
      <c r="IW367" s="2204"/>
      <c r="IX367" s="2204"/>
      <c r="IY367" s="2204"/>
      <c r="IZ367" s="2204"/>
      <c r="JA367" s="2204"/>
      <c r="JB367" s="2204"/>
      <c r="JC367" s="2204"/>
      <c r="JD367" s="2204"/>
      <c r="JE367" s="2204"/>
      <c r="JF367" s="2204"/>
      <c r="JG367" s="2204"/>
      <c r="JH367" s="2204"/>
      <c r="JI367" s="2204"/>
      <c r="JJ367" s="2204"/>
      <c r="JK367" s="2204"/>
      <c r="JL367" s="2204"/>
      <c r="JM367" s="2204"/>
      <c r="JN367" s="2204"/>
      <c r="JO367" s="2204"/>
      <c r="JP367" s="2204"/>
      <c r="JQ367" s="2204"/>
      <c r="JR367" s="2204"/>
      <c r="JS367" s="2204"/>
      <c r="JT367" s="2204"/>
      <c r="JU367" s="2204"/>
      <c r="JV367" s="2204"/>
      <c r="JW367" s="2204"/>
      <c r="JX367" s="2204"/>
      <c r="JY367" s="2204"/>
      <c r="JZ367" s="2204"/>
      <c r="KA367" s="2204"/>
      <c r="KB367" s="2204"/>
      <c r="KC367" s="2204"/>
      <c r="KD367" s="2204"/>
      <c r="KE367" s="2204"/>
      <c r="KF367" s="2204"/>
      <c r="KG367" s="2204"/>
      <c r="KH367" s="2204"/>
      <c r="KI367" s="2204"/>
      <c r="KJ367" s="2204"/>
      <c r="KK367" s="2204"/>
      <c r="KL367" s="2204"/>
      <c r="KM367" s="2204"/>
      <c r="KN367" s="2204"/>
      <c r="KO367" s="2204"/>
    </row>
    <row r="368" spans="1:301" s="2404" customFormat="1" ht="43.5" customHeight="1" x14ac:dyDescent="0.2">
      <c r="A368" s="2204"/>
      <c r="B368" s="2204"/>
      <c r="C368" s="2204"/>
      <c r="D368" s="2204"/>
      <c r="E368" s="2204"/>
      <c r="F368" s="2204"/>
      <c r="G368" s="2204"/>
      <c r="H368" s="2204"/>
      <c r="I368" s="2204"/>
      <c r="J368" s="2204"/>
      <c r="K368" s="2403"/>
      <c r="L368" s="2236"/>
      <c r="M368" s="2236"/>
      <c r="N368" s="2303"/>
      <c r="O368" s="2236"/>
      <c r="P368" s="2403"/>
      <c r="R368" s="2303"/>
      <c r="S368" s="2236"/>
      <c r="T368" s="2403"/>
      <c r="U368" s="2405"/>
      <c r="V368" s="2415"/>
      <c r="Y368" s="2407"/>
      <c r="Z368" s="2407"/>
      <c r="AA368" s="2408"/>
      <c r="AB368" s="2407"/>
      <c r="AC368" s="2407"/>
      <c r="AD368" s="2407"/>
      <c r="AE368" s="2407"/>
      <c r="AF368" s="2409"/>
      <c r="AG368" s="2407"/>
      <c r="AH368" s="2408"/>
      <c r="AI368" s="2407"/>
      <c r="AJ368" s="2407"/>
      <c r="AK368" s="2408"/>
      <c r="AL368" s="2408"/>
      <c r="AM368" s="2408"/>
      <c r="AN368" s="2408"/>
      <c r="AO368" s="2204"/>
      <c r="AP368" s="2204"/>
      <c r="AQ368" s="2204"/>
      <c r="AR368" s="2204"/>
      <c r="AS368" s="2204"/>
      <c r="AT368" s="2204"/>
      <c r="AU368" s="2204"/>
      <c r="AV368" s="2204"/>
      <c r="AW368" s="2204"/>
      <c r="AX368" s="2204"/>
      <c r="AY368" s="2204"/>
      <c r="AZ368" s="2204"/>
      <c r="BA368" s="2204"/>
      <c r="BB368" s="2204"/>
      <c r="BC368" s="2204"/>
      <c r="BD368" s="2204"/>
      <c r="BE368" s="2204"/>
      <c r="BF368" s="2204"/>
      <c r="BG368" s="2204"/>
      <c r="BH368" s="2204"/>
      <c r="BI368" s="2204"/>
      <c r="BJ368" s="2204"/>
      <c r="BK368" s="2204"/>
      <c r="BL368" s="2204"/>
      <c r="BM368" s="2204"/>
      <c r="BN368" s="2204"/>
      <c r="BO368" s="2204"/>
      <c r="BP368" s="2204"/>
      <c r="BQ368" s="2204"/>
      <c r="BR368" s="2204"/>
      <c r="BS368" s="2204"/>
      <c r="BT368" s="2204"/>
      <c r="BU368" s="2204"/>
      <c r="BV368" s="2204"/>
      <c r="BW368" s="2204"/>
      <c r="BX368" s="2204"/>
      <c r="BY368" s="2204"/>
      <c r="BZ368" s="2204"/>
      <c r="CA368" s="2204"/>
      <c r="CB368" s="2204"/>
      <c r="CC368" s="2204"/>
      <c r="CD368" s="2204"/>
      <c r="CE368" s="2204"/>
      <c r="CF368" s="2204"/>
      <c r="CG368" s="2204"/>
      <c r="CH368" s="2204"/>
      <c r="CI368" s="2204"/>
      <c r="CJ368" s="2204"/>
      <c r="CK368" s="2204"/>
      <c r="CL368" s="2204"/>
      <c r="CM368" s="2204"/>
      <c r="CN368" s="2204"/>
      <c r="CO368" s="2204"/>
      <c r="CP368" s="2204"/>
      <c r="CQ368" s="2204"/>
      <c r="CR368" s="2204"/>
      <c r="CS368" s="2204"/>
      <c r="CT368" s="2204"/>
      <c r="CU368" s="2204"/>
      <c r="CV368" s="2204"/>
      <c r="CW368" s="2204"/>
      <c r="CX368" s="2204"/>
      <c r="CY368" s="2204"/>
      <c r="CZ368" s="2204"/>
      <c r="DA368" s="2204"/>
      <c r="DB368" s="2204"/>
      <c r="DC368" s="2204"/>
      <c r="DD368" s="2204"/>
      <c r="DE368" s="2204"/>
      <c r="DF368" s="2204"/>
      <c r="DG368" s="2204"/>
      <c r="DH368" s="2204"/>
      <c r="DI368" s="2204"/>
      <c r="DJ368" s="2204"/>
      <c r="DK368" s="2204"/>
      <c r="DL368" s="2204"/>
      <c r="DM368" s="2204"/>
      <c r="DN368" s="2204"/>
      <c r="DO368" s="2204"/>
      <c r="DP368" s="2204"/>
      <c r="DQ368" s="2204"/>
      <c r="DR368" s="2204"/>
      <c r="DS368" s="2204"/>
      <c r="DT368" s="2204"/>
      <c r="DU368" s="2204"/>
      <c r="DV368" s="2204"/>
      <c r="DW368" s="2204"/>
      <c r="DX368" s="2204"/>
      <c r="DY368" s="2204"/>
      <c r="DZ368" s="2204"/>
      <c r="EA368" s="2204"/>
      <c r="EB368" s="2204"/>
      <c r="EC368" s="2204"/>
      <c r="ED368" s="2204"/>
      <c r="EE368" s="2204"/>
      <c r="EF368" s="2204"/>
      <c r="EG368" s="2204"/>
      <c r="EH368" s="2204"/>
      <c r="EI368" s="2204"/>
      <c r="EJ368" s="2204"/>
      <c r="EK368" s="2204"/>
      <c r="EL368" s="2204"/>
      <c r="EM368" s="2204"/>
      <c r="EN368" s="2204"/>
      <c r="EO368" s="2204"/>
      <c r="EP368" s="2204"/>
      <c r="EQ368" s="2204"/>
      <c r="ER368" s="2204"/>
      <c r="ES368" s="2204"/>
      <c r="ET368" s="2204"/>
      <c r="EU368" s="2204"/>
      <c r="EV368" s="2204"/>
      <c r="EW368" s="2204"/>
      <c r="EX368" s="2204"/>
      <c r="EY368" s="2204"/>
      <c r="EZ368" s="2204"/>
      <c r="FA368" s="2204"/>
      <c r="FB368" s="2204"/>
      <c r="FC368" s="2204"/>
      <c r="FD368" s="2204"/>
      <c r="FE368" s="2204"/>
      <c r="FF368" s="2204"/>
      <c r="FG368" s="2204"/>
      <c r="FH368" s="2204"/>
      <c r="FI368" s="2204"/>
      <c r="FJ368" s="2204"/>
      <c r="FK368" s="2204"/>
      <c r="FL368" s="2204"/>
      <c r="FM368" s="2204"/>
      <c r="FN368" s="2204"/>
      <c r="FO368" s="2204"/>
      <c r="FP368" s="2204"/>
      <c r="FQ368" s="2204"/>
      <c r="FR368" s="2204"/>
      <c r="FS368" s="2204"/>
      <c r="FT368" s="2204"/>
      <c r="FU368" s="2204"/>
      <c r="FV368" s="2204"/>
      <c r="FW368" s="2204"/>
      <c r="FX368" s="2204"/>
      <c r="FY368" s="2204"/>
      <c r="FZ368" s="2204"/>
      <c r="GA368" s="2204"/>
      <c r="GB368" s="2204"/>
      <c r="GC368" s="2204"/>
      <c r="GD368" s="2204"/>
      <c r="GE368" s="2204"/>
      <c r="GF368" s="2204"/>
      <c r="GG368" s="2204"/>
      <c r="GH368" s="2204"/>
      <c r="GI368" s="2204"/>
      <c r="GJ368" s="2204"/>
      <c r="GK368" s="2204"/>
      <c r="GL368" s="2204"/>
      <c r="GM368" s="2204"/>
      <c r="GN368" s="2204"/>
      <c r="GO368" s="2204"/>
      <c r="GP368" s="2204"/>
      <c r="GQ368" s="2204"/>
      <c r="GR368" s="2204"/>
      <c r="GS368" s="2204"/>
      <c r="GT368" s="2204"/>
      <c r="GU368" s="2204"/>
      <c r="GV368" s="2204"/>
      <c r="GW368" s="2204"/>
      <c r="GX368" s="2204"/>
      <c r="GY368" s="2204"/>
      <c r="GZ368" s="2204"/>
      <c r="HA368" s="2204"/>
      <c r="HB368" s="2204"/>
      <c r="HC368" s="2204"/>
      <c r="HD368" s="2204"/>
      <c r="HE368" s="2204"/>
      <c r="HF368" s="2204"/>
      <c r="HG368" s="2204"/>
      <c r="HH368" s="2204"/>
      <c r="HI368" s="2204"/>
      <c r="HJ368" s="2204"/>
      <c r="HK368" s="2204"/>
      <c r="HL368" s="2204"/>
      <c r="HM368" s="2204"/>
      <c r="HN368" s="2204"/>
      <c r="HO368" s="2204"/>
      <c r="HP368" s="2204"/>
      <c r="HQ368" s="2204"/>
      <c r="HR368" s="2204"/>
      <c r="HS368" s="2204"/>
      <c r="HT368" s="2204"/>
      <c r="HU368" s="2204"/>
      <c r="HV368" s="2204"/>
      <c r="HW368" s="2204"/>
      <c r="HX368" s="2204"/>
      <c r="HY368" s="2204"/>
      <c r="HZ368" s="2204"/>
      <c r="IA368" s="2204"/>
      <c r="IB368" s="2204"/>
      <c r="IC368" s="2204"/>
      <c r="ID368" s="2204"/>
      <c r="IE368" s="2204"/>
      <c r="IF368" s="2204"/>
      <c r="IG368" s="2204"/>
      <c r="IH368" s="2204"/>
      <c r="II368" s="2204"/>
      <c r="IJ368" s="2204"/>
      <c r="IK368" s="2204"/>
      <c r="IL368" s="2204"/>
      <c r="IM368" s="2204"/>
      <c r="IN368" s="2204"/>
      <c r="IO368" s="2204"/>
      <c r="IP368" s="2204"/>
      <c r="IQ368" s="2204"/>
      <c r="IR368" s="2204"/>
      <c r="IS368" s="2204"/>
      <c r="IT368" s="2204"/>
      <c r="IU368" s="2204"/>
      <c r="IV368" s="2204"/>
      <c r="IW368" s="2204"/>
      <c r="IX368" s="2204"/>
      <c r="IY368" s="2204"/>
      <c r="IZ368" s="2204"/>
      <c r="JA368" s="2204"/>
      <c r="JB368" s="2204"/>
      <c r="JC368" s="2204"/>
      <c r="JD368" s="2204"/>
      <c r="JE368" s="2204"/>
      <c r="JF368" s="2204"/>
      <c r="JG368" s="2204"/>
      <c r="JH368" s="2204"/>
      <c r="JI368" s="2204"/>
      <c r="JJ368" s="2204"/>
      <c r="JK368" s="2204"/>
      <c r="JL368" s="2204"/>
      <c r="JM368" s="2204"/>
      <c r="JN368" s="2204"/>
      <c r="JO368" s="2204"/>
      <c r="JP368" s="2204"/>
      <c r="JQ368" s="2204"/>
      <c r="JR368" s="2204"/>
      <c r="JS368" s="2204"/>
      <c r="JT368" s="2204"/>
      <c r="JU368" s="2204"/>
      <c r="JV368" s="2204"/>
      <c r="JW368" s="2204"/>
      <c r="JX368" s="2204"/>
      <c r="JY368" s="2204"/>
      <c r="JZ368" s="2204"/>
      <c r="KA368" s="2204"/>
      <c r="KB368" s="2204"/>
      <c r="KC368" s="2204"/>
      <c r="KD368" s="2204"/>
      <c r="KE368" s="2204"/>
      <c r="KF368" s="2204"/>
      <c r="KG368" s="2204"/>
      <c r="KH368" s="2204"/>
      <c r="KI368" s="2204"/>
      <c r="KJ368" s="2204"/>
      <c r="KK368" s="2204"/>
      <c r="KL368" s="2204"/>
      <c r="KM368" s="2204"/>
      <c r="KN368" s="2204"/>
      <c r="KO368" s="2204"/>
    </row>
    <row r="369" spans="1:301" s="2404" customFormat="1" ht="43.5" customHeight="1" x14ac:dyDescent="0.2">
      <c r="A369" s="2204"/>
      <c r="B369" s="2204"/>
      <c r="C369" s="2204"/>
      <c r="D369" s="2204"/>
      <c r="E369" s="2204"/>
      <c r="F369" s="2204"/>
      <c r="G369" s="2204"/>
      <c r="H369" s="2204"/>
      <c r="I369" s="2204"/>
      <c r="J369" s="2204"/>
      <c r="K369" s="2403"/>
      <c r="L369" s="2236"/>
      <c r="M369" s="2236"/>
      <c r="N369" s="2303"/>
      <c r="O369" s="2236"/>
      <c r="P369" s="2403"/>
      <c r="R369" s="2303"/>
      <c r="S369" s="2236"/>
      <c r="T369" s="2403"/>
      <c r="U369" s="2405"/>
      <c r="V369" s="2405"/>
      <c r="Y369" s="2407"/>
      <c r="Z369" s="2407"/>
      <c r="AA369" s="2408"/>
      <c r="AB369" s="2407"/>
      <c r="AC369" s="2407"/>
      <c r="AD369" s="2407"/>
      <c r="AE369" s="2407"/>
      <c r="AF369" s="2409"/>
      <c r="AG369" s="2407"/>
      <c r="AH369" s="2408"/>
      <c r="AI369" s="2407"/>
      <c r="AJ369" s="2407"/>
      <c r="AK369" s="2408"/>
      <c r="AL369" s="2408"/>
      <c r="AM369" s="2408"/>
      <c r="AN369" s="2408"/>
      <c r="AO369" s="2204"/>
      <c r="AP369" s="2204"/>
      <c r="AQ369" s="2204"/>
      <c r="AR369" s="2204"/>
      <c r="AS369" s="2204"/>
      <c r="AT369" s="2204"/>
      <c r="AU369" s="2204"/>
      <c r="AV369" s="2204"/>
      <c r="AW369" s="2204"/>
      <c r="AX369" s="2204"/>
      <c r="AY369" s="2204"/>
      <c r="AZ369" s="2204"/>
      <c r="BA369" s="2204"/>
      <c r="BB369" s="2204"/>
      <c r="BC369" s="2204"/>
      <c r="BD369" s="2204"/>
      <c r="BE369" s="2204"/>
      <c r="BF369" s="2204"/>
      <c r="BG369" s="2204"/>
      <c r="BH369" s="2204"/>
      <c r="BI369" s="2204"/>
      <c r="BJ369" s="2204"/>
      <c r="BK369" s="2204"/>
      <c r="BL369" s="2204"/>
      <c r="BM369" s="2204"/>
      <c r="BN369" s="2204"/>
      <c r="BO369" s="2204"/>
      <c r="BP369" s="2204"/>
      <c r="BQ369" s="2204"/>
      <c r="BR369" s="2204"/>
      <c r="BS369" s="2204"/>
      <c r="BT369" s="2204"/>
      <c r="BU369" s="2204"/>
      <c r="BV369" s="2204"/>
      <c r="BW369" s="2204"/>
      <c r="BX369" s="2204"/>
      <c r="BY369" s="2204"/>
      <c r="BZ369" s="2204"/>
      <c r="CA369" s="2204"/>
      <c r="CB369" s="2204"/>
      <c r="CC369" s="2204"/>
      <c r="CD369" s="2204"/>
      <c r="CE369" s="2204"/>
      <c r="CF369" s="2204"/>
      <c r="CG369" s="2204"/>
      <c r="CH369" s="2204"/>
      <c r="CI369" s="2204"/>
      <c r="CJ369" s="2204"/>
      <c r="CK369" s="2204"/>
      <c r="CL369" s="2204"/>
      <c r="CM369" s="2204"/>
      <c r="CN369" s="2204"/>
      <c r="CO369" s="2204"/>
      <c r="CP369" s="2204"/>
      <c r="CQ369" s="2204"/>
      <c r="CR369" s="2204"/>
      <c r="CS369" s="2204"/>
      <c r="CT369" s="2204"/>
      <c r="CU369" s="2204"/>
      <c r="CV369" s="2204"/>
      <c r="CW369" s="2204"/>
      <c r="CX369" s="2204"/>
      <c r="CY369" s="2204"/>
      <c r="CZ369" s="2204"/>
      <c r="DA369" s="2204"/>
      <c r="DB369" s="2204"/>
      <c r="DC369" s="2204"/>
      <c r="DD369" s="2204"/>
      <c r="DE369" s="2204"/>
      <c r="DF369" s="2204"/>
      <c r="DG369" s="2204"/>
      <c r="DH369" s="2204"/>
      <c r="DI369" s="2204"/>
      <c r="DJ369" s="2204"/>
      <c r="DK369" s="2204"/>
      <c r="DL369" s="2204"/>
      <c r="DM369" s="2204"/>
      <c r="DN369" s="2204"/>
      <c r="DO369" s="2204"/>
      <c r="DP369" s="2204"/>
      <c r="DQ369" s="2204"/>
      <c r="DR369" s="2204"/>
      <c r="DS369" s="2204"/>
      <c r="DT369" s="2204"/>
      <c r="DU369" s="2204"/>
      <c r="DV369" s="2204"/>
      <c r="DW369" s="2204"/>
      <c r="DX369" s="2204"/>
      <c r="DY369" s="2204"/>
      <c r="DZ369" s="2204"/>
      <c r="EA369" s="2204"/>
      <c r="EB369" s="2204"/>
      <c r="EC369" s="2204"/>
      <c r="ED369" s="2204"/>
      <c r="EE369" s="2204"/>
      <c r="EF369" s="2204"/>
      <c r="EG369" s="2204"/>
      <c r="EH369" s="2204"/>
      <c r="EI369" s="2204"/>
      <c r="EJ369" s="2204"/>
      <c r="EK369" s="2204"/>
      <c r="EL369" s="2204"/>
      <c r="EM369" s="2204"/>
      <c r="EN369" s="2204"/>
      <c r="EO369" s="2204"/>
      <c r="EP369" s="2204"/>
      <c r="EQ369" s="2204"/>
      <c r="ER369" s="2204"/>
      <c r="ES369" s="2204"/>
      <c r="ET369" s="2204"/>
      <c r="EU369" s="2204"/>
      <c r="EV369" s="2204"/>
      <c r="EW369" s="2204"/>
      <c r="EX369" s="2204"/>
      <c r="EY369" s="2204"/>
      <c r="EZ369" s="2204"/>
      <c r="FA369" s="2204"/>
      <c r="FB369" s="2204"/>
      <c r="FC369" s="2204"/>
      <c r="FD369" s="2204"/>
      <c r="FE369" s="2204"/>
      <c r="FF369" s="2204"/>
      <c r="FG369" s="2204"/>
      <c r="FH369" s="2204"/>
      <c r="FI369" s="2204"/>
      <c r="FJ369" s="2204"/>
      <c r="FK369" s="2204"/>
      <c r="FL369" s="2204"/>
      <c r="FM369" s="2204"/>
      <c r="FN369" s="2204"/>
      <c r="FO369" s="2204"/>
      <c r="FP369" s="2204"/>
      <c r="FQ369" s="2204"/>
      <c r="FR369" s="2204"/>
      <c r="FS369" s="2204"/>
      <c r="FT369" s="2204"/>
      <c r="FU369" s="2204"/>
      <c r="FV369" s="2204"/>
      <c r="FW369" s="2204"/>
      <c r="FX369" s="2204"/>
      <c r="FY369" s="2204"/>
      <c r="FZ369" s="2204"/>
      <c r="GA369" s="2204"/>
      <c r="GB369" s="2204"/>
      <c r="GC369" s="2204"/>
      <c r="GD369" s="2204"/>
      <c r="GE369" s="2204"/>
      <c r="GF369" s="2204"/>
      <c r="GG369" s="2204"/>
      <c r="GH369" s="2204"/>
      <c r="GI369" s="2204"/>
      <c r="GJ369" s="2204"/>
      <c r="GK369" s="2204"/>
      <c r="GL369" s="2204"/>
      <c r="GM369" s="2204"/>
      <c r="GN369" s="2204"/>
      <c r="GO369" s="2204"/>
      <c r="GP369" s="2204"/>
      <c r="GQ369" s="2204"/>
      <c r="GR369" s="2204"/>
      <c r="GS369" s="2204"/>
      <c r="GT369" s="2204"/>
      <c r="GU369" s="2204"/>
      <c r="GV369" s="2204"/>
      <c r="GW369" s="2204"/>
      <c r="GX369" s="2204"/>
      <c r="GY369" s="2204"/>
      <c r="GZ369" s="2204"/>
      <c r="HA369" s="2204"/>
      <c r="HB369" s="2204"/>
      <c r="HC369" s="2204"/>
      <c r="HD369" s="2204"/>
      <c r="HE369" s="2204"/>
      <c r="HF369" s="2204"/>
      <c r="HG369" s="2204"/>
      <c r="HH369" s="2204"/>
      <c r="HI369" s="2204"/>
      <c r="HJ369" s="2204"/>
      <c r="HK369" s="2204"/>
      <c r="HL369" s="2204"/>
      <c r="HM369" s="2204"/>
      <c r="HN369" s="2204"/>
      <c r="HO369" s="2204"/>
      <c r="HP369" s="2204"/>
      <c r="HQ369" s="2204"/>
      <c r="HR369" s="2204"/>
      <c r="HS369" s="2204"/>
      <c r="HT369" s="2204"/>
      <c r="HU369" s="2204"/>
      <c r="HV369" s="2204"/>
      <c r="HW369" s="2204"/>
      <c r="HX369" s="2204"/>
      <c r="HY369" s="2204"/>
      <c r="HZ369" s="2204"/>
      <c r="IA369" s="2204"/>
      <c r="IB369" s="2204"/>
      <c r="IC369" s="2204"/>
      <c r="ID369" s="2204"/>
      <c r="IE369" s="2204"/>
      <c r="IF369" s="2204"/>
      <c r="IG369" s="2204"/>
      <c r="IH369" s="2204"/>
      <c r="II369" s="2204"/>
      <c r="IJ369" s="2204"/>
      <c r="IK369" s="2204"/>
      <c r="IL369" s="2204"/>
      <c r="IM369" s="2204"/>
      <c r="IN369" s="2204"/>
      <c r="IO369" s="2204"/>
      <c r="IP369" s="2204"/>
      <c r="IQ369" s="2204"/>
      <c r="IR369" s="2204"/>
      <c r="IS369" s="2204"/>
      <c r="IT369" s="2204"/>
      <c r="IU369" s="2204"/>
      <c r="IV369" s="2204"/>
      <c r="IW369" s="2204"/>
      <c r="IX369" s="2204"/>
      <c r="IY369" s="2204"/>
      <c r="IZ369" s="2204"/>
      <c r="JA369" s="2204"/>
      <c r="JB369" s="2204"/>
      <c r="JC369" s="2204"/>
      <c r="JD369" s="2204"/>
      <c r="JE369" s="2204"/>
      <c r="JF369" s="2204"/>
      <c r="JG369" s="2204"/>
      <c r="JH369" s="2204"/>
      <c r="JI369" s="2204"/>
      <c r="JJ369" s="2204"/>
      <c r="JK369" s="2204"/>
      <c r="JL369" s="2204"/>
      <c r="JM369" s="2204"/>
      <c r="JN369" s="2204"/>
      <c r="JO369" s="2204"/>
      <c r="JP369" s="2204"/>
      <c r="JQ369" s="2204"/>
      <c r="JR369" s="2204"/>
      <c r="JS369" s="2204"/>
      <c r="JT369" s="2204"/>
      <c r="JU369" s="2204"/>
      <c r="JV369" s="2204"/>
      <c r="JW369" s="2204"/>
      <c r="JX369" s="2204"/>
      <c r="JY369" s="2204"/>
      <c r="JZ369" s="2204"/>
      <c r="KA369" s="2204"/>
      <c r="KB369" s="2204"/>
      <c r="KC369" s="2204"/>
      <c r="KD369" s="2204"/>
      <c r="KE369" s="2204"/>
      <c r="KF369" s="2204"/>
      <c r="KG369" s="2204"/>
      <c r="KH369" s="2204"/>
      <c r="KI369" s="2204"/>
      <c r="KJ369" s="2204"/>
      <c r="KK369" s="2204"/>
      <c r="KL369" s="2204"/>
      <c r="KM369" s="2204"/>
      <c r="KN369" s="2204"/>
      <c r="KO369" s="2204"/>
    </row>
  </sheetData>
  <sheetProtection password="A60F" sheet="1" objects="1" scenarios="1"/>
  <mergeCells count="969">
    <mergeCell ref="N7:N9"/>
    <mergeCell ref="O7:O9"/>
    <mergeCell ref="P7:P9"/>
    <mergeCell ref="A1:AO4"/>
    <mergeCell ref="A5:O6"/>
    <mergeCell ref="P5:AQ6"/>
    <mergeCell ref="A7:A9"/>
    <mergeCell ref="B7:C9"/>
    <mergeCell ref="D7:D9"/>
    <mergeCell ref="E7:F9"/>
    <mergeCell ref="G7:G9"/>
    <mergeCell ref="H7:I9"/>
    <mergeCell ref="J7:J9"/>
    <mergeCell ref="AN7:AN8"/>
    <mergeCell ref="AO7:AO8"/>
    <mergeCell ref="AP7:AP8"/>
    <mergeCell ref="AQ7:AQ8"/>
    <mergeCell ref="AA7:AD7"/>
    <mergeCell ref="AE7:AJ7"/>
    <mergeCell ref="AK7:AM7"/>
    <mergeCell ref="A11:C11"/>
    <mergeCell ref="J13:J22"/>
    <mergeCell ref="K13:K22"/>
    <mergeCell ref="L13:L22"/>
    <mergeCell ref="M13:M22"/>
    <mergeCell ref="N13:N46"/>
    <mergeCell ref="W7:W9"/>
    <mergeCell ref="X7:X9"/>
    <mergeCell ref="Y7:Z7"/>
    <mergeCell ref="Q7:Q9"/>
    <mergeCell ref="R7:R9"/>
    <mergeCell ref="S7:S9"/>
    <mergeCell ref="T7:T9"/>
    <mergeCell ref="U7:U9"/>
    <mergeCell ref="V7:V8"/>
    <mergeCell ref="K7:K9"/>
    <mergeCell ref="L7:L9"/>
    <mergeCell ref="Y13:Y46"/>
    <mergeCell ref="Z13:Z46"/>
    <mergeCell ref="J33:J46"/>
    <mergeCell ref="K33:K46"/>
    <mergeCell ref="L33:L46"/>
    <mergeCell ref="M33:M46"/>
    <mergeCell ref="M7:M8"/>
    <mergeCell ref="AA13:AA46"/>
    <mergeCell ref="AB13:AB46"/>
    <mergeCell ref="U23:U24"/>
    <mergeCell ref="U25:U26"/>
    <mergeCell ref="U27:U28"/>
    <mergeCell ref="U29:U30"/>
    <mergeCell ref="O13:O46"/>
    <mergeCell ref="P13:P46"/>
    <mergeCell ref="Q13:Q22"/>
    <mergeCell ref="R13:R46"/>
    <mergeCell ref="S13:S46"/>
    <mergeCell ref="T13:T22"/>
    <mergeCell ref="T23:T32"/>
    <mergeCell ref="U31:U32"/>
    <mergeCell ref="Q33:Q46"/>
    <mergeCell ref="T33:T46"/>
    <mergeCell ref="U33:U34"/>
    <mergeCell ref="U35:U36"/>
    <mergeCell ref="U37:U38"/>
    <mergeCell ref="U39:U40"/>
    <mergeCell ref="U41:U42"/>
    <mergeCell ref="U43:U44"/>
    <mergeCell ref="U45:U46"/>
    <mergeCell ref="AO13:AO46"/>
    <mergeCell ref="AP13:AP46"/>
    <mergeCell ref="AQ13:AQ46"/>
    <mergeCell ref="U16:U17"/>
    <mergeCell ref="U18:U19"/>
    <mergeCell ref="J23:J32"/>
    <mergeCell ref="K23:K32"/>
    <mergeCell ref="L23:L32"/>
    <mergeCell ref="M23:M32"/>
    <mergeCell ref="Q23:Q32"/>
    <mergeCell ref="AI13:AI46"/>
    <mergeCell ref="AJ13:AJ46"/>
    <mergeCell ref="AK13:AK46"/>
    <mergeCell ref="AL13:AL46"/>
    <mergeCell ref="AM13:AM46"/>
    <mergeCell ref="AN13:AN46"/>
    <mergeCell ref="AC13:AC46"/>
    <mergeCell ref="AD13:AD46"/>
    <mergeCell ref="AE13:AE46"/>
    <mergeCell ref="AF13:AF46"/>
    <mergeCell ref="AG13:AG46"/>
    <mergeCell ref="AH13:AH46"/>
    <mergeCell ref="U13:U14"/>
    <mergeCell ref="X13:X46"/>
    <mergeCell ref="J49:J50"/>
    <mergeCell ref="K49:K50"/>
    <mergeCell ref="L49:L50"/>
    <mergeCell ref="M49:M50"/>
    <mergeCell ref="N49:N54"/>
    <mergeCell ref="O49:O54"/>
    <mergeCell ref="AA49:AA54"/>
    <mergeCell ref="AB49:AB54"/>
    <mergeCell ref="AC49:AC54"/>
    <mergeCell ref="P49:P54"/>
    <mergeCell ref="Q49:Q50"/>
    <mergeCell ref="R49:R54"/>
    <mergeCell ref="S49:S54"/>
    <mergeCell ref="T49:T50"/>
    <mergeCell ref="U49:U50"/>
    <mergeCell ref="AP49:AP54"/>
    <mergeCell ref="AQ49:AQ54"/>
    <mergeCell ref="J51:J54"/>
    <mergeCell ref="K51:K54"/>
    <mergeCell ref="L51:L54"/>
    <mergeCell ref="M51:M54"/>
    <mergeCell ref="Q51:Q54"/>
    <mergeCell ref="T51:T54"/>
    <mergeCell ref="U52:U53"/>
    <mergeCell ref="AJ49:AJ54"/>
    <mergeCell ref="AK49:AK54"/>
    <mergeCell ref="AL49:AL54"/>
    <mergeCell ref="AM49:AM54"/>
    <mergeCell ref="AN49:AN54"/>
    <mergeCell ref="AO49:AO54"/>
    <mergeCell ref="AD49:AD54"/>
    <mergeCell ref="AE49:AE54"/>
    <mergeCell ref="AF49:AF54"/>
    <mergeCell ref="AG49:AG54"/>
    <mergeCell ref="AH49:AH54"/>
    <mergeCell ref="AI49:AI54"/>
    <mergeCell ref="X49:X54"/>
    <mergeCell ref="Y49:Y54"/>
    <mergeCell ref="Z49:Z54"/>
    <mergeCell ref="J56:J61"/>
    <mergeCell ref="K56:K61"/>
    <mergeCell ref="L56:L61"/>
    <mergeCell ref="M56:M61"/>
    <mergeCell ref="N56:N83"/>
    <mergeCell ref="O56:O83"/>
    <mergeCell ref="L67:L78"/>
    <mergeCell ref="M67:M78"/>
    <mergeCell ref="J79:J83"/>
    <mergeCell ref="K79:K83"/>
    <mergeCell ref="L79:L83"/>
    <mergeCell ref="M79:M83"/>
    <mergeCell ref="Z56:Z83"/>
    <mergeCell ref="AA56:AA83"/>
    <mergeCell ref="AB56:AB83"/>
    <mergeCell ref="AC56:AC83"/>
    <mergeCell ref="P56:P83"/>
    <mergeCell ref="Q56:Q61"/>
    <mergeCell ref="R56:R83"/>
    <mergeCell ref="S56:S83"/>
    <mergeCell ref="T56:T66"/>
    <mergeCell ref="U56:U57"/>
    <mergeCell ref="Q67:Q78"/>
    <mergeCell ref="T67:T83"/>
    <mergeCell ref="Q79:Q83"/>
    <mergeCell ref="AP56:AP83"/>
    <mergeCell ref="AQ56:AQ83"/>
    <mergeCell ref="U58:U59"/>
    <mergeCell ref="J62:J66"/>
    <mergeCell ref="K62:K66"/>
    <mergeCell ref="L62:L66"/>
    <mergeCell ref="M62:M66"/>
    <mergeCell ref="Q62:Q66"/>
    <mergeCell ref="J67:J78"/>
    <mergeCell ref="K67:K78"/>
    <mergeCell ref="AJ56:AJ83"/>
    <mergeCell ref="AK56:AK83"/>
    <mergeCell ref="AL56:AL83"/>
    <mergeCell ref="AM56:AM83"/>
    <mergeCell ref="AN56:AN83"/>
    <mergeCell ref="AO56:AO83"/>
    <mergeCell ref="AD56:AD83"/>
    <mergeCell ref="AE56:AE83"/>
    <mergeCell ref="AF56:AF83"/>
    <mergeCell ref="AG56:AG83"/>
    <mergeCell ref="AH56:AH83"/>
    <mergeCell ref="AI56:AI83"/>
    <mergeCell ref="X56:X83"/>
    <mergeCell ref="Y56:Y83"/>
    <mergeCell ref="J85:J95"/>
    <mergeCell ref="K85:K95"/>
    <mergeCell ref="L85:L95"/>
    <mergeCell ref="M85:M95"/>
    <mergeCell ref="N85:N105"/>
    <mergeCell ref="O85:O105"/>
    <mergeCell ref="P85:P105"/>
    <mergeCell ref="AA85:AA105"/>
    <mergeCell ref="AB85:AB105"/>
    <mergeCell ref="J96:J100"/>
    <mergeCell ref="K96:K100"/>
    <mergeCell ref="L96:L100"/>
    <mergeCell ref="M96:M100"/>
    <mergeCell ref="J101:J105"/>
    <mergeCell ref="K101:K105"/>
    <mergeCell ref="Y85:Y105"/>
    <mergeCell ref="Z85:Z105"/>
    <mergeCell ref="L101:L105"/>
    <mergeCell ref="M101:M105"/>
    <mergeCell ref="Q101:Q105"/>
    <mergeCell ref="T101:T105"/>
    <mergeCell ref="AC85:AC105"/>
    <mergeCell ref="AD85:AD105"/>
    <mergeCell ref="Q85:Q95"/>
    <mergeCell ref="R85:R105"/>
    <mergeCell ref="S85:S105"/>
    <mergeCell ref="T85:T95"/>
    <mergeCell ref="U85:U86"/>
    <mergeCell ref="X85:X105"/>
    <mergeCell ref="AQ85:AQ105"/>
    <mergeCell ref="U87:U88"/>
    <mergeCell ref="Q96:Q100"/>
    <mergeCell ref="T96:T100"/>
    <mergeCell ref="AK85:AK105"/>
    <mergeCell ref="AL85:AL105"/>
    <mergeCell ref="AM85:AM105"/>
    <mergeCell ref="AN85:AN105"/>
    <mergeCell ref="AO85:AO105"/>
    <mergeCell ref="AP85:AP105"/>
    <mergeCell ref="AE85:AE105"/>
    <mergeCell ref="AF85:AF105"/>
    <mergeCell ref="AG85:AG105"/>
    <mergeCell ref="AH85:AH105"/>
    <mergeCell ref="AI85:AI105"/>
    <mergeCell ref="AJ85:AJ105"/>
    <mergeCell ref="J107:J111"/>
    <mergeCell ref="K107:K111"/>
    <mergeCell ref="L107:L111"/>
    <mergeCell ref="M107:M111"/>
    <mergeCell ref="N107:N119"/>
    <mergeCell ref="O107:O119"/>
    <mergeCell ref="AA107:AA119"/>
    <mergeCell ref="AB107:AB119"/>
    <mergeCell ref="AC107:AC119"/>
    <mergeCell ref="J112:J115"/>
    <mergeCell ref="K112:K115"/>
    <mergeCell ref="L112:L115"/>
    <mergeCell ref="M112:M115"/>
    <mergeCell ref="J116:J119"/>
    <mergeCell ref="K116:K119"/>
    <mergeCell ref="Z107:Z119"/>
    <mergeCell ref="L116:L119"/>
    <mergeCell ref="M116:M119"/>
    <mergeCell ref="Q116:Q119"/>
    <mergeCell ref="T116:T119"/>
    <mergeCell ref="U118:U119"/>
    <mergeCell ref="AD107:AD119"/>
    <mergeCell ref="P107:P119"/>
    <mergeCell ref="Q107:Q111"/>
    <mergeCell ref="R107:R119"/>
    <mergeCell ref="S107:S119"/>
    <mergeCell ref="T107:T111"/>
    <mergeCell ref="X107:X119"/>
    <mergeCell ref="AQ107:AQ119"/>
    <mergeCell ref="U108:U109"/>
    <mergeCell ref="Q112:Q115"/>
    <mergeCell ref="T112:T115"/>
    <mergeCell ref="AK107:AK119"/>
    <mergeCell ref="AL107:AL119"/>
    <mergeCell ref="AM107:AM119"/>
    <mergeCell ref="AN107:AN119"/>
    <mergeCell ref="AO107:AO119"/>
    <mergeCell ref="AP107:AP119"/>
    <mergeCell ref="AE107:AE119"/>
    <mergeCell ref="AF107:AF119"/>
    <mergeCell ref="AG107:AG119"/>
    <mergeCell ref="AH107:AH119"/>
    <mergeCell ref="AI107:AI119"/>
    <mergeCell ref="AJ107:AJ119"/>
    <mergeCell ref="Y107:Y119"/>
    <mergeCell ref="J121:J125"/>
    <mergeCell ref="K121:K125"/>
    <mergeCell ref="L121:L125"/>
    <mergeCell ref="M121:M125"/>
    <mergeCell ref="N121:N130"/>
    <mergeCell ref="Z121:Z130"/>
    <mergeCell ref="AA121:AA130"/>
    <mergeCell ref="AB121:AB130"/>
    <mergeCell ref="AC121:AC130"/>
    <mergeCell ref="O121:O130"/>
    <mergeCell ref="P121:P130"/>
    <mergeCell ref="Q121:Q125"/>
    <mergeCell ref="R121:R130"/>
    <mergeCell ref="S121:S130"/>
    <mergeCell ref="T121:T125"/>
    <mergeCell ref="AP121:AP130"/>
    <mergeCell ref="AQ121:AQ130"/>
    <mergeCell ref="U124:U125"/>
    <mergeCell ref="J126:J130"/>
    <mergeCell ref="K126:K130"/>
    <mergeCell ref="L126:L130"/>
    <mergeCell ref="M126:M130"/>
    <mergeCell ref="Q126:Q130"/>
    <mergeCell ref="T126:T130"/>
    <mergeCell ref="U126:U127"/>
    <mergeCell ref="AJ121:AJ130"/>
    <mergeCell ref="AK121:AK130"/>
    <mergeCell ref="AL121:AL130"/>
    <mergeCell ref="AM121:AM130"/>
    <mergeCell ref="AN121:AN130"/>
    <mergeCell ref="AO121:AO130"/>
    <mergeCell ref="AD121:AD130"/>
    <mergeCell ref="AE121:AE130"/>
    <mergeCell ref="AF121:AF130"/>
    <mergeCell ref="AG121:AG130"/>
    <mergeCell ref="AH121:AH130"/>
    <mergeCell ref="AI121:AI130"/>
    <mergeCell ref="X121:X130"/>
    <mergeCell ref="Y121:Y130"/>
    <mergeCell ref="J131:J146"/>
    <mergeCell ref="K131:K146"/>
    <mergeCell ref="L131:L146"/>
    <mergeCell ref="M131:M146"/>
    <mergeCell ref="N131:N154"/>
    <mergeCell ref="O131:O154"/>
    <mergeCell ref="J147:J154"/>
    <mergeCell ref="K147:K154"/>
    <mergeCell ref="L147:L154"/>
    <mergeCell ref="M147:M154"/>
    <mergeCell ref="AB131:AB154"/>
    <mergeCell ref="AC131:AC154"/>
    <mergeCell ref="P131:P154"/>
    <mergeCell ref="Q131:Q146"/>
    <mergeCell ref="R131:R154"/>
    <mergeCell ref="S131:S154"/>
    <mergeCell ref="T131:T146"/>
    <mergeCell ref="U131:U134"/>
    <mergeCell ref="Q147:Q154"/>
    <mergeCell ref="T147:T154"/>
    <mergeCell ref="U149:U150"/>
    <mergeCell ref="U151:U152"/>
    <mergeCell ref="AP131:AP154"/>
    <mergeCell ref="AQ131:AQ154"/>
    <mergeCell ref="U135:U137"/>
    <mergeCell ref="V136:V137"/>
    <mergeCell ref="W136:W137"/>
    <mergeCell ref="U138:U140"/>
    <mergeCell ref="U141:U142"/>
    <mergeCell ref="U143:U144"/>
    <mergeCell ref="U145:U146"/>
    <mergeCell ref="U147:U148"/>
    <mergeCell ref="AJ131:AJ154"/>
    <mergeCell ref="AK131:AK154"/>
    <mergeCell ref="AL131:AL154"/>
    <mergeCell ref="AM131:AM154"/>
    <mergeCell ref="AN131:AN154"/>
    <mergeCell ref="AO131:AO154"/>
    <mergeCell ref="AD131:AD154"/>
    <mergeCell ref="AE131:AE154"/>
    <mergeCell ref="AF131:AF154"/>
    <mergeCell ref="AG131:AG154"/>
    <mergeCell ref="AH131:AH154"/>
    <mergeCell ref="AI131:AI154"/>
    <mergeCell ref="X131:X154"/>
    <mergeCell ref="Y131:Y154"/>
    <mergeCell ref="J155:J178"/>
    <mergeCell ref="K155:K178"/>
    <mergeCell ref="L155:L178"/>
    <mergeCell ref="M155:M178"/>
    <mergeCell ref="O155:O178"/>
    <mergeCell ref="P155:P178"/>
    <mergeCell ref="Q155:Q178"/>
    <mergeCell ref="R155:R178"/>
    <mergeCell ref="S155:S178"/>
    <mergeCell ref="T155:T165"/>
    <mergeCell ref="U155:U157"/>
    <mergeCell ref="X155:X178"/>
    <mergeCell ref="Y155:Y178"/>
    <mergeCell ref="Z155:Z178"/>
    <mergeCell ref="AA155:AA178"/>
    <mergeCell ref="T166:T171"/>
    <mergeCell ref="T172:T178"/>
    <mergeCell ref="U153:U154"/>
    <mergeCell ref="Z131:Z154"/>
    <mergeCell ref="AA131:AA154"/>
    <mergeCell ref="AN155:AN178"/>
    <mergeCell ref="AO155:AO178"/>
    <mergeCell ref="AP155:AP178"/>
    <mergeCell ref="AQ155:AQ178"/>
    <mergeCell ref="U158:U161"/>
    <mergeCell ref="U163:U165"/>
    <mergeCell ref="U166:U168"/>
    <mergeCell ref="U169:U171"/>
    <mergeCell ref="U173:U175"/>
    <mergeCell ref="U176:U178"/>
    <mergeCell ref="AH155:AH178"/>
    <mergeCell ref="AI155:AI178"/>
    <mergeCell ref="AJ155:AJ178"/>
    <mergeCell ref="AK155:AK178"/>
    <mergeCell ref="AL155:AL178"/>
    <mergeCell ref="AM155:AM178"/>
    <mergeCell ref="AB155:AB178"/>
    <mergeCell ref="AC155:AC178"/>
    <mergeCell ref="AD155:AD178"/>
    <mergeCell ref="AE155:AE178"/>
    <mergeCell ref="AF155:AF178"/>
    <mergeCell ref="AG155:AG178"/>
    <mergeCell ref="U180:U181"/>
    <mergeCell ref="X180:X188"/>
    <mergeCell ref="Y180:Y188"/>
    <mergeCell ref="Z180:Z188"/>
    <mergeCell ref="T184:T188"/>
    <mergeCell ref="U184:U185"/>
    <mergeCell ref="V179:X179"/>
    <mergeCell ref="J180:J183"/>
    <mergeCell ref="K180:K183"/>
    <mergeCell ref="L180:L183"/>
    <mergeCell ref="M180:M183"/>
    <mergeCell ref="N180:N188"/>
    <mergeCell ref="O180:O188"/>
    <mergeCell ref="P180:P188"/>
    <mergeCell ref="Q180:Q183"/>
    <mergeCell ref="R180:R188"/>
    <mergeCell ref="AM180:AM188"/>
    <mergeCell ref="AN180:AN188"/>
    <mergeCell ref="AO180:AO188"/>
    <mergeCell ref="AP180:AP188"/>
    <mergeCell ref="AQ180:AQ188"/>
    <mergeCell ref="J184:J188"/>
    <mergeCell ref="K184:K188"/>
    <mergeCell ref="L184:L188"/>
    <mergeCell ref="M184:M188"/>
    <mergeCell ref="Q184:Q188"/>
    <mergeCell ref="AG180:AG188"/>
    <mergeCell ref="AH180:AH188"/>
    <mergeCell ref="AI180:AI188"/>
    <mergeCell ref="AJ180:AJ188"/>
    <mergeCell ref="AK180:AK188"/>
    <mergeCell ref="AL180:AL188"/>
    <mergeCell ref="AA180:AA188"/>
    <mergeCell ref="AB180:AB188"/>
    <mergeCell ref="AC180:AC188"/>
    <mergeCell ref="AD180:AD188"/>
    <mergeCell ref="AE180:AE188"/>
    <mergeCell ref="AF180:AF188"/>
    <mergeCell ref="S180:S188"/>
    <mergeCell ref="T180:T183"/>
    <mergeCell ref="AD190:AD200"/>
    <mergeCell ref="P190:P200"/>
    <mergeCell ref="Q190:Q195"/>
    <mergeCell ref="R190:R200"/>
    <mergeCell ref="S190:S200"/>
    <mergeCell ref="T190:T195"/>
    <mergeCell ref="X190:X200"/>
    <mergeCell ref="J190:J195"/>
    <mergeCell ref="K190:K195"/>
    <mergeCell ref="L190:L195"/>
    <mergeCell ref="M190:M195"/>
    <mergeCell ref="N190:N200"/>
    <mergeCell ref="O190:O200"/>
    <mergeCell ref="AQ190:AQ200"/>
    <mergeCell ref="J196:J200"/>
    <mergeCell ref="K196:K200"/>
    <mergeCell ref="L196:L200"/>
    <mergeCell ref="M196:M200"/>
    <mergeCell ref="Q196:Q200"/>
    <mergeCell ref="T196:T200"/>
    <mergeCell ref="AK190:AK200"/>
    <mergeCell ref="AL190:AL200"/>
    <mergeCell ref="AM190:AM200"/>
    <mergeCell ref="AN190:AN200"/>
    <mergeCell ref="AO190:AO200"/>
    <mergeCell ref="AP190:AP200"/>
    <mergeCell ref="AE190:AE200"/>
    <mergeCell ref="AF190:AF200"/>
    <mergeCell ref="AG190:AG200"/>
    <mergeCell ref="AH190:AH200"/>
    <mergeCell ref="AI190:AI200"/>
    <mergeCell ref="AJ190:AJ200"/>
    <mergeCell ref="Y190:Y200"/>
    <mergeCell ref="Z190:Z200"/>
    <mergeCell ref="AA190:AA200"/>
    <mergeCell ref="AB190:AB200"/>
    <mergeCell ref="AC190:AC200"/>
    <mergeCell ref="J202:J206"/>
    <mergeCell ref="K202:K206"/>
    <mergeCell ref="L202:L206"/>
    <mergeCell ref="M202:M206"/>
    <mergeCell ref="O202:O216"/>
    <mergeCell ref="P202:P216"/>
    <mergeCell ref="J207:J208"/>
    <mergeCell ref="K207:K208"/>
    <mergeCell ref="L207:L208"/>
    <mergeCell ref="M207:M208"/>
    <mergeCell ref="J209:J216"/>
    <mergeCell ref="K209:K216"/>
    <mergeCell ref="L209:L216"/>
    <mergeCell ref="M209:M216"/>
    <mergeCell ref="AO202:AO216"/>
    <mergeCell ref="AP202:AP216"/>
    <mergeCell ref="AQ202:AQ216"/>
    <mergeCell ref="AF202:AF216"/>
    <mergeCell ref="AG202:AG216"/>
    <mergeCell ref="AH202:AH216"/>
    <mergeCell ref="AI202:AI216"/>
    <mergeCell ref="AJ202:AJ216"/>
    <mergeCell ref="AK202:AK216"/>
    <mergeCell ref="AL202:AL216"/>
    <mergeCell ref="AM202:AM216"/>
    <mergeCell ref="AN202:AN216"/>
    <mergeCell ref="Z202:Z216"/>
    <mergeCell ref="AA202:AA216"/>
    <mergeCell ref="AB202:AB216"/>
    <mergeCell ref="AC202:AC216"/>
    <mergeCell ref="AD202:AD216"/>
    <mergeCell ref="AE202:AE216"/>
    <mergeCell ref="Q202:Q206"/>
    <mergeCell ref="R202:R216"/>
    <mergeCell ref="S202:S216"/>
    <mergeCell ref="T202:T206"/>
    <mergeCell ref="X202:X216"/>
    <mergeCell ref="Y202:Y216"/>
    <mergeCell ref="U203:U205"/>
    <mergeCell ref="Q207:Q208"/>
    <mergeCell ref="T207:T216"/>
    <mergeCell ref="U207:U208"/>
    <mergeCell ref="Q209:Q216"/>
    <mergeCell ref="U210:U211"/>
    <mergeCell ref="J218:J224"/>
    <mergeCell ref="K218:K224"/>
    <mergeCell ref="L218:L224"/>
    <mergeCell ref="M218:M224"/>
    <mergeCell ref="N218:N248"/>
    <mergeCell ref="O218:O248"/>
    <mergeCell ref="K234:K240"/>
    <mergeCell ref="L234:L240"/>
    <mergeCell ref="M234:M240"/>
    <mergeCell ref="J241:J248"/>
    <mergeCell ref="K241:K248"/>
    <mergeCell ref="L241:L248"/>
    <mergeCell ref="M241:M248"/>
    <mergeCell ref="AA218:AA248"/>
    <mergeCell ref="AB218:AB248"/>
    <mergeCell ref="AC218:AC248"/>
    <mergeCell ref="AD218:AD248"/>
    <mergeCell ref="P218:P248"/>
    <mergeCell ref="Q218:Q224"/>
    <mergeCell ref="R218:R248"/>
    <mergeCell ref="S218:S248"/>
    <mergeCell ref="T218:T224"/>
    <mergeCell ref="X218:X248"/>
    <mergeCell ref="Q234:Q240"/>
    <mergeCell ref="T234:T240"/>
    <mergeCell ref="U237:U238"/>
    <mergeCell ref="Q241:Q248"/>
    <mergeCell ref="T241:T248"/>
    <mergeCell ref="AQ218:AQ248"/>
    <mergeCell ref="U223:U224"/>
    <mergeCell ref="J225:J233"/>
    <mergeCell ref="K225:K233"/>
    <mergeCell ref="L225:L233"/>
    <mergeCell ref="M225:M233"/>
    <mergeCell ref="Q225:Q233"/>
    <mergeCell ref="T225:T233"/>
    <mergeCell ref="U227:U228"/>
    <mergeCell ref="J234:J240"/>
    <mergeCell ref="AK218:AK248"/>
    <mergeCell ref="AL218:AL248"/>
    <mergeCell ref="AM218:AM248"/>
    <mergeCell ref="AN218:AN248"/>
    <mergeCell ref="AO218:AO248"/>
    <mergeCell ref="AP218:AP248"/>
    <mergeCell ref="AE218:AE248"/>
    <mergeCell ref="AF218:AF248"/>
    <mergeCell ref="AG218:AG248"/>
    <mergeCell ref="AH218:AH248"/>
    <mergeCell ref="AI218:AI248"/>
    <mergeCell ref="AJ218:AJ248"/>
    <mergeCell ref="Y218:Y248"/>
    <mergeCell ref="Z218:Z248"/>
    <mergeCell ref="J250:J256"/>
    <mergeCell ref="K250:K256"/>
    <mergeCell ref="L250:L256"/>
    <mergeCell ref="M250:M256"/>
    <mergeCell ref="N250:N257"/>
    <mergeCell ref="Y250:Y257"/>
    <mergeCell ref="Z250:Z257"/>
    <mergeCell ref="AA250:AA257"/>
    <mergeCell ref="AB250:AB257"/>
    <mergeCell ref="O250:O257"/>
    <mergeCell ref="P250:P257"/>
    <mergeCell ref="Q250:Q256"/>
    <mergeCell ref="R250:R257"/>
    <mergeCell ref="S250:S257"/>
    <mergeCell ref="T250:T256"/>
    <mergeCell ref="AO250:AO257"/>
    <mergeCell ref="AP250:AP257"/>
    <mergeCell ref="AQ250:AQ257"/>
    <mergeCell ref="U252:U253"/>
    <mergeCell ref="U255:U256"/>
    <mergeCell ref="J259:J273"/>
    <mergeCell ref="K259:K273"/>
    <mergeCell ref="L259:L273"/>
    <mergeCell ref="M259:M273"/>
    <mergeCell ref="N259:N273"/>
    <mergeCell ref="AI250:AI257"/>
    <mergeCell ref="AJ250:AJ257"/>
    <mergeCell ref="AK250:AK257"/>
    <mergeCell ref="AL250:AL257"/>
    <mergeCell ref="AM250:AM257"/>
    <mergeCell ref="AN250:AN257"/>
    <mergeCell ref="AC250:AC257"/>
    <mergeCell ref="AD250:AD257"/>
    <mergeCell ref="AE250:AE257"/>
    <mergeCell ref="AF250:AF257"/>
    <mergeCell ref="AG250:AG257"/>
    <mergeCell ref="AH250:AH257"/>
    <mergeCell ref="U250:U251"/>
    <mergeCell ref="X250:X257"/>
    <mergeCell ref="AG259:AG273"/>
    <mergeCell ref="AH259:AH273"/>
    <mergeCell ref="U259:U262"/>
    <mergeCell ref="X259:X273"/>
    <mergeCell ref="Y259:Y273"/>
    <mergeCell ref="Z259:Z273"/>
    <mergeCell ref="AA259:AA273"/>
    <mergeCell ref="AB259:AB273"/>
    <mergeCell ref="O259:O273"/>
    <mergeCell ref="P259:P273"/>
    <mergeCell ref="Q259:Q273"/>
    <mergeCell ref="R259:R273"/>
    <mergeCell ref="S259:S273"/>
    <mergeCell ref="T259:T264"/>
    <mergeCell ref="J274:J279"/>
    <mergeCell ref="K274:K279"/>
    <mergeCell ref="L274:L279"/>
    <mergeCell ref="M274:M279"/>
    <mergeCell ref="N274:N285"/>
    <mergeCell ref="O274:O285"/>
    <mergeCell ref="AO259:AO273"/>
    <mergeCell ref="AP259:AP273"/>
    <mergeCell ref="AQ259:AQ273"/>
    <mergeCell ref="U263:U264"/>
    <mergeCell ref="T265:T271"/>
    <mergeCell ref="U268:U271"/>
    <mergeCell ref="T272:T273"/>
    <mergeCell ref="U272:U273"/>
    <mergeCell ref="AI259:AI273"/>
    <mergeCell ref="AJ259:AJ273"/>
    <mergeCell ref="AK259:AK273"/>
    <mergeCell ref="AL259:AL273"/>
    <mergeCell ref="AM259:AM273"/>
    <mergeCell ref="AN259:AN273"/>
    <mergeCell ref="AC259:AC273"/>
    <mergeCell ref="AD259:AD273"/>
    <mergeCell ref="AE259:AE273"/>
    <mergeCell ref="AF259:AF273"/>
    <mergeCell ref="AA274:AA285"/>
    <mergeCell ref="AB274:AB285"/>
    <mergeCell ref="AC274:AC285"/>
    <mergeCell ref="AD274:AD285"/>
    <mergeCell ref="P274:P285"/>
    <mergeCell ref="Q274:Q279"/>
    <mergeCell ref="R274:R285"/>
    <mergeCell ref="S274:S285"/>
    <mergeCell ref="T274:T279"/>
    <mergeCell ref="X274:X285"/>
    <mergeCell ref="AQ274:AQ285"/>
    <mergeCell ref="U275:U276"/>
    <mergeCell ref="U277:U278"/>
    <mergeCell ref="J280:J285"/>
    <mergeCell ref="K280:K285"/>
    <mergeCell ref="L280:L285"/>
    <mergeCell ref="M280:M285"/>
    <mergeCell ref="Q280:Q285"/>
    <mergeCell ref="T280:T285"/>
    <mergeCell ref="U282:U283"/>
    <mergeCell ref="AK274:AK285"/>
    <mergeCell ref="AL274:AL285"/>
    <mergeCell ref="AM274:AM285"/>
    <mergeCell ref="AN274:AN285"/>
    <mergeCell ref="AO274:AO285"/>
    <mergeCell ref="AP274:AP285"/>
    <mergeCell ref="AE274:AE285"/>
    <mergeCell ref="AF274:AF285"/>
    <mergeCell ref="AG274:AG285"/>
    <mergeCell ref="AH274:AH285"/>
    <mergeCell ref="AI274:AI285"/>
    <mergeCell ref="AJ274:AJ285"/>
    <mergeCell ref="Y274:Y285"/>
    <mergeCell ref="Z274:Z285"/>
    <mergeCell ref="D287:F299"/>
    <mergeCell ref="G288:I289"/>
    <mergeCell ref="J288:J289"/>
    <mergeCell ref="K288:K289"/>
    <mergeCell ref="L288:L289"/>
    <mergeCell ref="M288:M289"/>
    <mergeCell ref="G296:I299"/>
    <mergeCell ref="J296:J299"/>
    <mergeCell ref="K296:K299"/>
    <mergeCell ref="L296:L299"/>
    <mergeCell ref="G291:I294"/>
    <mergeCell ref="J291:J294"/>
    <mergeCell ref="K291:K294"/>
    <mergeCell ref="L291:L294"/>
    <mergeCell ref="M291:M294"/>
    <mergeCell ref="M296:M299"/>
    <mergeCell ref="N291:N294"/>
    <mergeCell ref="Q291:Q294"/>
    <mergeCell ref="AI288:AI299"/>
    <mergeCell ref="AJ288:AJ299"/>
    <mergeCell ref="AC288:AC299"/>
    <mergeCell ref="AD288:AD299"/>
    <mergeCell ref="AE288:AE299"/>
    <mergeCell ref="AF288:AF299"/>
    <mergeCell ref="AG288:AG299"/>
    <mergeCell ref="AH288:AH299"/>
    <mergeCell ref="T288:T289"/>
    <mergeCell ref="X288:X289"/>
    <mergeCell ref="Y288:Y299"/>
    <mergeCell ref="Z288:Z299"/>
    <mergeCell ref="AA288:AA299"/>
    <mergeCell ref="AB288:AB299"/>
    <mergeCell ref="T291:T294"/>
    <mergeCell ref="U291:U294"/>
    <mergeCell ref="N288:N289"/>
    <mergeCell ref="N296:N299"/>
    <mergeCell ref="Q296:Q299"/>
    <mergeCell ref="T296:T299"/>
    <mergeCell ref="U296:U297"/>
    <mergeCell ref="U298:U299"/>
    <mergeCell ref="AO288:AO299"/>
    <mergeCell ref="AP288:AP299"/>
    <mergeCell ref="AQ288:AQ299"/>
    <mergeCell ref="AK288:AK299"/>
    <mergeCell ref="AL288:AL299"/>
    <mergeCell ref="AM288:AM299"/>
    <mergeCell ref="AN288:AN299"/>
    <mergeCell ref="O288:O299"/>
    <mergeCell ref="P288:P299"/>
    <mergeCell ref="Q288:Q289"/>
    <mergeCell ref="R288:R299"/>
    <mergeCell ref="S288:S299"/>
    <mergeCell ref="Z302:Z317"/>
    <mergeCell ref="AA302:AA317"/>
    <mergeCell ref="AB302:AB317"/>
    <mergeCell ref="AC302:AC317"/>
    <mergeCell ref="AD302:AD317"/>
    <mergeCell ref="AE302:AE317"/>
    <mergeCell ref="N302:N317"/>
    <mergeCell ref="O302:O317"/>
    <mergeCell ref="P302:P317"/>
    <mergeCell ref="R302:R317"/>
    <mergeCell ref="S302:S317"/>
    <mergeCell ref="Y302:Y317"/>
    <mergeCell ref="U303:U315"/>
    <mergeCell ref="AL302:AL317"/>
    <mergeCell ref="AM302:AM317"/>
    <mergeCell ref="AN302:AN317"/>
    <mergeCell ref="AO302:AO317"/>
    <mergeCell ref="AP302:AP317"/>
    <mergeCell ref="AQ302:AQ317"/>
    <mergeCell ref="AF302:AF317"/>
    <mergeCell ref="AG302:AG317"/>
    <mergeCell ref="AH302:AH317"/>
    <mergeCell ref="AI302:AI317"/>
    <mergeCell ref="AJ302:AJ317"/>
    <mergeCell ref="AK302:AK317"/>
    <mergeCell ref="J316:J317"/>
    <mergeCell ref="K316:K317"/>
    <mergeCell ref="L316:L317"/>
    <mergeCell ref="M316:M317"/>
    <mergeCell ref="Q316:Q317"/>
    <mergeCell ref="T316:T317"/>
    <mergeCell ref="J303:J315"/>
    <mergeCell ref="K303:K315"/>
    <mergeCell ref="L303:L315"/>
    <mergeCell ref="M303:M315"/>
    <mergeCell ref="Q303:Q315"/>
    <mergeCell ref="T303:T315"/>
    <mergeCell ref="Y319:Y321"/>
    <mergeCell ref="Z319:Z321"/>
    <mergeCell ref="AA319:AA321"/>
    <mergeCell ref="AB319:AB321"/>
    <mergeCell ref="AA318:AM318"/>
    <mergeCell ref="J319:J321"/>
    <mergeCell ref="K319:K321"/>
    <mergeCell ref="L319:L321"/>
    <mergeCell ref="M319:M321"/>
    <mergeCell ref="N319:N321"/>
    <mergeCell ref="O319:O321"/>
    <mergeCell ref="P319:P321"/>
    <mergeCell ref="Q319:Q321"/>
    <mergeCell ref="R319:R321"/>
    <mergeCell ref="AO319:AO321"/>
    <mergeCell ref="AP319:AP321"/>
    <mergeCell ref="AQ319:AQ321"/>
    <mergeCell ref="AA322:AM322"/>
    <mergeCell ref="J323:J325"/>
    <mergeCell ref="K323:K325"/>
    <mergeCell ref="L323:L325"/>
    <mergeCell ref="M323:M325"/>
    <mergeCell ref="N323:N327"/>
    <mergeCell ref="O323:O327"/>
    <mergeCell ref="AI319:AI321"/>
    <mergeCell ref="AJ319:AJ321"/>
    <mergeCell ref="AK319:AK321"/>
    <mergeCell ref="AL319:AL321"/>
    <mergeCell ref="AM319:AM321"/>
    <mergeCell ref="AN319:AN321"/>
    <mergeCell ref="AC319:AC321"/>
    <mergeCell ref="AD319:AD321"/>
    <mergeCell ref="AE319:AE321"/>
    <mergeCell ref="AF319:AF321"/>
    <mergeCell ref="AG319:AG321"/>
    <mergeCell ref="AH319:AH321"/>
    <mergeCell ref="S319:S321"/>
    <mergeCell ref="X319:X321"/>
    <mergeCell ref="AO323:AO327"/>
    <mergeCell ref="AP323:AP327"/>
    <mergeCell ref="AQ323:AQ327"/>
    <mergeCell ref="AF323:AF327"/>
    <mergeCell ref="AG323:AG327"/>
    <mergeCell ref="AH323:AH327"/>
    <mergeCell ref="AI323:AI327"/>
    <mergeCell ref="AJ323:AJ327"/>
    <mergeCell ref="AK323:AK327"/>
    <mergeCell ref="J326:J327"/>
    <mergeCell ref="K326:K327"/>
    <mergeCell ref="L326:L327"/>
    <mergeCell ref="M326:M327"/>
    <mergeCell ref="Q326:Q327"/>
    <mergeCell ref="T326:T327"/>
    <mergeCell ref="AL323:AL327"/>
    <mergeCell ref="AM323:AM327"/>
    <mergeCell ref="AN323:AN327"/>
    <mergeCell ref="Z323:Z327"/>
    <mergeCell ref="AA323:AA327"/>
    <mergeCell ref="AB323:AB327"/>
    <mergeCell ref="AC323:AC327"/>
    <mergeCell ref="AD323:AD327"/>
    <mergeCell ref="AE323:AE327"/>
    <mergeCell ref="P323:P327"/>
    <mergeCell ref="Q323:Q325"/>
    <mergeCell ref="R323:R327"/>
    <mergeCell ref="S323:S327"/>
    <mergeCell ref="T323:T325"/>
    <mergeCell ref="Y323:Y327"/>
    <mergeCell ref="P328:P335"/>
    <mergeCell ref="Q328:Q335"/>
    <mergeCell ref="R328:R335"/>
    <mergeCell ref="S328:S335"/>
    <mergeCell ref="T328:T334"/>
    <mergeCell ref="U328:U329"/>
    <mergeCell ref="J328:J335"/>
    <mergeCell ref="K328:K335"/>
    <mergeCell ref="L328:L335"/>
    <mergeCell ref="M328:M335"/>
    <mergeCell ref="N328:N335"/>
    <mergeCell ref="O328:O335"/>
    <mergeCell ref="AG328:AG335"/>
    <mergeCell ref="AH328:AH335"/>
    <mergeCell ref="AI328:AI335"/>
    <mergeCell ref="AJ328:AJ335"/>
    <mergeCell ref="Y328:Y335"/>
    <mergeCell ref="Z328:Z335"/>
    <mergeCell ref="AA328:AA335"/>
    <mergeCell ref="AB328:AB335"/>
    <mergeCell ref="AC328:AC335"/>
    <mergeCell ref="AD328:AD335"/>
    <mergeCell ref="R337:R346"/>
    <mergeCell ref="S337:S346"/>
    <mergeCell ref="T337:T340"/>
    <mergeCell ref="Y337:Y346"/>
    <mergeCell ref="Z337:Z346"/>
    <mergeCell ref="AA337:AA346"/>
    <mergeCell ref="AQ328:AQ335"/>
    <mergeCell ref="U331:U332"/>
    <mergeCell ref="J337:J345"/>
    <mergeCell ref="K337:K345"/>
    <mergeCell ref="L337:L345"/>
    <mergeCell ref="M337:M345"/>
    <mergeCell ref="N337:N346"/>
    <mergeCell ref="O337:O346"/>
    <mergeCell ref="P337:P346"/>
    <mergeCell ref="Q337:Q345"/>
    <mergeCell ref="AK328:AK335"/>
    <mergeCell ref="AL328:AL335"/>
    <mergeCell ref="AM328:AM335"/>
    <mergeCell ref="AN328:AN335"/>
    <mergeCell ref="AO328:AO335"/>
    <mergeCell ref="AP328:AP335"/>
    <mergeCell ref="AE328:AE335"/>
    <mergeCell ref="AF328:AF335"/>
    <mergeCell ref="AN337:AN346"/>
    <mergeCell ref="AO337:AO346"/>
    <mergeCell ref="AP337:AP346"/>
    <mergeCell ref="AQ337:AQ346"/>
    <mergeCell ref="U339:U340"/>
    <mergeCell ref="T341:T342"/>
    <mergeCell ref="U341:U342"/>
    <mergeCell ref="T343:T345"/>
    <mergeCell ref="AH337:AH346"/>
    <mergeCell ref="AI337:AI346"/>
    <mergeCell ref="AJ337:AJ346"/>
    <mergeCell ref="AK337:AK346"/>
    <mergeCell ref="AL337:AL346"/>
    <mergeCell ref="AM337:AM346"/>
    <mergeCell ref="AB337:AB346"/>
    <mergeCell ref="AC337:AC346"/>
    <mergeCell ref="AD337:AD346"/>
    <mergeCell ref="AE337:AE346"/>
    <mergeCell ref="AF337:AF346"/>
    <mergeCell ref="AG337:AG346"/>
    <mergeCell ref="P348:P352"/>
    <mergeCell ref="Q348:Q351"/>
    <mergeCell ref="R348:R352"/>
    <mergeCell ref="S348:S352"/>
    <mergeCell ref="T348:T351"/>
    <mergeCell ref="Y348:Y352"/>
    <mergeCell ref="U350:U351"/>
    <mergeCell ref="J348:J350"/>
    <mergeCell ref="K348:K350"/>
    <mergeCell ref="L348:L350"/>
    <mergeCell ref="M348:M350"/>
    <mergeCell ref="N348:N352"/>
    <mergeCell ref="O348:O352"/>
    <mergeCell ref="Z348:Z352"/>
    <mergeCell ref="AA348:AA352"/>
    <mergeCell ref="AB348:AB352"/>
    <mergeCell ref="AC348:AC352"/>
    <mergeCell ref="AD348:AD352"/>
    <mergeCell ref="AE348:AE352"/>
    <mergeCell ref="T356:T358"/>
    <mergeCell ref="T359:T360"/>
    <mergeCell ref="AL355:AL361"/>
    <mergeCell ref="AL348:AL352"/>
    <mergeCell ref="AM348:AM352"/>
    <mergeCell ref="AN348:AN352"/>
    <mergeCell ref="AO348:AO352"/>
    <mergeCell ref="AP348:AP352"/>
    <mergeCell ref="AQ348:AQ352"/>
    <mergeCell ref="AF348:AF352"/>
    <mergeCell ref="AG348:AG352"/>
    <mergeCell ref="AH348:AH352"/>
    <mergeCell ref="AI348:AI352"/>
    <mergeCell ref="AJ348:AJ352"/>
    <mergeCell ref="AK348:AK352"/>
    <mergeCell ref="AM355:AM361"/>
    <mergeCell ref="AN355:AN361"/>
    <mergeCell ref="AO355:AO361"/>
    <mergeCell ref="AP355:AP361"/>
    <mergeCell ref="AQ355:AQ361"/>
    <mergeCell ref="AF355:AF361"/>
    <mergeCell ref="AG355:AG361"/>
    <mergeCell ref="AH355:AH361"/>
    <mergeCell ref="AI355:AI361"/>
    <mergeCell ref="AJ355:AJ361"/>
    <mergeCell ref="AK355:AK361"/>
    <mergeCell ref="Z355:Z361"/>
    <mergeCell ref="AA355:AA361"/>
    <mergeCell ref="AB355:AB361"/>
    <mergeCell ref="AC355:AC361"/>
    <mergeCell ref="AD355:AD361"/>
    <mergeCell ref="AE355:AE361"/>
    <mergeCell ref="A362:Q362"/>
    <mergeCell ref="K364:Q364"/>
    <mergeCell ref="K366:M366"/>
    <mergeCell ref="R355:R361"/>
    <mergeCell ref="S355:S361"/>
    <mergeCell ref="Y355:Y361"/>
    <mergeCell ref="K367:M367"/>
    <mergeCell ref="J356:J360"/>
    <mergeCell ref="K356:K360"/>
    <mergeCell ref="L356:L360"/>
    <mergeCell ref="M356:M360"/>
    <mergeCell ref="Q356:Q360"/>
    <mergeCell ref="N355:N361"/>
    <mergeCell ref="O355:O361"/>
    <mergeCell ref="P355:P36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showGridLines="0" zoomScale="60" zoomScaleNormal="60" workbookViewId="0">
      <selection sqref="A1:AO4"/>
    </sheetView>
  </sheetViews>
  <sheetFormatPr baseColWidth="10" defaultColWidth="11.42578125" defaultRowHeight="15" x14ac:dyDescent="0.2"/>
  <cols>
    <col min="1" max="9" width="14" style="29" customWidth="1"/>
    <col min="10" max="10" width="14" style="129" customWidth="1"/>
    <col min="11" max="11" width="29" style="129" customWidth="1"/>
    <col min="12" max="12" width="19.42578125" style="129" customWidth="1"/>
    <col min="13" max="13" width="18.42578125" style="129" customWidth="1"/>
    <col min="14" max="14" width="39.42578125" style="129" customWidth="1"/>
    <col min="15" max="15" width="23.28515625" style="129" customWidth="1"/>
    <col min="16" max="16" width="27.28515625" style="129" customWidth="1"/>
    <col min="17" max="17" width="13.28515625" style="130" customWidth="1"/>
    <col min="18" max="18" width="26.28515625" style="129" customWidth="1"/>
    <col min="19" max="19" width="35.5703125" style="129" customWidth="1"/>
    <col min="20" max="20" width="36.5703125" style="129" customWidth="1"/>
    <col min="21" max="21" width="30.5703125" style="129" customWidth="1"/>
    <col min="22" max="22" width="28.42578125" style="29" customWidth="1"/>
    <col min="23" max="23" width="11.7109375" style="29" customWidth="1"/>
    <col min="24" max="24" width="34.7109375" style="29" bestFit="1" customWidth="1"/>
    <col min="25" max="26" width="11" style="29" bestFit="1" customWidth="1"/>
    <col min="27" max="27" width="9.5703125" style="29" bestFit="1" customWidth="1"/>
    <col min="28" max="28" width="8.7109375" style="29" bestFit="1" customWidth="1"/>
    <col min="29" max="29" width="9.5703125" style="29" customWidth="1"/>
    <col min="30" max="30" width="9" style="29" bestFit="1" customWidth="1"/>
    <col min="31" max="31" width="7.28515625" style="29" bestFit="1" customWidth="1"/>
    <col min="32" max="32" width="8.28515625" style="29" bestFit="1" customWidth="1"/>
    <col min="33" max="36" width="6.42578125" style="29" customWidth="1"/>
    <col min="37" max="37" width="8.7109375" style="29" bestFit="1" customWidth="1"/>
    <col min="38" max="39" width="9" style="29" bestFit="1" customWidth="1"/>
    <col min="40" max="40" width="13.5703125" style="29" customWidth="1"/>
    <col min="41" max="41" width="18.42578125" style="29" customWidth="1"/>
    <col min="42" max="42" width="18.85546875" style="29" customWidth="1"/>
    <col min="43" max="43" width="28" style="29" customWidth="1"/>
    <col min="44" max="44" width="22.5703125" style="2425" customWidth="1"/>
    <col min="45" max="50" width="11.42578125" style="2425"/>
    <col min="51" max="16384" width="11.42578125" style="29"/>
  </cols>
  <sheetData>
    <row r="1" spans="1:44" ht="21" customHeight="1" x14ac:dyDescent="0.2">
      <c r="A1" s="2485" t="s">
        <v>1751</v>
      </c>
      <c r="B1" s="2485"/>
      <c r="C1" s="2485"/>
      <c r="D1" s="2485"/>
      <c r="E1" s="2485"/>
      <c r="F1" s="2485"/>
      <c r="G1" s="2485"/>
      <c r="H1" s="2485"/>
      <c r="I1" s="2485"/>
      <c r="J1" s="2485"/>
      <c r="K1" s="2485"/>
      <c r="L1" s="2485"/>
      <c r="M1" s="2485"/>
      <c r="N1" s="2485"/>
      <c r="O1" s="2485"/>
      <c r="P1" s="2485"/>
      <c r="Q1" s="2485"/>
      <c r="R1" s="2485"/>
      <c r="S1" s="2485"/>
      <c r="T1" s="2485"/>
      <c r="U1" s="2485"/>
      <c r="V1" s="2485"/>
      <c r="W1" s="2485"/>
      <c r="X1" s="2485"/>
      <c r="Y1" s="2485"/>
      <c r="Z1" s="2485"/>
      <c r="AA1" s="2485"/>
      <c r="AB1" s="2485"/>
      <c r="AC1" s="2485"/>
      <c r="AD1" s="2485"/>
      <c r="AE1" s="2485"/>
      <c r="AF1" s="2485"/>
      <c r="AG1" s="2485"/>
      <c r="AH1" s="2485"/>
      <c r="AI1" s="2485"/>
      <c r="AJ1" s="2485"/>
      <c r="AK1" s="2485"/>
      <c r="AL1" s="2485"/>
      <c r="AM1" s="2485"/>
      <c r="AN1" s="2485"/>
      <c r="AO1" s="2485"/>
      <c r="AP1" s="28" t="s">
        <v>0</v>
      </c>
      <c r="AQ1" s="28" t="s">
        <v>1</v>
      </c>
    </row>
    <row r="2" spans="1:44" ht="23.25" customHeight="1" x14ac:dyDescent="0.2">
      <c r="A2" s="2485"/>
      <c r="B2" s="2485"/>
      <c r="C2" s="2485"/>
      <c r="D2" s="2485"/>
      <c r="E2" s="2485"/>
      <c r="F2" s="2485"/>
      <c r="G2" s="2485"/>
      <c r="H2" s="2485"/>
      <c r="I2" s="2485"/>
      <c r="J2" s="2485"/>
      <c r="K2" s="2485"/>
      <c r="L2" s="2485"/>
      <c r="M2" s="2485"/>
      <c r="N2" s="2485"/>
      <c r="O2" s="2485"/>
      <c r="P2" s="2485"/>
      <c r="Q2" s="2485"/>
      <c r="R2" s="2485"/>
      <c r="S2" s="2485"/>
      <c r="T2" s="2485"/>
      <c r="U2" s="2485"/>
      <c r="V2" s="2485"/>
      <c r="W2" s="2485"/>
      <c r="X2" s="2485"/>
      <c r="Y2" s="2485"/>
      <c r="Z2" s="2485"/>
      <c r="AA2" s="2485"/>
      <c r="AB2" s="2485"/>
      <c r="AC2" s="2485"/>
      <c r="AD2" s="2485"/>
      <c r="AE2" s="2485"/>
      <c r="AF2" s="2485"/>
      <c r="AG2" s="2485"/>
      <c r="AH2" s="2485"/>
      <c r="AI2" s="2485"/>
      <c r="AJ2" s="2485"/>
      <c r="AK2" s="2485"/>
      <c r="AL2" s="2485"/>
      <c r="AM2" s="2485"/>
      <c r="AN2" s="2485"/>
      <c r="AO2" s="2485"/>
      <c r="AP2" s="30" t="s">
        <v>2</v>
      </c>
      <c r="AQ2" s="31" t="s">
        <v>3</v>
      </c>
    </row>
    <row r="3" spans="1:44" ht="27.75" customHeight="1" x14ac:dyDescent="0.2">
      <c r="A3" s="2485"/>
      <c r="B3" s="2485"/>
      <c r="C3" s="2485"/>
      <c r="D3" s="2485"/>
      <c r="E3" s="2485"/>
      <c r="F3" s="2485"/>
      <c r="G3" s="2485"/>
      <c r="H3" s="2485"/>
      <c r="I3" s="2485"/>
      <c r="J3" s="2485"/>
      <c r="K3" s="2485"/>
      <c r="L3" s="2485"/>
      <c r="M3" s="2485"/>
      <c r="N3" s="2485"/>
      <c r="O3" s="2485"/>
      <c r="P3" s="2485"/>
      <c r="Q3" s="2485"/>
      <c r="R3" s="2485"/>
      <c r="S3" s="2485"/>
      <c r="T3" s="2485"/>
      <c r="U3" s="2485"/>
      <c r="V3" s="2485"/>
      <c r="W3" s="2485"/>
      <c r="X3" s="2485"/>
      <c r="Y3" s="2485"/>
      <c r="Z3" s="2485"/>
      <c r="AA3" s="2485"/>
      <c r="AB3" s="2485"/>
      <c r="AC3" s="2485"/>
      <c r="AD3" s="2485"/>
      <c r="AE3" s="2485"/>
      <c r="AF3" s="2485"/>
      <c r="AG3" s="2485"/>
      <c r="AH3" s="2485"/>
      <c r="AI3" s="2485"/>
      <c r="AJ3" s="2485"/>
      <c r="AK3" s="2485"/>
      <c r="AL3" s="2485"/>
      <c r="AM3" s="2485"/>
      <c r="AN3" s="2485"/>
      <c r="AO3" s="2485"/>
      <c r="AP3" s="28" t="s">
        <v>4</v>
      </c>
      <c r="AQ3" s="32" t="s">
        <v>5</v>
      </c>
    </row>
    <row r="4" spans="1:44" ht="23.25" customHeight="1" x14ac:dyDescent="0.2">
      <c r="A4" s="2486"/>
      <c r="B4" s="2486"/>
      <c r="C4" s="2486"/>
      <c r="D4" s="2486"/>
      <c r="E4" s="2486"/>
      <c r="F4" s="2486"/>
      <c r="G4" s="2486"/>
      <c r="H4" s="2486"/>
      <c r="I4" s="2486"/>
      <c r="J4" s="2486"/>
      <c r="K4" s="2486"/>
      <c r="L4" s="2486"/>
      <c r="M4" s="2486"/>
      <c r="N4" s="2486"/>
      <c r="O4" s="2486"/>
      <c r="P4" s="2486"/>
      <c r="Q4" s="2486"/>
      <c r="R4" s="2486"/>
      <c r="S4" s="2486"/>
      <c r="T4" s="2486"/>
      <c r="U4" s="2486"/>
      <c r="V4" s="2486"/>
      <c r="W4" s="2486"/>
      <c r="X4" s="2486"/>
      <c r="Y4" s="2486"/>
      <c r="Z4" s="2486"/>
      <c r="AA4" s="2486"/>
      <c r="AB4" s="2486"/>
      <c r="AC4" s="2486"/>
      <c r="AD4" s="2486"/>
      <c r="AE4" s="2486"/>
      <c r="AF4" s="2486"/>
      <c r="AG4" s="2486"/>
      <c r="AH4" s="2486"/>
      <c r="AI4" s="2486"/>
      <c r="AJ4" s="2486"/>
      <c r="AK4" s="2486"/>
      <c r="AL4" s="2486"/>
      <c r="AM4" s="2486"/>
      <c r="AN4" s="2486"/>
      <c r="AO4" s="2486"/>
      <c r="AP4" s="28" t="s">
        <v>6</v>
      </c>
      <c r="AQ4" s="33" t="s">
        <v>7</v>
      </c>
    </row>
    <row r="5" spans="1:44" ht="15.75" customHeight="1" x14ac:dyDescent="0.2">
      <c r="A5" s="2487" t="s">
        <v>8</v>
      </c>
      <c r="B5" s="2487"/>
      <c r="C5" s="2487"/>
      <c r="D5" s="2487"/>
      <c r="E5" s="2487"/>
      <c r="F5" s="2487"/>
      <c r="G5" s="2487"/>
      <c r="H5" s="2487"/>
      <c r="I5" s="2487"/>
      <c r="J5" s="2487"/>
      <c r="K5" s="2487"/>
      <c r="L5" s="2487"/>
      <c r="M5" s="2487"/>
      <c r="N5" s="2489" t="s">
        <v>9</v>
      </c>
      <c r="O5" s="2489"/>
      <c r="P5" s="2489"/>
      <c r="Q5" s="2489"/>
      <c r="R5" s="2489"/>
      <c r="S5" s="2489"/>
      <c r="T5" s="2489"/>
      <c r="U5" s="2489"/>
      <c r="V5" s="2489"/>
      <c r="W5" s="2489"/>
      <c r="X5" s="2489"/>
      <c r="Y5" s="2489"/>
      <c r="Z5" s="2489"/>
      <c r="AA5" s="2489"/>
      <c r="AB5" s="2489"/>
      <c r="AC5" s="2489"/>
      <c r="AD5" s="2489"/>
      <c r="AE5" s="2489"/>
      <c r="AF5" s="2489"/>
      <c r="AG5" s="2489"/>
      <c r="AH5" s="2489"/>
      <c r="AI5" s="2489"/>
      <c r="AJ5" s="2489"/>
      <c r="AK5" s="2489"/>
      <c r="AL5" s="2489"/>
      <c r="AM5" s="2489"/>
      <c r="AN5" s="2489"/>
      <c r="AO5" s="2489"/>
      <c r="AP5" s="2489"/>
      <c r="AQ5" s="2489"/>
    </row>
    <row r="6" spans="1:44" ht="25.5" customHeight="1" x14ac:dyDescent="0.2">
      <c r="A6" s="2488"/>
      <c r="B6" s="2488"/>
      <c r="C6" s="2488"/>
      <c r="D6" s="2488"/>
      <c r="E6" s="2488"/>
      <c r="F6" s="2488"/>
      <c r="G6" s="2488"/>
      <c r="H6" s="2488"/>
      <c r="I6" s="2488"/>
      <c r="J6" s="2488"/>
      <c r="K6" s="2488"/>
      <c r="L6" s="2488"/>
      <c r="M6" s="2488"/>
      <c r="N6" s="34"/>
      <c r="O6" s="35"/>
      <c r="P6" s="35"/>
      <c r="Q6" s="36"/>
      <c r="R6" s="35"/>
      <c r="S6" s="35"/>
      <c r="T6" s="35"/>
      <c r="U6" s="35"/>
      <c r="V6" s="37"/>
      <c r="W6" s="37"/>
      <c r="X6" s="37"/>
      <c r="Y6" s="2490" t="s">
        <v>10</v>
      </c>
      <c r="Z6" s="2488"/>
      <c r="AA6" s="2488"/>
      <c r="AB6" s="2488"/>
      <c r="AC6" s="2488"/>
      <c r="AD6" s="2488"/>
      <c r="AE6" s="2488"/>
      <c r="AF6" s="2488"/>
      <c r="AG6" s="2488"/>
      <c r="AH6" s="2488"/>
      <c r="AI6" s="2488"/>
      <c r="AJ6" s="2488"/>
      <c r="AK6" s="2488"/>
      <c r="AL6" s="2488"/>
      <c r="AM6" s="2491"/>
      <c r="AN6" s="1415"/>
      <c r="AO6" s="37"/>
      <c r="AP6" s="37"/>
      <c r="AQ6" s="38"/>
    </row>
    <row r="7" spans="1:44" ht="15.75" customHeight="1" x14ac:dyDescent="0.2">
      <c r="A7" s="2492" t="s">
        <v>11</v>
      </c>
      <c r="B7" s="2483" t="s">
        <v>12</v>
      </c>
      <c r="C7" s="2481"/>
      <c r="D7" s="2481" t="s">
        <v>11</v>
      </c>
      <c r="E7" s="2483" t="s">
        <v>13</v>
      </c>
      <c r="F7" s="2481"/>
      <c r="G7" s="2481" t="s">
        <v>11</v>
      </c>
      <c r="H7" s="2483" t="s">
        <v>14</v>
      </c>
      <c r="I7" s="2481"/>
      <c r="J7" s="2481" t="s">
        <v>11</v>
      </c>
      <c r="K7" s="2483" t="s">
        <v>15</v>
      </c>
      <c r="L7" s="2466" t="s">
        <v>16</v>
      </c>
      <c r="M7" s="2466" t="s">
        <v>17</v>
      </c>
      <c r="N7" s="2466" t="s">
        <v>18</v>
      </c>
      <c r="O7" s="2466" t="s">
        <v>19</v>
      </c>
      <c r="P7" s="2466" t="s">
        <v>9</v>
      </c>
      <c r="Q7" s="2477" t="s">
        <v>20</v>
      </c>
      <c r="R7" s="2479" t="s">
        <v>21</v>
      </c>
      <c r="S7" s="2466" t="s">
        <v>22</v>
      </c>
      <c r="T7" s="2466" t="s">
        <v>23</v>
      </c>
      <c r="U7" s="2466" t="s">
        <v>24</v>
      </c>
      <c r="V7" s="2466" t="s">
        <v>21</v>
      </c>
      <c r="W7" s="39"/>
      <c r="X7" s="2466" t="s">
        <v>25</v>
      </c>
      <c r="Y7" s="2462" t="s">
        <v>26</v>
      </c>
      <c r="Z7" s="2463"/>
      <c r="AA7" s="2464" t="s">
        <v>27</v>
      </c>
      <c r="AB7" s="2465"/>
      <c r="AC7" s="2465"/>
      <c r="AD7" s="2465"/>
      <c r="AE7" s="2468" t="s">
        <v>28</v>
      </c>
      <c r="AF7" s="2469"/>
      <c r="AG7" s="2469"/>
      <c r="AH7" s="2469"/>
      <c r="AI7" s="2469"/>
      <c r="AJ7" s="2469"/>
      <c r="AK7" s="2464" t="s">
        <v>29</v>
      </c>
      <c r="AL7" s="2465"/>
      <c r="AM7" s="2465"/>
      <c r="AN7" s="2494" t="s">
        <v>30</v>
      </c>
      <c r="AO7" s="2497" t="s">
        <v>31</v>
      </c>
      <c r="AP7" s="2497" t="s">
        <v>32</v>
      </c>
      <c r="AQ7" s="2500" t="s">
        <v>33</v>
      </c>
    </row>
    <row r="8" spans="1:44" ht="12.75" customHeight="1" x14ac:dyDescent="0.2">
      <c r="A8" s="2493"/>
      <c r="B8" s="2484"/>
      <c r="C8" s="2482"/>
      <c r="D8" s="2482"/>
      <c r="E8" s="2484"/>
      <c r="F8" s="2482"/>
      <c r="G8" s="2482"/>
      <c r="H8" s="2484"/>
      <c r="I8" s="2482"/>
      <c r="J8" s="2482"/>
      <c r="K8" s="2484"/>
      <c r="L8" s="2467"/>
      <c r="M8" s="2467"/>
      <c r="N8" s="2467"/>
      <c r="O8" s="2467"/>
      <c r="P8" s="2467"/>
      <c r="Q8" s="2478"/>
      <c r="R8" s="2480"/>
      <c r="S8" s="2467"/>
      <c r="T8" s="2467"/>
      <c r="U8" s="2467"/>
      <c r="V8" s="2467"/>
      <c r="W8" s="2502" t="s">
        <v>11</v>
      </c>
      <c r="X8" s="2467"/>
      <c r="Y8" s="2470" t="s">
        <v>34</v>
      </c>
      <c r="Z8" s="2503" t="s">
        <v>35</v>
      </c>
      <c r="AA8" s="2470" t="s">
        <v>36</v>
      </c>
      <c r="AB8" s="2470" t="s">
        <v>37</v>
      </c>
      <c r="AC8" s="2470" t="s">
        <v>38</v>
      </c>
      <c r="AD8" s="2470" t="s">
        <v>39</v>
      </c>
      <c r="AE8" s="2470" t="s">
        <v>40</v>
      </c>
      <c r="AF8" s="2470" t="s">
        <v>41</v>
      </c>
      <c r="AG8" s="2470" t="s">
        <v>42</v>
      </c>
      <c r="AH8" s="2470" t="s">
        <v>43</v>
      </c>
      <c r="AI8" s="2470" t="s">
        <v>44</v>
      </c>
      <c r="AJ8" s="2470" t="s">
        <v>45</v>
      </c>
      <c r="AK8" s="2470" t="s">
        <v>46</v>
      </c>
      <c r="AL8" s="2470" t="s">
        <v>47</v>
      </c>
      <c r="AM8" s="2470" t="s">
        <v>48</v>
      </c>
      <c r="AN8" s="2495"/>
      <c r="AO8" s="2498"/>
      <c r="AP8" s="2498"/>
      <c r="AQ8" s="2501"/>
    </row>
    <row r="9" spans="1:44" ht="15" customHeight="1" x14ac:dyDescent="0.2">
      <c r="A9" s="2493"/>
      <c r="B9" s="2484"/>
      <c r="C9" s="2482"/>
      <c r="D9" s="2482"/>
      <c r="E9" s="2484"/>
      <c r="F9" s="2482"/>
      <c r="G9" s="2482"/>
      <c r="H9" s="2484"/>
      <c r="I9" s="2482"/>
      <c r="J9" s="2482"/>
      <c r="K9" s="2484"/>
      <c r="L9" s="2467"/>
      <c r="M9" s="2467"/>
      <c r="N9" s="2467"/>
      <c r="O9" s="2467"/>
      <c r="P9" s="2467"/>
      <c r="Q9" s="2478"/>
      <c r="R9" s="2480"/>
      <c r="S9" s="2467"/>
      <c r="T9" s="2467"/>
      <c r="U9" s="2467"/>
      <c r="V9" s="2467"/>
      <c r="W9" s="2502"/>
      <c r="X9" s="2467"/>
      <c r="Y9" s="2471"/>
      <c r="Z9" s="2504"/>
      <c r="AA9" s="2471"/>
      <c r="AB9" s="2471"/>
      <c r="AC9" s="2471"/>
      <c r="AD9" s="2471"/>
      <c r="AE9" s="2471"/>
      <c r="AF9" s="2471"/>
      <c r="AG9" s="2471"/>
      <c r="AH9" s="2471"/>
      <c r="AI9" s="2471"/>
      <c r="AJ9" s="2471"/>
      <c r="AK9" s="2471"/>
      <c r="AL9" s="2471"/>
      <c r="AM9" s="2471"/>
      <c r="AN9" s="2495"/>
      <c r="AO9" s="2498"/>
      <c r="AP9" s="2498"/>
      <c r="AQ9" s="2501"/>
    </row>
    <row r="10" spans="1:44" ht="15" customHeight="1" x14ac:dyDescent="0.2">
      <c r="A10" s="2493"/>
      <c r="B10" s="2484"/>
      <c r="C10" s="2482"/>
      <c r="D10" s="2482"/>
      <c r="E10" s="2484"/>
      <c r="F10" s="2482"/>
      <c r="G10" s="2482"/>
      <c r="H10" s="2484"/>
      <c r="I10" s="2482"/>
      <c r="J10" s="2482"/>
      <c r="K10" s="2484"/>
      <c r="L10" s="2467"/>
      <c r="M10" s="2467"/>
      <c r="N10" s="2467"/>
      <c r="O10" s="2467"/>
      <c r="P10" s="2467"/>
      <c r="Q10" s="2478"/>
      <c r="R10" s="2480"/>
      <c r="S10" s="2467"/>
      <c r="T10" s="2467"/>
      <c r="U10" s="2467"/>
      <c r="V10" s="2467"/>
      <c r="W10" s="2502"/>
      <c r="X10" s="2467"/>
      <c r="Y10" s="2471"/>
      <c r="Z10" s="2504"/>
      <c r="AA10" s="2471"/>
      <c r="AB10" s="2471"/>
      <c r="AC10" s="2471"/>
      <c r="AD10" s="2471"/>
      <c r="AE10" s="2471"/>
      <c r="AF10" s="2471"/>
      <c r="AG10" s="2471"/>
      <c r="AH10" s="2471"/>
      <c r="AI10" s="2471"/>
      <c r="AJ10" s="2471"/>
      <c r="AK10" s="2471"/>
      <c r="AL10" s="2471"/>
      <c r="AM10" s="2471"/>
      <c r="AN10" s="2495"/>
      <c r="AO10" s="2498"/>
      <c r="AP10" s="2498"/>
      <c r="AQ10" s="2501"/>
    </row>
    <row r="11" spans="1:44" ht="15" customHeight="1" x14ac:dyDescent="0.2">
      <c r="A11" s="2493"/>
      <c r="B11" s="2484"/>
      <c r="C11" s="2482"/>
      <c r="D11" s="2482"/>
      <c r="E11" s="2484"/>
      <c r="F11" s="2482"/>
      <c r="G11" s="2482"/>
      <c r="H11" s="2484"/>
      <c r="I11" s="2482"/>
      <c r="J11" s="2482"/>
      <c r="K11" s="2484"/>
      <c r="L11" s="2467"/>
      <c r="M11" s="2467"/>
      <c r="N11" s="2467"/>
      <c r="O11" s="2467"/>
      <c r="P11" s="2467"/>
      <c r="Q11" s="2478"/>
      <c r="R11" s="2480"/>
      <c r="S11" s="2467"/>
      <c r="T11" s="2467"/>
      <c r="U11" s="2467"/>
      <c r="V11" s="2467"/>
      <c r="W11" s="2502"/>
      <c r="X11" s="2467"/>
      <c r="Y11" s="2471"/>
      <c r="Z11" s="2504"/>
      <c r="AA11" s="2471"/>
      <c r="AB11" s="2471"/>
      <c r="AC11" s="2471"/>
      <c r="AD11" s="2471"/>
      <c r="AE11" s="2471"/>
      <c r="AF11" s="2471"/>
      <c r="AG11" s="2471"/>
      <c r="AH11" s="2471"/>
      <c r="AI11" s="2471"/>
      <c r="AJ11" s="2471"/>
      <c r="AK11" s="2471"/>
      <c r="AL11" s="2471"/>
      <c r="AM11" s="2471"/>
      <c r="AN11" s="2495"/>
      <c r="AO11" s="2498"/>
      <c r="AP11" s="2498"/>
      <c r="AQ11" s="2501"/>
    </row>
    <row r="12" spans="1:44" ht="15" customHeight="1" x14ac:dyDescent="0.2">
      <c r="A12" s="2493"/>
      <c r="B12" s="2484"/>
      <c r="C12" s="2482"/>
      <c r="D12" s="2482"/>
      <c r="E12" s="2484"/>
      <c r="F12" s="2482"/>
      <c r="G12" s="2482"/>
      <c r="H12" s="2484"/>
      <c r="I12" s="2482"/>
      <c r="J12" s="2482"/>
      <c r="K12" s="2484"/>
      <c r="L12" s="2467"/>
      <c r="M12" s="2467"/>
      <c r="N12" s="2467"/>
      <c r="O12" s="2467"/>
      <c r="P12" s="2467"/>
      <c r="Q12" s="2478"/>
      <c r="R12" s="2480"/>
      <c r="S12" s="2467"/>
      <c r="T12" s="2467"/>
      <c r="U12" s="2467"/>
      <c r="V12" s="2467"/>
      <c r="W12" s="2502"/>
      <c r="X12" s="2467"/>
      <c r="Y12" s="2472"/>
      <c r="Z12" s="2505"/>
      <c r="AA12" s="2472"/>
      <c r="AB12" s="2472"/>
      <c r="AC12" s="2472"/>
      <c r="AD12" s="2472"/>
      <c r="AE12" s="2472"/>
      <c r="AF12" s="2472"/>
      <c r="AG12" s="2472"/>
      <c r="AH12" s="2472"/>
      <c r="AI12" s="2472"/>
      <c r="AJ12" s="2472"/>
      <c r="AK12" s="2472"/>
      <c r="AL12" s="2472"/>
      <c r="AM12" s="2472"/>
      <c r="AN12" s="2496"/>
      <c r="AO12" s="2499"/>
      <c r="AP12" s="2499"/>
      <c r="AQ12" s="2501"/>
    </row>
    <row r="13" spans="1:44" ht="15.75" x14ac:dyDescent="0.2">
      <c r="A13" s="40">
        <v>5</v>
      </c>
      <c r="B13" s="41" t="s">
        <v>49</v>
      </c>
      <c r="C13" s="41"/>
      <c r="D13" s="41"/>
      <c r="E13" s="41"/>
      <c r="F13" s="41"/>
      <c r="G13" s="41"/>
      <c r="H13" s="41"/>
      <c r="I13" s="41"/>
      <c r="J13" s="42"/>
      <c r="K13" s="42"/>
      <c r="L13" s="47"/>
      <c r="M13" s="42"/>
      <c r="N13" s="42"/>
      <c r="O13" s="42"/>
      <c r="P13" s="42"/>
      <c r="Q13" s="43"/>
      <c r="R13" s="44"/>
      <c r="S13" s="42"/>
      <c r="T13" s="42"/>
      <c r="U13" s="42"/>
      <c r="V13" s="45"/>
      <c r="W13" s="46"/>
      <c r="X13" s="47"/>
      <c r="Y13" s="41"/>
      <c r="Z13" s="41"/>
      <c r="AA13" s="41"/>
      <c r="AB13" s="41"/>
      <c r="AC13" s="41"/>
      <c r="AD13" s="41"/>
      <c r="AE13" s="41"/>
      <c r="AF13" s="41"/>
      <c r="AG13" s="41"/>
      <c r="AH13" s="41"/>
      <c r="AI13" s="41"/>
      <c r="AJ13" s="41"/>
      <c r="AK13" s="41"/>
      <c r="AL13" s="41"/>
      <c r="AM13" s="41"/>
      <c r="AN13" s="41"/>
      <c r="AO13" s="48"/>
      <c r="AP13" s="48"/>
      <c r="AQ13" s="49"/>
    </row>
    <row r="14" spans="1:44" ht="15.75" x14ac:dyDescent="0.2">
      <c r="A14" s="50"/>
      <c r="B14" s="51"/>
      <c r="C14" s="52"/>
      <c r="D14" s="53">
        <v>28</v>
      </c>
      <c r="E14" s="54" t="s">
        <v>50</v>
      </c>
      <c r="F14" s="54"/>
      <c r="G14" s="54"/>
      <c r="H14" s="54"/>
      <c r="I14" s="54"/>
      <c r="J14" s="55"/>
      <c r="K14" s="55"/>
      <c r="L14" s="55"/>
      <c r="M14" s="55"/>
      <c r="N14" s="55"/>
      <c r="O14" s="55"/>
      <c r="P14" s="55"/>
      <c r="Q14" s="56"/>
      <c r="R14" s="57"/>
      <c r="S14" s="55"/>
      <c r="T14" s="55"/>
      <c r="U14" s="55"/>
      <c r="V14" s="58"/>
      <c r="W14" s="59"/>
      <c r="X14" s="60"/>
      <c r="Y14" s="54"/>
      <c r="Z14" s="54"/>
      <c r="AA14" s="54"/>
      <c r="AB14" s="54"/>
      <c r="AC14" s="54"/>
      <c r="AD14" s="54"/>
      <c r="AE14" s="54"/>
      <c r="AF14" s="54"/>
      <c r="AG14" s="54"/>
      <c r="AH14" s="54"/>
      <c r="AI14" s="54"/>
      <c r="AJ14" s="54"/>
      <c r="AK14" s="54"/>
      <c r="AL14" s="54"/>
      <c r="AM14" s="54"/>
      <c r="AN14" s="54"/>
      <c r="AO14" s="61"/>
      <c r="AP14" s="61"/>
      <c r="AQ14" s="62"/>
    </row>
    <row r="15" spans="1:44" ht="15.75" x14ac:dyDescent="0.2">
      <c r="A15" s="63"/>
      <c r="B15" s="64"/>
      <c r="C15" s="65"/>
      <c r="D15" s="66"/>
      <c r="E15" s="67"/>
      <c r="F15" s="68"/>
      <c r="G15" s="69">
        <v>89</v>
      </c>
      <c r="H15" s="70" t="s">
        <v>51</v>
      </c>
      <c r="I15" s="70"/>
      <c r="J15" s="71"/>
      <c r="K15" s="71"/>
      <c r="L15" s="71"/>
      <c r="M15" s="71"/>
      <c r="N15" s="71"/>
      <c r="O15" s="71"/>
      <c r="P15" s="71"/>
      <c r="Q15" s="72"/>
      <c r="R15" s="73"/>
      <c r="S15" s="71"/>
      <c r="T15" s="71"/>
      <c r="U15" s="71"/>
      <c r="V15" s="74"/>
      <c r="W15" s="75"/>
      <c r="X15" s="76"/>
      <c r="Y15" s="70"/>
      <c r="Z15" s="70"/>
      <c r="AA15" s="70"/>
      <c r="AB15" s="70"/>
      <c r="AC15" s="70"/>
      <c r="AD15" s="70"/>
      <c r="AE15" s="70"/>
      <c r="AF15" s="70"/>
      <c r="AG15" s="70"/>
      <c r="AH15" s="70"/>
      <c r="AI15" s="70"/>
      <c r="AJ15" s="70"/>
      <c r="AK15" s="70"/>
      <c r="AL15" s="70"/>
      <c r="AM15" s="70"/>
      <c r="AN15" s="70"/>
      <c r="AO15" s="77"/>
      <c r="AP15" s="77"/>
      <c r="AQ15" s="78"/>
    </row>
    <row r="16" spans="1:44" ht="51.75" customHeight="1" x14ac:dyDescent="0.2">
      <c r="A16" s="741"/>
      <c r="B16" s="742"/>
      <c r="C16" s="743"/>
      <c r="D16" s="744"/>
      <c r="E16" s="745"/>
      <c r="F16" s="746"/>
      <c r="G16" s="747"/>
      <c r="H16" s="748"/>
      <c r="I16" s="749"/>
      <c r="J16" s="4085">
        <v>282</v>
      </c>
      <c r="K16" s="2788" t="s">
        <v>52</v>
      </c>
      <c r="L16" s="2788" t="s">
        <v>53</v>
      </c>
      <c r="M16" s="4085">
        <v>2</v>
      </c>
      <c r="N16" s="4085" t="s">
        <v>1552</v>
      </c>
      <c r="O16" s="4094" t="s">
        <v>55</v>
      </c>
      <c r="P16" s="2885" t="s">
        <v>56</v>
      </c>
      <c r="Q16" s="4086" t="e">
        <f>+(V16+V17)/R16</f>
        <v>#DIV/0!</v>
      </c>
      <c r="R16" s="4088">
        <f>V16+V17</f>
        <v>0</v>
      </c>
      <c r="S16" s="4090" t="s">
        <v>57</v>
      </c>
      <c r="T16" s="4090" t="s">
        <v>58</v>
      </c>
      <c r="U16" s="1417" t="s">
        <v>59</v>
      </c>
      <c r="V16" s="1418">
        <f>396200-396200</f>
        <v>0</v>
      </c>
      <c r="W16" s="750" t="s">
        <v>60</v>
      </c>
      <c r="X16" s="1416" t="s">
        <v>61</v>
      </c>
      <c r="Y16" s="2445">
        <v>292684</v>
      </c>
      <c r="Z16" s="2445">
        <v>282326</v>
      </c>
      <c r="AA16" s="2445">
        <v>135912</v>
      </c>
      <c r="AB16" s="2445">
        <v>45122</v>
      </c>
      <c r="AC16" s="2445">
        <v>307101</v>
      </c>
      <c r="AD16" s="2445">
        <v>86875</v>
      </c>
      <c r="AE16" s="2445">
        <v>2145</v>
      </c>
      <c r="AF16" s="2445">
        <v>12718</v>
      </c>
      <c r="AG16" s="2445">
        <v>26</v>
      </c>
      <c r="AH16" s="2445">
        <v>37</v>
      </c>
      <c r="AI16" s="2445">
        <v>0</v>
      </c>
      <c r="AJ16" s="2445">
        <v>0</v>
      </c>
      <c r="AK16" s="2445">
        <v>53164</v>
      </c>
      <c r="AL16" s="2445">
        <v>16982</v>
      </c>
      <c r="AM16" s="2445">
        <v>60013</v>
      </c>
      <c r="AN16" s="2445">
        <v>575010</v>
      </c>
      <c r="AO16" s="4080">
        <v>43467</v>
      </c>
      <c r="AP16" s="4080">
        <v>43830</v>
      </c>
      <c r="AQ16" s="4082" t="s">
        <v>1553</v>
      </c>
      <c r="AR16" s="1787"/>
    </row>
    <row r="17" spans="1:44" ht="52.5" customHeight="1" x14ac:dyDescent="0.2">
      <c r="A17" s="741"/>
      <c r="B17" s="742"/>
      <c r="C17" s="743"/>
      <c r="D17" s="744"/>
      <c r="E17" s="745"/>
      <c r="F17" s="746"/>
      <c r="G17" s="751"/>
      <c r="H17" s="752"/>
      <c r="I17" s="753"/>
      <c r="J17" s="4092"/>
      <c r="K17" s="4093"/>
      <c r="L17" s="4093"/>
      <c r="M17" s="4092"/>
      <c r="N17" s="4092"/>
      <c r="O17" s="4095"/>
      <c r="P17" s="2905"/>
      <c r="Q17" s="4087"/>
      <c r="R17" s="4089"/>
      <c r="S17" s="4091"/>
      <c r="T17" s="4091"/>
      <c r="U17" s="1417" t="s">
        <v>1554</v>
      </c>
      <c r="V17" s="1418">
        <v>0</v>
      </c>
      <c r="W17" s="754"/>
      <c r="X17" s="1416"/>
      <c r="Y17" s="4084"/>
      <c r="Z17" s="4084"/>
      <c r="AA17" s="4084"/>
      <c r="AB17" s="4084"/>
      <c r="AC17" s="4084"/>
      <c r="AD17" s="4084"/>
      <c r="AE17" s="4084"/>
      <c r="AF17" s="4084"/>
      <c r="AG17" s="4084"/>
      <c r="AH17" s="4084"/>
      <c r="AI17" s="4084"/>
      <c r="AJ17" s="4084"/>
      <c r="AK17" s="4084"/>
      <c r="AL17" s="4084"/>
      <c r="AM17" s="4084"/>
      <c r="AN17" s="4084"/>
      <c r="AO17" s="4081"/>
      <c r="AP17" s="4081"/>
      <c r="AQ17" s="4083"/>
    </row>
    <row r="18" spans="1:44" ht="96" customHeight="1" x14ac:dyDescent="0.2">
      <c r="A18" s="63"/>
      <c r="B18" s="64"/>
      <c r="C18" s="65"/>
      <c r="D18" s="79"/>
      <c r="E18" s="80"/>
      <c r="F18" s="81"/>
      <c r="G18" s="82"/>
      <c r="H18" s="83"/>
      <c r="I18" s="84"/>
      <c r="J18" s="2436">
        <v>284</v>
      </c>
      <c r="K18" s="2882" t="s">
        <v>1555</v>
      </c>
      <c r="L18" s="2439" t="s">
        <v>1556</v>
      </c>
      <c r="M18" s="2473">
        <v>1</v>
      </c>
      <c r="N18" s="2473" t="s">
        <v>1557</v>
      </c>
      <c r="O18" s="2473" t="s">
        <v>1558</v>
      </c>
      <c r="P18" s="2439" t="s">
        <v>1559</v>
      </c>
      <c r="Q18" s="4096">
        <f>SUM(V18:V22)/R18</f>
        <v>1</v>
      </c>
      <c r="R18" s="4098">
        <f>SUM(V18:V22)</f>
        <v>420151534</v>
      </c>
      <c r="S18" s="2439" t="s">
        <v>1560</v>
      </c>
      <c r="T18" s="4104" t="s">
        <v>57</v>
      </c>
      <c r="U18" s="2885" t="s">
        <v>1561</v>
      </c>
      <c r="V18" s="1167">
        <f>92500000-4025889-2348466</f>
        <v>86125645</v>
      </c>
      <c r="W18" s="1395">
        <v>20</v>
      </c>
      <c r="X18" s="1396" t="s">
        <v>61</v>
      </c>
      <c r="Y18" s="4102">
        <v>292684</v>
      </c>
      <c r="Z18" s="2460">
        <v>282326</v>
      </c>
      <c r="AA18" s="2460">
        <v>135912</v>
      </c>
      <c r="AB18" s="2460">
        <v>45122</v>
      </c>
      <c r="AC18" s="2460">
        <v>307101</v>
      </c>
      <c r="AD18" s="2460">
        <v>86875</v>
      </c>
      <c r="AE18" s="2460">
        <v>2145</v>
      </c>
      <c r="AF18" s="2460">
        <v>12718</v>
      </c>
      <c r="AG18" s="2460">
        <v>26</v>
      </c>
      <c r="AH18" s="2460">
        <v>37</v>
      </c>
      <c r="AI18" s="2460">
        <v>0</v>
      </c>
      <c r="AJ18" s="2460">
        <v>0</v>
      </c>
      <c r="AK18" s="2460">
        <v>53164</v>
      </c>
      <c r="AL18" s="2460">
        <v>16982</v>
      </c>
      <c r="AM18" s="2460">
        <v>60013</v>
      </c>
      <c r="AN18" s="2460">
        <v>575010</v>
      </c>
      <c r="AO18" s="4080">
        <v>43467</v>
      </c>
      <c r="AP18" s="4080">
        <v>43830</v>
      </c>
      <c r="AQ18" s="2456" t="s">
        <v>1562</v>
      </c>
      <c r="AR18" s="1787"/>
    </row>
    <row r="19" spans="1:44" ht="96" customHeight="1" x14ac:dyDescent="0.2">
      <c r="A19" s="63"/>
      <c r="B19" s="64"/>
      <c r="C19" s="65"/>
      <c r="D19" s="79"/>
      <c r="E19" s="80"/>
      <c r="F19" s="81"/>
      <c r="G19" s="82"/>
      <c r="H19" s="83"/>
      <c r="I19" s="84"/>
      <c r="J19" s="2437"/>
      <c r="K19" s="2885"/>
      <c r="L19" s="2788"/>
      <c r="M19" s="4085"/>
      <c r="N19" s="4085"/>
      <c r="O19" s="4085"/>
      <c r="P19" s="2788"/>
      <c r="Q19" s="4097"/>
      <c r="R19" s="4099"/>
      <c r="S19" s="2788"/>
      <c r="T19" s="4105"/>
      <c r="U19" s="2886"/>
      <c r="V19" s="1333">
        <f>0+20000000</f>
        <v>20000000</v>
      </c>
      <c r="W19" s="1397">
        <v>88</v>
      </c>
      <c r="X19" s="1398" t="s">
        <v>264</v>
      </c>
      <c r="Y19" s="4103"/>
      <c r="Z19" s="2445"/>
      <c r="AA19" s="2445"/>
      <c r="AB19" s="2445"/>
      <c r="AC19" s="2445"/>
      <c r="AD19" s="2445"/>
      <c r="AE19" s="2445"/>
      <c r="AF19" s="2445"/>
      <c r="AG19" s="2445"/>
      <c r="AH19" s="2445"/>
      <c r="AI19" s="2445"/>
      <c r="AJ19" s="2445"/>
      <c r="AK19" s="2445"/>
      <c r="AL19" s="2445"/>
      <c r="AM19" s="2445"/>
      <c r="AN19" s="2445"/>
      <c r="AO19" s="4107"/>
      <c r="AP19" s="4107"/>
      <c r="AQ19" s="4101"/>
      <c r="AR19" s="1787"/>
    </row>
    <row r="20" spans="1:44" ht="96" customHeight="1" x14ac:dyDescent="0.2">
      <c r="A20" s="63"/>
      <c r="B20" s="64"/>
      <c r="C20" s="65"/>
      <c r="D20" s="79"/>
      <c r="E20" s="80"/>
      <c r="F20" s="81"/>
      <c r="G20" s="82"/>
      <c r="H20" s="83"/>
      <c r="I20" s="84"/>
      <c r="J20" s="2437"/>
      <c r="K20" s="2885"/>
      <c r="L20" s="2788"/>
      <c r="M20" s="4085"/>
      <c r="N20" s="4085"/>
      <c r="O20" s="4085"/>
      <c r="P20" s="2788"/>
      <c r="Q20" s="4097"/>
      <c r="R20" s="4099"/>
      <c r="S20" s="2788"/>
      <c r="T20" s="4106"/>
      <c r="U20" s="4100" t="s">
        <v>1563</v>
      </c>
      <c r="V20" s="1798">
        <f>0+8342140</f>
        <v>8342140</v>
      </c>
      <c r="W20" s="1395">
        <v>20</v>
      </c>
      <c r="X20" s="1396" t="s">
        <v>61</v>
      </c>
      <c r="Y20" s="4103"/>
      <c r="Z20" s="2445"/>
      <c r="AA20" s="2445"/>
      <c r="AB20" s="2445"/>
      <c r="AC20" s="2445"/>
      <c r="AD20" s="2445"/>
      <c r="AE20" s="2445"/>
      <c r="AF20" s="2445"/>
      <c r="AG20" s="2445"/>
      <c r="AH20" s="2445"/>
      <c r="AI20" s="2445"/>
      <c r="AJ20" s="2445"/>
      <c r="AK20" s="2445"/>
      <c r="AL20" s="2445"/>
      <c r="AM20" s="2445"/>
      <c r="AN20" s="2445"/>
      <c r="AO20" s="4107"/>
      <c r="AP20" s="4107"/>
      <c r="AQ20" s="4101"/>
      <c r="AR20" s="1787"/>
    </row>
    <row r="21" spans="1:44" ht="96" customHeight="1" x14ac:dyDescent="0.2">
      <c r="A21" s="63"/>
      <c r="B21" s="64"/>
      <c r="C21" s="65"/>
      <c r="D21" s="79"/>
      <c r="E21" s="80"/>
      <c r="F21" s="81"/>
      <c r="G21" s="82"/>
      <c r="H21" s="83"/>
      <c r="I21" s="84"/>
      <c r="J21" s="2437"/>
      <c r="K21" s="2885"/>
      <c r="L21" s="2788"/>
      <c r="M21" s="4085"/>
      <c r="N21" s="4085"/>
      <c r="O21" s="4085"/>
      <c r="P21" s="2788"/>
      <c r="Q21" s="4097"/>
      <c r="R21" s="4099"/>
      <c r="S21" s="2788"/>
      <c r="T21" s="4106"/>
      <c r="U21" s="4100"/>
      <c r="V21" s="1798">
        <f>0+300000000</f>
        <v>300000000</v>
      </c>
      <c r="W21" s="1397">
        <v>88</v>
      </c>
      <c r="X21" s="1398" t="s">
        <v>264</v>
      </c>
      <c r="Y21" s="4103"/>
      <c r="Z21" s="2445"/>
      <c r="AA21" s="2445"/>
      <c r="AB21" s="2445"/>
      <c r="AC21" s="2445"/>
      <c r="AD21" s="2445"/>
      <c r="AE21" s="2445"/>
      <c r="AF21" s="2445"/>
      <c r="AG21" s="2445"/>
      <c r="AH21" s="2445"/>
      <c r="AI21" s="2445"/>
      <c r="AJ21" s="2445"/>
      <c r="AK21" s="2445"/>
      <c r="AL21" s="2445"/>
      <c r="AM21" s="2445"/>
      <c r="AN21" s="2445"/>
      <c r="AO21" s="4107"/>
      <c r="AP21" s="4107"/>
      <c r="AQ21" s="4101"/>
      <c r="AR21" s="2426"/>
    </row>
    <row r="22" spans="1:44" ht="97.5" customHeight="1" x14ac:dyDescent="0.2">
      <c r="A22" s="63"/>
      <c r="B22" s="64"/>
      <c r="C22" s="65"/>
      <c r="D22" s="79"/>
      <c r="E22" s="80"/>
      <c r="F22" s="81"/>
      <c r="G22" s="82"/>
      <c r="H22" s="83"/>
      <c r="I22" s="84"/>
      <c r="J22" s="2437"/>
      <c r="K22" s="2885"/>
      <c r="L22" s="2788"/>
      <c r="M22" s="4085"/>
      <c r="N22" s="4085"/>
      <c r="O22" s="4085"/>
      <c r="P22" s="2788"/>
      <c r="Q22" s="4097"/>
      <c r="R22" s="4099"/>
      <c r="S22" s="2788"/>
      <c r="T22" s="1645" t="s">
        <v>1564</v>
      </c>
      <c r="U22" s="1809" t="s">
        <v>1565</v>
      </c>
      <c r="V22" s="1799">
        <f>10000000-4316251</f>
        <v>5683749</v>
      </c>
      <c r="W22" s="1397">
        <v>20</v>
      </c>
      <c r="X22" s="1398" t="s">
        <v>61</v>
      </c>
      <c r="Y22" s="4103"/>
      <c r="Z22" s="2445"/>
      <c r="AA22" s="2445"/>
      <c r="AB22" s="2445"/>
      <c r="AC22" s="2445"/>
      <c r="AD22" s="2445"/>
      <c r="AE22" s="2445"/>
      <c r="AF22" s="2445"/>
      <c r="AG22" s="2445"/>
      <c r="AH22" s="2445"/>
      <c r="AI22" s="2445"/>
      <c r="AJ22" s="2445"/>
      <c r="AK22" s="2445"/>
      <c r="AL22" s="2445"/>
      <c r="AM22" s="2445"/>
      <c r="AN22" s="2445"/>
      <c r="AO22" s="4107"/>
      <c r="AP22" s="4107"/>
      <c r="AQ22" s="4101"/>
    </row>
    <row r="23" spans="1:44" ht="63" customHeight="1" x14ac:dyDescent="0.2">
      <c r="A23" s="63"/>
      <c r="B23" s="64"/>
      <c r="C23" s="65"/>
      <c r="D23" s="79"/>
      <c r="E23" s="80"/>
      <c r="F23" s="1329"/>
      <c r="G23" s="1331"/>
      <c r="H23" s="83"/>
      <c r="I23" s="1330"/>
      <c r="J23" s="3529">
        <v>285</v>
      </c>
      <c r="K23" s="3529" t="s">
        <v>76</v>
      </c>
      <c r="L23" s="4111" t="s">
        <v>77</v>
      </c>
      <c r="M23" s="4111">
        <v>1</v>
      </c>
      <c r="N23" s="4111" t="s">
        <v>1566</v>
      </c>
      <c r="O23" s="4111" t="s">
        <v>79</v>
      </c>
      <c r="P23" s="4112" t="s">
        <v>80</v>
      </c>
      <c r="Q23" s="4113">
        <f>SUM(V23:V24)/R23</f>
        <v>1</v>
      </c>
      <c r="R23" s="4114">
        <f>SUM(V23:V24)</f>
        <v>93739999</v>
      </c>
      <c r="S23" s="4100" t="s">
        <v>81</v>
      </c>
      <c r="T23" s="4100" t="s">
        <v>82</v>
      </c>
      <c r="U23" s="4100" t="s">
        <v>83</v>
      </c>
      <c r="V23" s="1800">
        <f>10995333+2744666</f>
        <v>13739999</v>
      </c>
      <c r="W23" s="1332">
        <v>20</v>
      </c>
      <c r="X23" s="1642" t="s">
        <v>61</v>
      </c>
      <c r="Y23" s="4108">
        <v>292684</v>
      </c>
      <c r="Z23" s="4108">
        <v>282326</v>
      </c>
      <c r="AA23" s="4108">
        <v>135912</v>
      </c>
      <c r="AB23" s="4108">
        <v>45122</v>
      </c>
      <c r="AC23" s="4108">
        <v>307101</v>
      </c>
      <c r="AD23" s="4108">
        <v>86875</v>
      </c>
      <c r="AE23" s="4108">
        <v>2145</v>
      </c>
      <c r="AF23" s="4108">
        <v>12718</v>
      </c>
      <c r="AG23" s="4108">
        <v>26</v>
      </c>
      <c r="AH23" s="4108">
        <v>37</v>
      </c>
      <c r="AI23" s="4108">
        <v>0</v>
      </c>
      <c r="AJ23" s="4108">
        <v>0</v>
      </c>
      <c r="AK23" s="4108">
        <v>53164</v>
      </c>
      <c r="AL23" s="4108">
        <v>16982</v>
      </c>
      <c r="AM23" s="4108">
        <v>60013</v>
      </c>
      <c r="AN23" s="4108">
        <v>575010</v>
      </c>
      <c r="AO23" s="4109">
        <v>43467</v>
      </c>
      <c r="AP23" s="4109">
        <v>43830</v>
      </c>
      <c r="AQ23" s="4110" t="s">
        <v>1562</v>
      </c>
      <c r="AR23" s="1787"/>
    </row>
    <row r="24" spans="1:44" ht="56.25" customHeight="1" x14ac:dyDescent="0.2">
      <c r="A24" s="1328"/>
      <c r="B24" s="64"/>
      <c r="C24" s="1328"/>
      <c r="D24" s="1329"/>
      <c r="E24" s="80"/>
      <c r="F24" s="1329"/>
      <c r="G24" s="1331"/>
      <c r="H24" s="83"/>
      <c r="I24" s="1330"/>
      <c r="J24" s="3529"/>
      <c r="K24" s="3529"/>
      <c r="L24" s="4111"/>
      <c r="M24" s="4111"/>
      <c r="N24" s="4111"/>
      <c r="O24" s="4111"/>
      <c r="P24" s="4112"/>
      <c r="Q24" s="4113"/>
      <c r="R24" s="4114"/>
      <c r="S24" s="4100"/>
      <c r="T24" s="4100"/>
      <c r="U24" s="4100"/>
      <c r="V24" s="1800">
        <v>80000000</v>
      </c>
      <c r="W24" s="1332">
        <v>88</v>
      </c>
      <c r="X24" s="1642" t="s">
        <v>264</v>
      </c>
      <c r="Y24" s="4108"/>
      <c r="Z24" s="4108"/>
      <c r="AA24" s="4108"/>
      <c r="AB24" s="4108"/>
      <c r="AC24" s="4108"/>
      <c r="AD24" s="4108"/>
      <c r="AE24" s="4108"/>
      <c r="AF24" s="4108"/>
      <c r="AG24" s="4108"/>
      <c r="AH24" s="4108"/>
      <c r="AI24" s="4108"/>
      <c r="AJ24" s="4108"/>
      <c r="AK24" s="4108"/>
      <c r="AL24" s="4108"/>
      <c r="AM24" s="4108"/>
      <c r="AN24" s="4108"/>
      <c r="AO24" s="4109"/>
      <c r="AP24" s="4109"/>
      <c r="AQ24" s="4110"/>
      <c r="AR24" s="2427"/>
    </row>
    <row r="25" spans="1:44" ht="21.75" customHeight="1" x14ac:dyDescent="0.25">
      <c r="A25" s="1186" t="s">
        <v>111</v>
      </c>
      <c r="B25" s="103"/>
      <c r="C25" s="103"/>
      <c r="D25" s="103"/>
      <c r="E25" s="103"/>
      <c r="F25" s="103"/>
      <c r="G25" s="103"/>
      <c r="H25" s="103"/>
      <c r="I25" s="103"/>
      <c r="J25" s="1334"/>
      <c r="K25" s="1335"/>
      <c r="L25" s="1336"/>
      <c r="M25" s="1337"/>
      <c r="N25" s="1335"/>
      <c r="O25" s="1336"/>
      <c r="P25" s="1336"/>
      <c r="Q25" s="1338"/>
      <c r="R25" s="1339">
        <f>SUM(R16:R24)</f>
        <v>513891533</v>
      </c>
      <c r="S25" s="1340"/>
      <c r="T25" s="1335"/>
      <c r="U25" s="1341"/>
      <c r="V25" s="1342">
        <f>SUM(V16:V24)</f>
        <v>513891533</v>
      </c>
      <c r="W25" s="1343"/>
      <c r="X25" s="1344"/>
      <c r="Y25" s="1345"/>
      <c r="Z25" s="1345"/>
      <c r="AA25" s="1345"/>
      <c r="AB25" s="1345"/>
      <c r="AC25" s="1345"/>
      <c r="AD25" s="1345"/>
      <c r="AE25" s="1344"/>
      <c r="AF25" s="1344"/>
      <c r="AG25" s="1344"/>
      <c r="AH25" s="1344"/>
      <c r="AI25" s="1344"/>
      <c r="AJ25" s="1344"/>
      <c r="AK25" s="1344"/>
      <c r="AL25" s="1344"/>
      <c r="AM25" s="1344"/>
      <c r="AN25" s="1344"/>
      <c r="AO25" s="1346"/>
      <c r="AP25" s="1346"/>
      <c r="AQ25" s="1347"/>
    </row>
    <row r="31" spans="1:44" ht="15.75" x14ac:dyDescent="0.25">
      <c r="K31" s="128" t="s">
        <v>1567</v>
      </c>
    </row>
    <row r="32" spans="1:44" x14ac:dyDescent="0.2">
      <c r="K32" s="29" t="s">
        <v>1568</v>
      </c>
    </row>
  </sheetData>
  <sheetProtection password="A60F" sheet="1" objects="1" scenarios="1"/>
  <mergeCells count="141">
    <mergeCell ref="J23:J24"/>
    <mergeCell ref="K23:K24"/>
    <mergeCell ref="L23:L24"/>
    <mergeCell ref="M23:M24"/>
    <mergeCell ref="AI23:AI24"/>
    <mergeCell ref="AJ23:AJ24"/>
    <mergeCell ref="AK23:AK24"/>
    <mergeCell ref="AL23:AL24"/>
    <mergeCell ref="AM23:AM24"/>
    <mergeCell ref="N23:N24"/>
    <mergeCell ref="O23:O24"/>
    <mergeCell ref="P23:P24"/>
    <mergeCell ref="Q23:Q24"/>
    <mergeCell ref="R23:R24"/>
    <mergeCell ref="S23:S24"/>
    <mergeCell ref="T23:T24"/>
    <mergeCell ref="U23:U24"/>
    <mergeCell ref="Y23:Y24"/>
    <mergeCell ref="AN23:AN24"/>
    <mergeCell ref="AO23:AO24"/>
    <mergeCell ref="AP23:AP24"/>
    <mergeCell ref="AQ23:AQ24"/>
    <mergeCell ref="Z23:Z24"/>
    <mergeCell ref="AA23:AA24"/>
    <mergeCell ref="AB23:AB24"/>
    <mergeCell ref="AC23:AC24"/>
    <mergeCell ref="AD23:AD24"/>
    <mergeCell ref="AE23:AE24"/>
    <mergeCell ref="AF23:AF24"/>
    <mergeCell ref="AG23:AG24"/>
    <mergeCell ref="AH23:AH24"/>
    <mergeCell ref="AQ18:AQ22"/>
    <mergeCell ref="AF18:AF22"/>
    <mergeCell ref="AG18:AG22"/>
    <mergeCell ref="AH18:AH22"/>
    <mergeCell ref="AI18:AI22"/>
    <mergeCell ref="AJ18:AJ22"/>
    <mergeCell ref="AK18:AK22"/>
    <mergeCell ref="Y18:Y22"/>
    <mergeCell ref="T18:T21"/>
    <mergeCell ref="AL18:AL22"/>
    <mergeCell ref="AA18:AA22"/>
    <mergeCell ref="AB18:AB22"/>
    <mergeCell ref="AC18:AC22"/>
    <mergeCell ref="AD18:AD22"/>
    <mergeCell ref="AE18:AE22"/>
    <mergeCell ref="AN18:AN22"/>
    <mergeCell ref="AO18:AO22"/>
    <mergeCell ref="AP18:AP22"/>
    <mergeCell ref="Z16:Z17"/>
    <mergeCell ref="AM18:AM22"/>
    <mergeCell ref="AA16:AA17"/>
    <mergeCell ref="AB16:AB17"/>
    <mergeCell ref="AC16:AC17"/>
    <mergeCell ref="AD16:AD17"/>
    <mergeCell ref="AE16:AE17"/>
    <mergeCell ref="T16:T17"/>
    <mergeCell ref="Y16:Y17"/>
    <mergeCell ref="Z18:Z22"/>
    <mergeCell ref="U18:U19"/>
    <mergeCell ref="U20:U21"/>
    <mergeCell ref="J18:J22"/>
    <mergeCell ref="K18:K22"/>
    <mergeCell ref="L18:L22"/>
    <mergeCell ref="M18:M22"/>
    <mergeCell ref="N18:N22"/>
    <mergeCell ref="P16:P17"/>
    <mergeCell ref="Q16:Q17"/>
    <mergeCell ref="R16:R17"/>
    <mergeCell ref="S16:S17"/>
    <mergeCell ref="J16:J17"/>
    <mergeCell ref="K16:K17"/>
    <mergeCell ref="L16:L17"/>
    <mergeCell ref="M16:M17"/>
    <mergeCell ref="N16:N17"/>
    <mergeCell ref="O16:O17"/>
    <mergeCell ref="O18:O22"/>
    <mergeCell ref="P18:P22"/>
    <mergeCell ref="Q18:Q22"/>
    <mergeCell ref="R18:R22"/>
    <mergeCell ref="S18:S22"/>
    <mergeCell ref="AO7:AO12"/>
    <mergeCell ref="AP7:AP12"/>
    <mergeCell ref="AP16:AP17"/>
    <mergeCell ref="AQ16:AQ17"/>
    <mergeCell ref="AF16:AF17"/>
    <mergeCell ref="AG16:AG17"/>
    <mergeCell ref="AH16:AH17"/>
    <mergeCell ref="AI16:AI17"/>
    <mergeCell ref="AJ16:AJ17"/>
    <mergeCell ref="AK16:AK17"/>
    <mergeCell ref="AL16:AL17"/>
    <mergeCell ref="AM16:AM17"/>
    <mergeCell ref="AN16:AN17"/>
    <mergeCell ref="AO16:AO17"/>
    <mergeCell ref="AE7:AJ7"/>
    <mergeCell ref="AK7:AM7"/>
    <mergeCell ref="AM8:AM12"/>
    <mergeCell ref="AE8:AE12"/>
    <mergeCell ref="AF8:AF12"/>
    <mergeCell ref="AG8:AG12"/>
    <mergeCell ref="AH8:AH12"/>
    <mergeCell ref="AI8:AI12"/>
    <mergeCell ref="AJ8:AJ12"/>
    <mergeCell ref="AK8:AK12"/>
    <mergeCell ref="AL8:AL12"/>
    <mergeCell ref="AN7:AN12"/>
    <mergeCell ref="Y8:Y12"/>
    <mergeCell ref="Z8:Z12"/>
    <mergeCell ref="AA8:AA12"/>
    <mergeCell ref="AB8:AB12"/>
    <mergeCell ref="AC8:AC12"/>
    <mergeCell ref="V7:V12"/>
    <mergeCell ref="X7:X12"/>
    <mergeCell ref="Y7:Z7"/>
    <mergeCell ref="AA7:AD7"/>
    <mergeCell ref="AD8:AD12"/>
    <mergeCell ref="A1:AO4"/>
    <mergeCell ref="A5:M6"/>
    <mergeCell ref="N5:AQ5"/>
    <mergeCell ref="Y6:AM6"/>
    <mergeCell ref="A7:A12"/>
    <mergeCell ref="B7:C12"/>
    <mergeCell ref="D7:D12"/>
    <mergeCell ref="E7:F12"/>
    <mergeCell ref="G7:G12"/>
    <mergeCell ref="H7:I12"/>
    <mergeCell ref="P7:P12"/>
    <mergeCell ref="Q7:Q12"/>
    <mergeCell ref="R7:R12"/>
    <mergeCell ref="S7:S12"/>
    <mergeCell ref="T7:T12"/>
    <mergeCell ref="U7:U12"/>
    <mergeCell ref="J7:J12"/>
    <mergeCell ref="K7:K12"/>
    <mergeCell ref="L7:L12"/>
    <mergeCell ref="M7:M12"/>
    <mergeCell ref="N7:N12"/>
    <mergeCell ref="O7:O12"/>
    <mergeCell ref="AQ7:AQ12"/>
    <mergeCell ref="W8:W12"/>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BJ79"/>
  <sheetViews>
    <sheetView showGridLines="0" zoomScale="60" zoomScaleNormal="60" workbookViewId="0">
      <selection sqref="A1:AO4"/>
    </sheetView>
  </sheetViews>
  <sheetFormatPr baseColWidth="10" defaultColWidth="11.42578125" defaultRowHeight="27" customHeight="1" x14ac:dyDescent="0.2"/>
  <cols>
    <col min="1" max="1" width="16.140625" style="437" customWidth="1"/>
    <col min="2" max="10" width="16.140625" style="404" customWidth="1"/>
    <col min="11" max="11" width="24.7109375" style="438" customWidth="1"/>
    <col min="12" max="12" width="17.42578125" style="412" customWidth="1"/>
    <col min="13" max="13" width="16.42578125" style="412" customWidth="1"/>
    <col min="14" max="14" width="22.140625" style="412" customWidth="1"/>
    <col min="15" max="15" width="15.140625" style="439" customWidth="1"/>
    <col min="16" max="16" width="21" style="438" customWidth="1"/>
    <col min="17" max="17" width="11.42578125" style="440" customWidth="1"/>
    <col min="18" max="18" width="25.28515625" style="444" customWidth="1"/>
    <col min="19" max="19" width="27.140625" style="438" customWidth="1"/>
    <col min="20" max="20" width="17.7109375" style="438" customWidth="1"/>
    <col min="21" max="21" width="26.7109375" style="438" customWidth="1"/>
    <col min="22" max="22" width="28.140625" style="445" customWidth="1"/>
    <col min="23" max="23" width="16" style="441" customWidth="1"/>
    <col min="24" max="24" width="21.140625" style="442" customWidth="1"/>
    <col min="25" max="25" width="10.5703125" style="404" customWidth="1"/>
    <col min="26" max="26" width="10.85546875" style="404" customWidth="1"/>
    <col min="27" max="27" width="11.28515625" style="404" customWidth="1"/>
    <col min="28" max="28" width="9" style="404" customWidth="1"/>
    <col min="29" max="29" width="8.42578125" style="404" customWidth="1"/>
    <col min="30" max="30" width="9.5703125" style="404" customWidth="1"/>
    <col min="31" max="31" width="6.28515625" style="404" customWidth="1"/>
    <col min="32" max="32" width="5.85546875" style="404" customWidth="1"/>
    <col min="33" max="34" width="4.42578125" style="404" customWidth="1"/>
    <col min="35" max="35" width="5" style="404" customWidth="1"/>
    <col min="36" max="36" width="5.85546875" style="404" customWidth="1"/>
    <col min="37" max="37" width="6.140625" style="404" customWidth="1"/>
    <col min="38" max="38" width="6.28515625" style="404" customWidth="1"/>
    <col min="39" max="39" width="4.85546875" style="404" customWidth="1"/>
    <col min="40" max="40" width="10.85546875" style="404" customWidth="1"/>
    <col min="41" max="41" width="12.42578125" style="834" customWidth="1"/>
    <col min="42" max="42" width="15.140625" style="443" customWidth="1"/>
    <col min="43" max="43" width="20.85546875" style="973" customWidth="1"/>
    <col min="44" max="16384" width="11.42578125" style="404"/>
  </cols>
  <sheetData>
    <row r="1" spans="1:62" ht="24.75" customHeight="1" x14ac:dyDescent="0.2">
      <c r="A1" s="2734" t="s">
        <v>1759</v>
      </c>
      <c r="B1" s="4138"/>
      <c r="C1" s="4138"/>
      <c r="D1" s="4138"/>
      <c r="E1" s="4138"/>
      <c r="F1" s="4138"/>
      <c r="G1" s="4138"/>
      <c r="H1" s="4138"/>
      <c r="I1" s="4138"/>
      <c r="J1" s="4138"/>
      <c r="K1" s="4138"/>
      <c r="L1" s="4138"/>
      <c r="M1" s="4138"/>
      <c r="N1" s="4138"/>
      <c r="O1" s="4138"/>
      <c r="P1" s="4138"/>
      <c r="Q1" s="4138"/>
      <c r="R1" s="4138"/>
      <c r="S1" s="4138"/>
      <c r="T1" s="4138"/>
      <c r="U1" s="4138"/>
      <c r="V1" s="4138"/>
      <c r="W1" s="4138"/>
      <c r="X1" s="4138"/>
      <c r="Y1" s="4138"/>
      <c r="Z1" s="4138"/>
      <c r="AA1" s="4138"/>
      <c r="AB1" s="4138"/>
      <c r="AC1" s="4138"/>
      <c r="AD1" s="4138"/>
      <c r="AE1" s="4138"/>
      <c r="AF1" s="4138"/>
      <c r="AG1" s="4138"/>
      <c r="AH1" s="4138"/>
      <c r="AI1" s="4138"/>
      <c r="AJ1" s="4138"/>
      <c r="AK1" s="4138"/>
      <c r="AL1" s="4138"/>
      <c r="AM1" s="4138"/>
      <c r="AN1" s="4138"/>
      <c r="AO1" s="4139"/>
      <c r="AP1" s="1091" t="s">
        <v>0</v>
      </c>
      <c r="AQ1" s="1092" t="s">
        <v>346</v>
      </c>
      <c r="AR1" s="412"/>
      <c r="AS1" s="412"/>
      <c r="AT1" s="412"/>
      <c r="AU1" s="412"/>
      <c r="AV1" s="412"/>
      <c r="AW1" s="412"/>
      <c r="AX1" s="412"/>
      <c r="AY1" s="412"/>
      <c r="AZ1" s="412"/>
      <c r="BA1" s="412"/>
      <c r="BB1" s="412"/>
      <c r="BC1" s="412"/>
      <c r="BD1" s="412"/>
      <c r="BE1" s="412"/>
      <c r="BF1" s="412"/>
      <c r="BG1" s="412"/>
      <c r="BH1" s="412"/>
      <c r="BI1" s="412"/>
      <c r="BJ1" s="412"/>
    </row>
    <row r="2" spans="1:62" ht="24.75" customHeight="1" x14ac:dyDescent="0.2">
      <c r="A2" s="4140"/>
      <c r="B2" s="3412"/>
      <c r="C2" s="3412"/>
      <c r="D2" s="3412"/>
      <c r="E2" s="3412"/>
      <c r="F2" s="3412"/>
      <c r="G2" s="3412"/>
      <c r="H2" s="3412"/>
      <c r="I2" s="3412"/>
      <c r="J2" s="3412"/>
      <c r="K2" s="3412"/>
      <c r="L2" s="3412"/>
      <c r="M2" s="3412"/>
      <c r="N2" s="3412"/>
      <c r="O2" s="3412"/>
      <c r="P2" s="3412"/>
      <c r="Q2" s="3412"/>
      <c r="R2" s="3412"/>
      <c r="S2" s="3412"/>
      <c r="T2" s="3412"/>
      <c r="U2" s="3412"/>
      <c r="V2" s="3412"/>
      <c r="W2" s="3412"/>
      <c r="X2" s="3412"/>
      <c r="Y2" s="3412"/>
      <c r="Z2" s="3412"/>
      <c r="AA2" s="3412"/>
      <c r="AB2" s="3412"/>
      <c r="AC2" s="3412"/>
      <c r="AD2" s="3412"/>
      <c r="AE2" s="3412"/>
      <c r="AF2" s="3412"/>
      <c r="AG2" s="3412"/>
      <c r="AH2" s="3412"/>
      <c r="AI2" s="3412"/>
      <c r="AJ2" s="3412"/>
      <c r="AK2" s="3412"/>
      <c r="AL2" s="3412"/>
      <c r="AM2" s="3412"/>
      <c r="AN2" s="3412"/>
      <c r="AO2" s="3413"/>
      <c r="AP2" s="726" t="s">
        <v>2</v>
      </c>
      <c r="AQ2" s="1093" t="s">
        <v>114</v>
      </c>
      <c r="AR2" s="412"/>
      <c r="AS2" s="412"/>
      <c r="AT2" s="412"/>
      <c r="AU2" s="412"/>
      <c r="AV2" s="412"/>
      <c r="AW2" s="412"/>
      <c r="AX2" s="412"/>
      <c r="AY2" s="412"/>
      <c r="AZ2" s="412"/>
      <c r="BA2" s="412"/>
      <c r="BB2" s="412"/>
      <c r="BC2" s="412"/>
      <c r="BD2" s="412"/>
      <c r="BE2" s="412"/>
      <c r="BF2" s="412"/>
      <c r="BG2" s="412"/>
      <c r="BH2" s="412"/>
      <c r="BI2" s="412"/>
      <c r="BJ2" s="412"/>
    </row>
    <row r="3" spans="1:62" ht="24.75" customHeight="1" x14ac:dyDescent="0.2">
      <c r="A3" s="4140"/>
      <c r="B3" s="3412"/>
      <c r="C3" s="3412"/>
      <c r="D3" s="3412"/>
      <c r="E3" s="3412"/>
      <c r="F3" s="3412"/>
      <c r="G3" s="3412"/>
      <c r="H3" s="3412"/>
      <c r="I3" s="3412"/>
      <c r="J3" s="3412"/>
      <c r="K3" s="3412"/>
      <c r="L3" s="3412"/>
      <c r="M3" s="3412"/>
      <c r="N3" s="3412"/>
      <c r="O3" s="3412"/>
      <c r="P3" s="3412"/>
      <c r="Q3" s="3412"/>
      <c r="R3" s="3412"/>
      <c r="S3" s="3412"/>
      <c r="T3" s="3412"/>
      <c r="U3" s="3412"/>
      <c r="V3" s="3412"/>
      <c r="W3" s="3412"/>
      <c r="X3" s="3412"/>
      <c r="Y3" s="3412"/>
      <c r="Z3" s="3412"/>
      <c r="AA3" s="3412"/>
      <c r="AB3" s="3412"/>
      <c r="AC3" s="3412"/>
      <c r="AD3" s="3412"/>
      <c r="AE3" s="3412"/>
      <c r="AF3" s="3412"/>
      <c r="AG3" s="3412"/>
      <c r="AH3" s="3412"/>
      <c r="AI3" s="3412"/>
      <c r="AJ3" s="3412"/>
      <c r="AK3" s="3412"/>
      <c r="AL3" s="3412"/>
      <c r="AM3" s="3412"/>
      <c r="AN3" s="3412"/>
      <c r="AO3" s="3413"/>
      <c r="AP3" s="710" t="s">
        <v>4</v>
      </c>
      <c r="AQ3" s="1093" t="s">
        <v>5</v>
      </c>
      <c r="AR3" s="412"/>
      <c r="AS3" s="412"/>
      <c r="AT3" s="412"/>
      <c r="AU3" s="412"/>
      <c r="AV3" s="412"/>
      <c r="AW3" s="412"/>
      <c r="AX3" s="412"/>
      <c r="AY3" s="412"/>
      <c r="AZ3" s="412"/>
      <c r="BA3" s="412"/>
      <c r="BB3" s="412"/>
      <c r="BC3" s="412"/>
      <c r="BD3" s="412"/>
      <c r="BE3" s="412"/>
      <c r="BF3" s="412"/>
      <c r="BG3" s="412"/>
      <c r="BH3" s="412"/>
      <c r="BI3" s="412"/>
      <c r="BJ3" s="412"/>
    </row>
    <row r="4" spans="1:62" ht="24.75" customHeight="1" x14ac:dyDescent="0.2">
      <c r="A4" s="4141"/>
      <c r="B4" s="3414"/>
      <c r="C4" s="3414"/>
      <c r="D4" s="3414"/>
      <c r="E4" s="3414"/>
      <c r="F4" s="3414"/>
      <c r="G4" s="3414"/>
      <c r="H4" s="3414"/>
      <c r="I4" s="3414"/>
      <c r="J4" s="3414"/>
      <c r="K4" s="3414"/>
      <c r="L4" s="3414"/>
      <c r="M4" s="3414"/>
      <c r="N4" s="3414"/>
      <c r="O4" s="3414"/>
      <c r="P4" s="3414"/>
      <c r="Q4" s="3414"/>
      <c r="R4" s="3414"/>
      <c r="S4" s="3414"/>
      <c r="T4" s="3414"/>
      <c r="U4" s="3414"/>
      <c r="V4" s="3414"/>
      <c r="W4" s="3414"/>
      <c r="X4" s="3414"/>
      <c r="Y4" s="3414"/>
      <c r="Z4" s="3414"/>
      <c r="AA4" s="3414"/>
      <c r="AB4" s="3414"/>
      <c r="AC4" s="3414"/>
      <c r="AD4" s="3414"/>
      <c r="AE4" s="3414"/>
      <c r="AF4" s="3414"/>
      <c r="AG4" s="3414"/>
      <c r="AH4" s="3414"/>
      <c r="AI4" s="3414"/>
      <c r="AJ4" s="3414"/>
      <c r="AK4" s="3414"/>
      <c r="AL4" s="3414"/>
      <c r="AM4" s="3414"/>
      <c r="AN4" s="3414"/>
      <c r="AO4" s="3415"/>
      <c r="AP4" s="710" t="s">
        <v>6</v>
      </c>
      <c r="AQ4" s="1094" t="s">
        <v>7</v>
      </c>
      <c r="AR4" s="412"/>
      <c r="AS4" s="412"/>
      <c r="AT4" s="412"/>
      <c r="AU4" s="412"/>
      <c r="AV4" s="412"/>
      <c r="AW4" s="412"/>
      <c r="AX4" s="412"/>
      <c r="AY4" s="412"/>
      <c r="AZ4" s="412"/>
      <c r="BA4" s="412"/>
      <c r="BB4" s="412"/>
      <c r="BC4" s="412"/>
      <c r="BD4" s="412"/>
      <c r="BE4" s="412"/>
      <c r="BF4" s="412"/>
      <c r="BG4" s="412"/>
      <c r="BH4" s="412"/>
      <c r="BI4" s="412"/>
      <c r="BJ4" s="412"/>
    </row>
    <row r="5" spans="1:62" ht="33.75" customHeight="1" x14ac:dyDescent="0.2">
      <c r="A5" s="4142" t="s">
        <v>8</v>
      </c>
      <c r="B5" s="2846"/>
      <c r="C5" s="2846"/>
      <c r="D5" s="2846"/>
      <c r="E5" s="2846"/>
      <c r="F5" s="2846"/>
      <c r="G5" s="2846"/>
      <c r="H5" s="2846"/>
      <c r="I5" s="2846"/>
      <c r="J5" s="2846"/>
      <c r="K5" s="2846"/>
      <c r="L5" s="2846"/>
      <c r="M5" s="2846"/>
      <c r="N5" s="2847" t="s">
        <v>9</v>
      </c>
      <c r="O5" s="2847"/>
      <c r="P5" s="2847"/>
      <c r="Q5" s="2847"/>
      <c r="R5" s="2847"/>
      <c r="S5" s="2847"/>
      <c r="T5" s="2847"/>
      <c r="U5" s="2847"/>
      <c r="V5" s="2847"/>
      <c r="W5" s="2847"/>
      <c r="X5" s="2847"/>
      <c r="Y5" s="2847"/>
      <c r="Z5" s="2847"/>
      <c r="AA5" s="2847"/>
      <c r="AB5" s="2847"/>
      <c r="AC5" s="2847"/>
      <c r="AD5" s="2847"/>
      <c r="AE5" s="2847"/>
      <c r="AF5" s="2847"/>
      <c r="AG5" s="2847"/>
      <c r="AH5" s="2847"/>
      <c r="AI5" s="2847"/>
      <c r="AJ5" s="2847"/>
      <c r="AK5" s="2847"/>
      <c r="AL5" s="2847"/>
      <c r="AM5" s="2847"/>
      <c r="AN5" s="2847"/>
      <c r="AO5" s="2847"/>
      <c r="AP5" s="2847"/>
      <c r="AQ5" s="4144"/>
      <c r="AR5" s="412"/>
      <c r="AS5" s="412"/>
      <c r="AT5" s="412"/>
      <c r="AU5" s="412"/>
      <c r="AV5" s="412"/>
      <c r="AW5" s="412"/>
      <c r="AX5" s="412"/>
      <c r="AY5" s="412"/>
      <c r="AZ5" s="412"/>
      <c r="BA5" s="412"/>
      <c r="BB5" s="412"/>
      <c r="BC5" s="412"/>
      <c r="BD5" s="412"/>
      <c r="BE5" s="412"/>
      <c r="BF5" s="412"/>
      <c r="BG5" s="412"/>
      <c r="BH5" s="412"/>
      <c r="BI5" s="412"/>
      <c r="BJ5" s="412"/>
    </row>
    <row r="6" spans="1:62" ht="33.75" customHeight="1" x14ac:dyDescent="0.2">
      <c r="A6" s="4143"/>
      <c r="B6" s="2828"/>
      <c r="C6" s="2828"/>
      <c r="D6" s="2828"/>
      <c r="E6" s="2828"/>
      <c r="F6" s="2828"/>
      <c r="G6" s="2828"/>
      <c r="H6" s="2828"/>
      <c r="I6" s="2828"/>
      <c r="J6" s="2828"/>
      <c r="K6" s="2828"/>
      <c r="L6" s="2828"/>
      <c r="M6" s="2828"/>
      <c r="N6" s="759"/>
      <c r="O6" s="760"/>
      <c r="P6" s="760"/>
      <c r="Q6" s="760"/>
      <c r="R6" s="760"/>
      <c r="S6" s="760"/>
      <c r="T6" s="760"/>
      <c r="U6" s="760"/>
      <c r="V6" s="760"/>
      <c r="W6" s="760"/>
      <c r="X6" s="760"/>
      <c r="Y6" s="2827" t="s">
        <v>10</v>
      </c>
      <c r="Z6" s="2828"/>
      <c r="AA6" s="2828"/>
      <c r="AB6" s="2828"/>
      <c r="AC6" s="2828"/>
      <c r="AD6" s="2828"/>
      <c r="AE6" s="2828"/>
      <c r="AF6" s="2828"/>
      <c r="AG6" s="2828"/>
      <c r="AH6" s="2828"/>
      <c r="AI6" s="2828"/>
      <c r="AJ6" s="2828"/>
      <c r="AK6" s="2828"/>
      <c r="AL6" s="2828"/>
      <c r="AM6" s="2829"/>
      <c r="AN6" s="1500"/>
      <c r="AO6" s="760"/>
      <c r="AP6" s="760"/>
      <c r="AQ6" s="1095"/>
      <c r="AR6" s="412"/>
      <c r="AS6" s="412"/>
      <c r="AT6" s="412"/>
      <c r="AU6" s="412"/>
      <c r="AV6" s="412"/>
      <c r="AW6" s="412"/>
      <c r="AX6" s="412"/>
      <c r="AY6" s="412"/>
      <c r="AZ6" s="412"/>
      <c r="BA6" s="412"/>
      <c r="BB6" s="412"/>
      <c r="BC6" s="412"/>
      <c r="BD6" s="412"/>
      <c r="BE6" s="412"/>
      <c r="BF6" s="412"/>
      <c r="BG6" s="412"/>
      <c r="BH6" s="412"/>
      <c r="BI6" s="412"/>
      <c r="BJ6" s="412"/>
    </row>
    <row r="7" spans="1:62" ht="33.75" customHeight="1" x14ac:dyDescent="0.2">
      <c r="A7" s="4145" t="s">
        <v>11</v>
      </c>
      <c r="B7" s="2850" t="s">
        <v>12</v>
      </c>
      <c r="C7" s="2851"/>
      <c r="D7" s="2851" t="s">
        <v>11</v>
      </c>
      <c r="E7" s="2850" t="s">
        <v>13</v>
      </c>
      <c r="F7" s="2851"/>
      <c r="G7" s="2851" t="s">
        <v>11</v>
      </c>
      <c r="H7" s="2850" t="s">
        <v>14</v>
      </c>
      <c r="I7" s="2851"/>
      <c r="J7" s="2851" t="s">
        <v>11</v>
      </c>
      <c r="K7" s="2858" t="s">
        <v>15</v>
      </c>
      <c r="L7" s="2834" t="s">
        <v>16</v>
      </c>
      <c r="M7" s="2834" t="s">
        <v>17</v>
      </c>
      <c r="N7" s="2834" t="s">
        <v>18</v>
      </c>
      <c r="O7" s="2834" t="s">
        <v>19</v>
      </c>
      <c r="P7" s="2834" t="s">
        <v>9</v>
      </c>
      <c r="Q7" s="2854" t="s">
        <v>20</v>
      </c>
      <c r="R7" s="2856" t="s">
        <v>21</v>
      </c>
      <c r="S7" s="2858" t="s">
        <v>22</v>
      </c>
      <c r="T7" s="2850" t="s">
        <v>23</v>
      </c>
      <c r="U7" s="2834" t="s">
        <v>24</v>
      </c>
      <c r="V7" s="3400" t="s">
        <v>21</v>
      </c>
      <c r="W7" s="4149" t="s">
        <v>11</v>
      </c>
      <c r="X7" s="2834" t="s">
        <v>25</v>
      </c>
      <c r="Y7" s="2838" t="s">
        <v>26</v>
      </c>
      <c r="Z7" s="2838"/>
      <c r="AA7" s="2839" t="s">
        <v>27</v>
      </c>
      <c r="AB7" s="2839"/>
      <c r="AC7" s="2839"/>
      <c r="AD7" s="2839"/>
      <c r="AE7" s="2860" t="s">
        <v>28</v>
      </c>
      <c r="AF7" s="2861"/>
      <c r="AG7" s="2861"/>
      <c r="AH7" s="2861"/>
      <c r="AI7" s="2861"/>
      <c r="AJ7" s="2862"/>
      <c r="AK7" s="2839" t="s">
        <v>29</v>
      </c>
      <c r="AL7" s="2839"/>
      <c r="AM7" s="2839"/>
      <c r="AN7" s="1502" t="s">
        <v>30</v>
      </c>
      <c r="AO7" s="2863" t="s">
        <v>31</v>
      </c>
      <c r="AP7" s="2863" t="s">
        <v>32</v>
      </c>
      <c r="AQ7" s="4147" t="s">
        <v>33</v>
      </c>
      <c r="AR7" s="412"/>
      <c r="AS7" s="412"/>
      <c r="AT7" s="412"/>
      <c r="AU7" s="412"/>
      <c r="AV7" s="412"/>
      <c r="AW7" s="412"/>
      <c r="AX7" s="412"/>
      <c r="AY7" s="412"/>
      <c r="AZ7" s="412"/>
      <c r="BA7" s="412"/>
      <c r="BB7" s="412"/>
      <c r="BC7" s="412"/>
      <c r="BD7" s="412"/>
      <c r="BE7" s="412"/>
      <c r="BF7" s="412"/>
      <c r="BG7" s="412"/>
      <c r="BH7" s="412"/>
      <c r="BI7" s="412"/>
      <c r="BJ7" s="412"/>
    </row>
    <row r="8" spans="1:62" ht="127.5" x14ac:dyDescent="0.2">
      <c r="A8" s="4146"/>
      <c r="B8" s="2852"/>
      <c r="C8" s="2853"/>
      <c r="D8" s="2853"/>
      <c r="E8" s="2852"/>
      <c r="F8" s="2853"/>
      <c r="G8" s="2853"/>
      <c r="H8" s="2852"/>
      <c r="I8" s="2853"/>
      <c r="J8" s="2853"/>
      <c r="K8" s="2859"/>
      <c r="L8" s="2835"/>
      <c r="M8" s="2835"/>
      <c r="N8" s="2835"/>
      <c r="O8" s="2835"/>
      <c r="P8" s="2835"/>
      <c r="Q8" s="2855"/>
      <c r="R8" s="2857"/>
      <c r="S8" s="2859"/>
      <c r="T8" s="2852"/>
      <c r="U8" s="2835"/>
      <c r="V8" s="3401"/>
      <c r="W8" s="4150"/>
      <c r="X8" s="2835"/>
      <c r="Y8" s="764" t="s">
        <v>34</v>
      </c>
      <c r="Z8" s="765" t="s">
        <v>35</v>
      </c>
      <c r="AA8" s="766" t="s">
        <v>36</v>
      </c>
      <c r="AB8" s="766" t="s">
        <v>115</v>
      </c>
      <c r="AC8" s="766" t="s">
        <v>384</v>
      </c>
      <c r="AD8" s="766" t="s">
        <v>117</v>
      </c>
      <c r="AE8" s="766" t="s">
        <v>40</v>
      </c>
      <c r="AF8" s="766" t="s">
        <v>41</v>
      </c>
      <c r="AG8" s="766" t="s">
        <v>42</v>
      </c>
      <c r="AH8" s="766" t="s">
        <v>43</v>
      </c>
      <c r="AI8" s="766" t="s">
        <v>44</v>
      </c>
      <c r="AJ8" s="766" t="s">
        <v>45</v>
      </c>
      <c r="AK8" s="766" t="s">
        <v>46</v>
      </c>
      <c r="AL8" s="766" t="s">
        <v>47</v>
      </c>
      <c r="AM8" s="766" t="s">
        <v>48</v>
      </c>
      <c r="AN8" s="766" t="s">
        <v>30</v>
      </c>
      <c r="AO8" s="2864"/>
      <c r="AP8" s="2864"/>
      <c r="AQ8" s="4148"/>
      <c r="AR8" s="412"/>
      <c r="AS8" s="412"/>
      <c r="AT8" s="412"/>
      <c r="AU8" s="412"/>
      <c r="AV8" s="412"/>
      <c r="AW8" s="412"/>
      <c r="AX8" s="412"/>
      <c r="AY8" s="412"/>
      <c r="AZ8" s="412"/>
      <c r="BA8" s="412"/>
      <c r="BB8" s="412"/>
      <c r="BC8" s="412"/>
      <c r="BD8" s="412"/>
      <c r="BE8" s="412"/>
      <c r="BF8" s="412"/>
      <c r="BG8" s="412"/>
      <c r="BH8" s="412"/>
      <c r="BI8" s="412"/>
      <c r="BJ8" s="412"/>
    </row>
    <row r="9" spans="1:62" ht="15" x14ac:dyDescent="0.2">
      <c r="A9" s="1096">
        <v>3</v>
      </c>
      <c r="B9" s="406"/>
      <c r="C9" s="406" t="s">
        <v>919</v>
      </c>
      <c r="D9" s="406"/>
      <c r="E9" s="406"/>
      <c r="F9" s="406"/>
      <c r="G9" s="406"/>
      <c r="H9" s="406"/>
      <c r="I9" s="406"/>
      <c r="J9" s="406"/>
      <c r="K9" s="407"/>
      <c r="L9" s="406"/>
      <c r="M9" s="406"/>
      <c r="N9" s="406"/>
      <c r="O9" s="408"/>
      <c r="P9" s="407"/>
      <c r="Q9" s="409"/>
      <c r="R9" s="410"/>
      <c r="S9" s="407"/>
      <c r="T9" s="407"/>
      <c r="U9" s="407"/>
      <c r="V9" s="407"/>
      <c r="W9" s="411"/>
      <c r="X9" s="408"/>
      <c r="Y9" s="408"/>
      <c r="Z9" s="408"/>
      <c r="AA9" s="408"/>
      <c r="AB9" s="408"/>
      <c r="AC9" s="408"/>
      <c r="AD9" s="408"/>
      <c r="AE9" s="408"/>
      <c r="AF9" s="408"/>
      <c r="AG9" s="408"/>
      <c r="AH9" s="408"/>
      <c r="AI9" s="408"/>
      <c r="AJ9" s="408"/>
      <c r="AK9" s="408"/>
      <c r="AL9" s="408"/>
      <c r="AM9" s="408"/>
      <c r="AN9" s="408"/>
      <c r="AO9" s="408"/>
      <c r="AP9" s="408"/>
      <c r="AQ9" s="1097"/>
      <c r="AR9" s="412"/>
      <c r="AS9" s="412"/>
      <c r="AT9" s="412"/>
      <c r="AU9" s="412"/>
      <c r="AV9" s="412"/>
      <c r="AW9" s="412"/>
      <c r="AX9" s="412"/>
      <c r="AY9" s="412"/>
      <c r="AZ9" s="412"/>
      <c r="BA9" s="412"/>
      <c r="BB9" s="412"/>
      <c r="BC9" s="412"/>
      <c r="BD9" s="412"/>
      <c r="BE9" s="412"/>
      <c r="BF9" s="412"/>
      <c r="BG9" s="412"/>
      <c r="BH9" s="412"/>
      <c r="BI9" s="412"/>
      <c r="BJ9" s="412"/>
    </row>
    <row r="10" spans="1:62" s="412" customFormat="1" ht="15" x14ac:dyDescent="0.2">
      <c r="A10" s="1098"/>
      <c r="B10" s="414"/>
      <c r="C10" s="415"/>
      <c r="D10" s="416">
        <v>20</v>
      </c>
      <c r="E10" s="417" t="s">
        <v>1569</v>
      </c>
      <c r="F10" s="417"/>
      <c r="G10" s="417"/>
      <c r="H10" s="417"/>
      <c r="I10" s="417"/>
      <c r="J10" s="417"/>
      <c r="K10" s="418"/>
      <c r="L10" s="417"/>
      <c r="M10" s="417"/>
      <c r="N10" s="417"/>
      <c r="O10" s="419"/>
      <c r="P10" s="418"/>
      <c r="Q10" s="420"/>
      <c r="R10" s="421"/>
      <c r="S10" s="418"/>
      <c r="T10" s="418"/>
      <c r="U10" s="418"/>
      <c r="V10" s="422"/>
      <c r="W10" s="423"/>
      <c r="X10" s="419"/>
      <c r="Y10" s="419"/>
      <c r="Z10" s="419"/>
      <c r="AA10" s="419"/>
      <c r="AB10" s="419"/>
      <c r="AC10" s="419"/>
      <c r="AD10" s="419"/>
      <c r="AE10" s="419"/>
      <c r="AF10" s="419"/>
      <c r="AG10" s="419"/>
      <c r="AH10" s="419"/>
      <c r="AI10" s="419"/>
      <c r="AJ10" s="419"/>
      <c r="AK10" s="419"/>
      <c r="AL10" s="419"/>
      <c r="AM10" s="419"/>
      <c r="AN10" s="419"/>
      <c r="AO10" s="419"/>
      <c r="AP10" s="419"/>
      <c r="AQ10" s="1099"/>
    </row>
    <row r="11" spans="1:62" s="412" customFormat="1" ht="15" x14ac:dyDescent="0.2">
      <c r="A11" s="1100"/>
      <c r="B11" s="1006"/>
      <c r="C11" s="425"/>
      <c r="D11" s="1044"/>
      <c r="E11" s="1571"/>
      <c r="F11" s="1571"/>
      <c r="G11" s="426">
        <v>68</v>
      </c>
      <c r="H11" s="427" t="s">
        <v>1570</v>
      </c>
      <c r="I11" s="427"/>
      <c r="J11" s="427"/>
      <c r="K11" s="428"/>
      <c r="L11" s="427"/>
      <c r="M11" s="427"/>
      <c r="N11" s="427"/>
      <c r="O11" s="429"/>
      <c r="P11" s="428"/>
      <c r="Q11" s="430"/>
      <c r="R11" s="431"/>
      <c r="S11" s="428"/>
      <c r="T11" s="428"/>
      <c r="U11" s="428"/>
      <c r="V11" s="432"/>
      <c r="W11" s="433"/>
      <c r="X11" s="429"/>
      <c r="Y11" s="429"/>
      <c r="Z11" s="429"/>
      <c r="AA11" s="429"/>
      <c r="AB11" s="429"/>
      <c r="AC11" s="429"/>
      <c r="AD11" s="429"/>
      <c r="AE11" s="429"/>
      <c r="AF11" s="429"/>
      <c r="AG11" s="429"/>
      <c r="AH11" s="429"/>
      <c r="AI11" s="429"/>
      <c r="AJ11" s="429"/>
      <c r="AK11" s="429"/>
      <c r="AL11" s="429"/>
      <c r="AM11" s="429"/>
      <c r="AN11" s="429"/>
      <c r="AO11" s="429"/>
      <c r="AP11" s="429"/>
      <c r="AQ11" s="1101"/>
    </row>
    <row r="12" spans="1:62" s="412" customFormat="1" ht="30.75" customHeight="1" x14ac:dyDescent="0.2">
      <c r="A12" s="1100"/>
      <c r="B12" s="1006"/>
      <c r="C12" s="425"/>
      <c r="D12" s="1573"/>
      <c r="E12" s="1656"/>
      <c r="F12" s="1656"/>
      <c r="G12" s="1572"/>
      <c r="H12" s="1656"/>
      <c r="I12" s="1656"/>
      <c r="J12" s="3378">
        <v>202</v>
      </c>
      <c r="K12" s="3212" t="s">
        <v>1571</v>
      </c>
      <c r="L12" s="3212" t="s">
        <v>1572</v>
      </c>
      <c r="M12" s="3212">
        <v>23</v>
      </c>
      <c r="N12" s="2842" t="s">
        <v>1573</v>
      </c>
      <c r="O12" s="2842" t="s">
        <v>1574</v>
      </c>
      <c r="P12" s="3029" t="s">
        <v>1575</v>
      </c>
      <c r="Q12" s="3178">
        <f>SUM(V12:V17)/R12</f>
        <v>0.91249586506429403</v>
      </c>
      <c r="R12" s="3385">
        <f>SUM(V12:V18)</f>
        <v>2180137888.8000002</v>
      </c>
      <c r="S12" s="3029" t="s">
        <v>1576</v>
      </c>
      <c r="T12" s="4133" t="s">
        <v>1577</v>
      </c>
      <c r="U12" s="3029" t="s">
        <v>1578</v>
      </c>
      <c r="V12" s="1840">
        <v>199249781</v>
      </c>
      <c r="W12" s="1805">
        <v>12</v>
      </c>
      <c r="X12" s="1519" t="s">
        <v>1579</v>
      </c>
      <c r="Y12" s="3447">
        <v>300</v>
      </c>
      <c r="Z12" s="3447">
        <v>710</v>
      </c>
      <c r="AA12" s="3447">
        <v>317</v>
      </c>
      <c r="AB12" s="3447">
        <v>633</v>
      </c>
      <c r="AC12" s="3447"/>
      <c r="AD12" s="3447"/>
      <c r="AE12" s="3447"/>
      <c r="AF12" s="3447"/>
      <c r="AG12" s="3447"/>
      <c r="AH12" s="3447"/>
      <c r="AI12" s="3447"/>
      <c r="AJ12" s="3447"/>
      <c r="AK12" s="3447"/>
      <c r="AL12" s="3447">
        <v>60</v>
      </c>
      <c r="AM12" s="3447"/>
      <c r="AN12" s="3447">
        <v>1010</v>
      </c>
      <c r="AO12" s="4131">
        <v>43480</v>
      </c>
      <c r="AP12" s="4131">
        <v>43830</v>
      </c>
      <c r="AQ12" s="4127" t="s">
        <v>1580</v>
      </c>
    </row>
    <row r="13" spans="1:62" s="412" customFormat="1" ht="41.25" customHeight="1" x14ac:dyDescent="0.2">
      <c r="A13" s="1100"/>
      <c r="B13" s="1006"/>
      <c r="C13" s="425"/>
      <c r="D13" s="1573"/>
      <c r="E13" s="1656"/>
      <c r="F13" s="1656"/>
      <c r="G13" s="1573"/>
      <c r="H13" s="1656"/>
      <c r="I13" s="1656"/>
      <c r="J13" s="3378"/>
      <c r="K13" s="3212"/>
      <c r="L13" s="3212"/>
      <c r="M13" s="3212"/>
      <c r="N13" s="3134"/>
      <c r="O13" s="2843"/>
      <c r="P13" s="3159"/>
      <c r="Q13" s="3179"/>
      <c r="R13" s="4124"/>
      <c r="S13" s="3159"/>
      <c r="T13" s="4134"/>
      <c r="U13" s="3159"/>
      <c r="V13" s="1840">
        <v>77863791</v>
      </c>
      <c r="W13" s="1805">
        <v>12</v>
      </c>
      <c r="X13" s="1519" t="s">
        <v>1581</v>
      </c>
      <c r="Y13" s="3448"/>
      <c r="Z13" s="3448"/>
      <c r="AA13" s="3448"/>
      <c r="AB13" s="3448"/>
      <c r="AC13" s="3448"/>
      <c r="AD13" s="3448"/>
      <c r="AE13" s="3448"/>
      <c r="AF13" s="3448"/>
      <c r="AG13" s="3448"/>
      <c r="AH13" s="3448"/>
      <c r="AI13" s="3448"/>
      <c r="AJ13" s="3448"/>
      <c r="AK13" s="3448"/>
      <c r="AL13" s="3448"/>
      <c r="AM13" s="3448"/>
      <c r="AN13" s="3448"/>
      <c r="AO13" s="4137"/>
      <c r="AP13" s="4137"/>
      <c r="AQ13" s="4136"/>
    </row>
    <row r="14" spans="1:62" s="412" customFormat="1" ht="36" customHeight="1" x14ac:dyDescent="0.2">
      <c r="A14" s="1100"/>
      <c r="B14" s="1006"/>
      <c r="C14" s="425"/>
      <c r="D14" s="1573"/>
      <c r="E14" s="1656"/>
      <c r="F14" s="1656"/>
      <c r="G14" s="1573"/>
      <c r="H14" s="1656"/>
      <c r="I14" s="1656"/>
      <c r="J14" s="3378"/>
      <c r="K14" s="3212"/>
      <c r="L14" s="3212"/>
      <c r="M14" s="3212"/>
      <c r="N14" s="1503" t="s">
        <v>1582</v>
      </c>
      <c r="O14" s="2843"/>
      <c r="P14" s="3159"/>
      <c r="Q14" s="3179"/>
      <c r="R14" s="4124"/>
      <c r="S14" s="3159"/>
      <c r="T14" s="4134"/>
      <c r="U14" s="3159"/>
      <c r="V14" s="1840">
        <v>20000000</v>
      </c>
      <c r="W14" s="1805">
        <v>9</v>
      </c>
      <c r="X14" s="1519" t="s">
        <v>1583</v>
      </c>
      <c r="Y14" s="3448"/>
      <c r="Z14" s="3448"/>
      <c r="AA14" s="3448"/>
      <c r="AB14" s="3448"/>
      <c r="AC14" s="3448"/>
      <c r="AD14" s="3448"/>
      <c r="AE14" s="3448"/>
      <c r="AF14" s="3448"/>
      <c r="AG14" s="3448"/>
      <c r="AH14" s="3448"/>
      <c r="AI14" s="3448"/>
      <c r="AJ14" s="3448"/>
      <c r="AK14" s="3448"/>
      <c r="AL14" s="3448"/>
      <c r="AM14" s="3448"/>
      <c r="AN14" s="3448"/>
      <c r="AO14" s="4137"/>
      <c r="AP14" s="4137"/>
      <c r="AQ14" s="4136"/>
    </row>
    <row r="15" spans="1:62" s="412" customFormat="1" ht="36" customHeight="1" x14ac:dyDescent="0.2">
      <c r="A15" s="1100"/>
      <c r="B15" s="1006"/>
      <c r="C15" s="425"/>
      <c r="D15" s="1573"/>
      <c r="E15" s="1656"/>
      <c r="F15" s="1656"/>
      <c r="G15" s="1573"/>
      <c r="H15" s="1656"/>
      <c r="I15" s="1656"/>
      <c r="J15" s="3378"/>
      <c r="K15" s="3212"/>
      <c r="L15" s="3212"/>
      <c r="M15" s="3212"/>
      <c r="N15" s="1654"/>
      <c r="O15" s="2843"/>
      <c r="P15" s="3159"/>
      <c r="Q15" s="3179"/>
      <c r="R15" s="4124"/>
      <c r="S15" s="3159"/>
      <c r="T15" s="4134"/>
      <c r="U15" s="3159"/>
      <c r="V15" s="1841">
        <v>78571457</v>
      </c>
      <c r="W15" s="1803">
        <v>3</v>
      </c>
      <c r="X15" s="1527" t="s">
        <v>1584</v>
      </c>
      <c r="Y15" s="3448"/>
      <c r="Z15" s="3448"/>
      <c r="AA15" s="3448"/>
      <c r="AB15" s="3448"/>
      <c r="AC15" s="3448"/>
      <c r="AD15" s="3448"/>
      <c r="AE15" s="3448"/>
      <c r="AF15" s="3448"/>
      <c r="AG15" s="3448"/>
      <c r="AH15" s="3448"/>
      <c r="AI15" s="3448"/>
      <c r="AJ15" s="3448"/>
      <c r="AK15" s="3448"/>
      <c r="AL15" s="3448"/>
      <c r="AM15" s="3448"/>
      <c r="AN15" s="3448"/>
      <c r="AO15" s="4137"/>
      <c r="AP15" s="4137"/>
      <c r="AQ15" s="4136"/>
    </row>
    <row r="16" spans="1:62" s="412" customFormat="1" ht="35.25" customHeight="1" x14ac:dyDescent="0.2">
      <c r="A16" s="1100"/>
      <c r="B16" s="1006"/>
      <c r="C16" s="425"/>
      <c r="D16" s="1573"/>
      <c r="E16" s="1656"/>
      <c r="F16" s="1656"/>
      <c r="G16" s="1573"/>
      <c r="H16" s="1656"/>
      <c r="I16" s="1656"/>
      <c r="J16" s="3378"/>
      <c r="K16" s="3212"/>
      <c r="L16" s="3212"/>
      <c r="M16" s="3212"/>
      <c r="N16" s="1534" t="s">
        <v>1585</v>
      </c>
      <c r="O16" s="2843"/>
      <c r="P16" s="3159"/>
      <c r="Q16" s="3179"/>
      <c r="R16" s="4124"/>
      <c r="S16" s="3159"/>
      <c r="T16" s="4134"/>
      <c r="U16" s="3030"/>
      <c r="V16" s="1841">
        <v>1242107102.8</v>
      </c>
      <c r="W16" s="1803">
        <v>3</v>
      </c>
      <c r="X16" s="1312" t="s">
        <v>1586</v>
      </c>
      <c r="Y16" s="3448"/>
      <c r="Z16" s="3448"/>
      <c r="AA16" s="3448"/>
      <c r="AB16" s="3448"/>
      <c r="AC16" s="3448"/>
      <c r="AD16" s="3448"/>
      <c r="AE16" s="3448"/>
      <c r="AF16" s="3448"/>
      <c r="AG16" s="3448"/>
      <c r="AH16" s="3448"/>
      <c r="AI16" s="3448"/>
      <c r="AJ16" s="3448"/>
      <c r="AK16" s="3448"/>
      <c r="AL16" s="3448"/>
      <c r="AM16" s="3448"/>
      <c r="AN16" s="3448"/>
      <c r="AO16" s="4137"/>
      <c r="AP16" s="4137"/>
      <c r="AQ16" s="4136"/>
    </row>
    <row r="17" spans="1:43" s="412" customFormat="1" ht="68.25" customHeight="1" x14ac:dyDescent="0.2">
      <c r="A17" s="1100"/>
      <c r="B17" s="1006"/>
      <c r="C17" s="425"/>
      <c r="D17" s="1573"/>
      <c r="E17" s="4151"/>
      <c r="F17" s="3210"/>
      <c r="G17" s="1573"/>
      <c r="H17" s="1006"/>
      <c r="I17" s="1006"/>
      <c r="J17" s="3378"/>
      <c r="K17" s="3212"/>
      <c r="L17" s="3212"/>
      <c r="M17" s="3212"/>
      <c r="N17" s="1503" t="s">
        <v>1587</v>
      </c>
      <c r="O17" s="2843"/>
      <c r="P17" s="3159"/>
      <c r="Q17" s="3180"/>
      <c r="R17" s="4124"/>
      <c r="S17" s="3159"/>
      <c r="T17" s="4134"/>
      <c r="U17" s="1517" t="s">
        <v>1588</v>
      </c>
      <c r="V17" s="1841">
        <v>371574677</v>
      </c>
      <c r="W17" s="1804">
        <v>4</v>
      </c>
      <c r="X17" s="1527" t="s">
        <v>1589</v>
      </c>
      <c r="Y17" s="3448"/>
      <c r="Z17" s="3448"/>
      <c r="AA17" s="3448"/>
      <c r="AB17" s="3448"/>
      <c r="AC17" s="3448"/>
      <c r="AD17" s="3448"/>
      <c r="AE17" s="3448"/>
      <c r="AF17" s="3448"/>
      <c r="AG17" s="3448"/>
      <c r="AH17" s="3448"/>
      <c r="AI17" s="3448"/>
      <c r="AJ17" s="3448"/>
      <c r="AK17" s="3448"/>
      <c r="AL17" s="3448"/>
      <c r="AM17" s="3448"/>
      <c r="AN17" s="3448"/>
      <c r="AO17" s="4137"/>
      <c r="AP17" s="4137"/>
      <c r="AQ17" s="4136"/>
    </row>
    <row r="18" spans="1:43" s="412" customFormat="1" ht="98.25" customHeight="1" x14ac:dyDescent="0.2">
      <c r="A18" s="1100"/>
      <c r="B18" s="1006"/>
      <c r="C18" s="425"/>
      <c r="D18" s="1573"/>
      <c r="E18" s="1656"/>
      <c r="F18" s="1656"/>
      <c r="G18" s="1573"/>
      <c r="H18" s="1656"/>
      <c r="I18" s="1656"/>
      <c r="J18" s="1503">
        <v>203</v>
      </c>
      <c r="K18" s="1527" t="s">
        <v>1590</v>
      </c>
      <c r="L18" s="1527" t="s">
        <v>1591</v>
      </c>
      <c r="M18" s="1527">
        <v>20</v>
      </c>
      <c r="N18" s="1503" t="s">
        <v>1592</v>
      </c>
      <c r="O18" s="3134"/>
      <c r="P18" s="3030"/>
      <c r="Q18" s="434">
        <f>+V18/R12</f>
        <v>8.7504134935705802E-2</v>
      </c>
      <c r="R18" s="3386"/>
      <c r="S18" s="3030"/>
      <c r="T18" s="4135"/>
      <c r="U18" s="1527" t="s">
        <v>1593</v>
      </c>
      <c r="V18" s="1841">
        <v>190771080</v>
      </c>
      <c r="W18" s="1804">
        <v>4</v>
      </c>
      <c r="X18" s="1527" t="s">
        <v>1589</v>
      </c>
      <c r="Y18" s="4132"/>
      <c r="Z18" s="4132"/>
      <c r="AA18" s="4132"/>
      <c r="AB18" s="4132"/>
      <c r="AC18" s="4132"/>
      <c r="AD18" s="4132"/>
      <c r="AE18" s="4132"/>
      <c r="AF18" s="4132"/>
      <c r="AG18" s="4132"/>
      <c r="AH18" s="4132"/>
      <c r="AI18" s="4132"/>
      <c r="AJ18" s="4132"/>
      <c r="AK18" s="4132"/>
      <c r="AL18" s="4132"/>
      <c r="AM18" s="4132"/>
      <c r="AN18" s="4132"/>
      <c r="AO18" s="3779"/>
      <c r="AP18" s="3779"/>
      <c r="AQ18" s="4128"/>
    </row>
    <row r="19" spans="1:43" s="412" customFormat="1" ht="15" x14ac:dyDescent="0.2">
      <c r="A19" s="1100"/>
      <c r="B19" s="1006"/>
      <c r="C19" s="425"/>
      <c r="D19" s="1573"/>
      <c r="E19" s="1656"/>
      <c r="F19" s="1656"/>
      <c r="G19" s="426">
        <v>69</v>
      </c>
      <c r="H19" s="427" t="s">
        <v>1594</v>
      </c>
      <c r="I19" s="427"/>
      <c r="J19" s="427"/>
      <c r="K19" s="1223"/>
      <c r="L19" s="1223"/>
      <c r="M19" s="1223"/>
      <c r="N19" s="427"/>
      <c r="O19" s="429"/>
      <c r="P19" s="428"/>
      <c r="Q19" s="430"/>
      <c r="R19" s="1836"/>
      <c r="S19" s="1223" t="s">
        <v>1325</v>
      </c>
      <c r="T19" s="1223" t="s">
        <v>1325</v>
      </c>
      <c r="U19" s="1223"/>
      <c r="V19" s="1842"/>
      <c r="W19" s="1850"/>
      <c r="X19" s="1223"/>
      <c r="Y19" s="429"/>
      <c r="Z19" s="429"/>
      <c r="AA19" s="429"/>
      <c r="AB19" s="429"/>
      <c r="AC19" s="429"/>
      <c r="AD19" s="429"/>
      <c r="AE19" s="429"/>
      <c r="AF19" s="429"/>
      <c r="AG19" s="429"/>
      <c r="AH19" s="429"/>
      <c r="AI19" s="429"/>
      <c r="AJ19" s="429"/>
      <c r="AK19" s="429"/>
      <c r="AL19" s="429"/>
      <c r="AM19" s="429"/>
      <c r="AN19" s="429"/>
      <c r="AO19" s="1102"/>
      <c r="AP19" s="1102"/>
      <c r="AQ19" s="1101"/>
    </row>
    <row r="20" spans="1:43" s="412" customFormat="1" ht="51.75" customHeight="1" x14ac:dyDescent="0.2">
      <c r="A20" s="1100"/>
      <c r="B20" s="1006"/>
      <c r="C20" s="425"/>
      <c r="D20" s="1573"/>
      <c r="E20" s="1656"/>
      <c r="F20" s="1656"/>
      <c r="G20" s="1573"/>
      <c r="H20" s="1656"/>
      <c r="I20" s="1656"/>
      <c r="J20" s="3378">
        <v>204</v>
      </c>
      <c r="K20" s="3212" t="s">
        <v>1595</v>
      </c>
      <c r="L20" s="2674" t="s">
        <v>1596</v>
      </c>
      <c r="M20" s="3029">
        <v>13</v>
      </c>
      <c r="N20" s="1503" t="s">
        <v>1597</v>
      </c>
      <c r="O20" s="2842" t="s">
        <v>1574</v>
      </c>
      <c r="P20" s="3029" t="s">
        <v>1575</v>
      </c>
      <c r="Q20" s="3178">
        <f>SUM(V20:V21)/R20</f>
        <v>1</v>
      </c>
      <c r="R20" s="3385">
        <f>SUM(V20:V21)</f>
        <v>170200000</v>
      </c>
      <c r="S20" s="3029" t="s">
        <v>1576</v>
      </c>
      <c r="T20" s="3029" t="s">
        <v>1577</v>
      </c>
      <c r="U20" s="3029" t="s">
        <v>1598</v>
      </c>
      <c r="V20" s="1843">
        <v>110200000</v>
      </c>
      <c r="W20" s="1805">
        <v>4</v>
      </c>
      <c r="X20" s="1519" t="s">
        <v>1589</v>
      </c>
      <c r="Y20" s="4129">
        <v>300</v>
      </c>
      <c r="Z20" s="4129">
        <v>710</v>
      </c>
      <c r="AA20" s="4129">
        <v>317</v>
      </c>
      <c r="AB20" s="4129">
        <v>633</v>
      </c>
      <c r="AC20" s="4129"/>
      <c r="AD20" s="4129"/>
      <c r="AE20" s="4129"/>
      <c r="AF20" s="4129"/>
      <c r="AG20" s="4129"/>
      <c r="AH20" s="4129"/>
      <c r="AI20" s="4129"/>
      <c r="AJ20" s="4129"/>
      <c r="AK20" s="4129"/>
      <c r="AL20" s="4129">
        <v>60</v>
      </c>
      <c r="AM20" s="4129"/>
      <c r="AN20" s="4129">
        <v>1010</v>
      </c>
      <c r="AO20" s="4131">
        <v>43480</v>
      </c>
      <c r="AP20" s="4131">
        <v>43830</v>
      </c>
      <c r="AQ20" s="4127" t="s">
        <v>1580</v>
      </c>
    </row>
    <row r="21" spans="1:43" s="412" customFormat="1" ht="56.25" customHeight="1" x14ac:dyDescent="0.2">
      <c r="A21" s="1100"/>
      <c r="B21" s="1006"/>
      <c r="C21" s="425"/>
      <c r="D21" s="1573"/>
      <c r="E21" s="1656"/>
      <c r="F21" s="1656"/>
      <c r="G21" s="1573"/>
      <c r="H21" s="1656"/>
      <c r="I21" s="1656"/>
      <c r="J21" s="3378"/>
      <c r="K21" s="3212"/>
      <c r="L21" s="2674"/>
      <c r="M21" s="3030"/>
      <c r="N21" s="1503" t="s">
        <v>1599</v>
      </c>
      <c r="O21" s="3134"/>
      <c r="P21" s="3030"/>
      <c r="Q21" s="3180"/>
      <c r="R21" s="3386"/>
      <c r="S21" s="3030"/>
      <c r="T21" s="3030" t="s">
        <v>1325</v>
      </c>
      <c r="U21" s="3030"/>
      <c r="V21" s="1843">
        <v>60000000</v>
      </c>
      <c r="W21" s="1805">
        <v>12</v>
      </c>
      <c r="X21" s="1519" t="s">
        <v>1579</v>
      </c>
      <c r="Y21" s="4130"/>
      <c r="Z21" s="4130"/>
      <c r="AA21" s="4130"/>
      <c r="AB21" s="4130"/>
      <c r="AC21" s="4130"/>
      <c r="AD21" s="4130"/>
      <c r="AE21" s="4130"/>
      <c r="AF21" s="4130"/>
      <c r="AG21" s="4130"/>
      <c r="AH21" s="4130"/>
      <c r="AI21" s="4130"/>
      <c r="AJ21" s="4130"/>
      <c r="AK21" s="4130"/>
      <c r="AL21" s="4130"/>
      <c r="AM21" s="4130"/>
      <c r="AN21" s="4130"/>
      <c r="AO21" s="3779"/>
      <c r="AP21" s="3779"/>
      <c r="AQ21" s="4128"/>
    </row>
    <row r="22" spans="1:43" ht="15" x14ac:dyDescent="0.2">
      <c r="A22" s="1100"/>
      <c r="B22" s="1006"/>
      <c r="C22" s="425"/>
      <c r="D22" s="1573"/>
      <c r="E22" s="1656"/>
      <c r="F22" s="1656"/>
      <c r="G22" s="426">
        <v>70</v>
      </c>
      <c r="H22" s="427" t="s">
        <v>1600</v>
      </c>
      <c r="I22" s="427"/>
      <c r="J22" s="427"/>
      <c r="K22" s="1223"/>
      <c r="L22" s="1223"/>
      <c r="M22" s="1223"/>
      <c r="N22" s="427"/>
      <c r="O22" s="429"/>
      <c r="P22" s="428"/>
      <c r="Q22" s="430"/>
      <c r="R22" s="1836"/>
      <c r="S22" s="1223" t="s">
        <v>1325</v>
      </c>
      <c r="T22" s="1223" t="s">
        <v>1325</v>
      </c>
      <c r="U22" s="1223"/>
      <c r="V22" s="1842"/>
      <c r="W22" s="1850"/>
      <c r="X22" s="1224"/>
      <c r="Y22" s="433"/>
      <c r="Z22" s="433"/>
      <c r="AA22" s="433"/>
      <c r="AB22" s="433"/>
      <c r="AC22" s="433"/>
      <c r="AD22" s="433"/>
      <c r="AE22" s="433"/>
      <c r="AF22" s="433"/>
      <c r="AG22" s="433"/>
      <c r="AH22" s="433"/>
      <c r="AI22" s="433"/>
      <c r="AJ22" s="433"/>
      <c r="AK22" s="433"/>
      <c r="AL22" s="433"/>
      <c r="AM22" s="433"/>
      <c r="AN22" s="433"/>
      <c r="AO22" s="1102"/>
      <c r="AP22" s="1102"/>
      <c r="AQ22" s="1103"/>
    </row>
    <row r="23" spans="1:43" ht="39.75" customHeight="1" x14ac:dyDescent="0.2">
      <c r="A23" s="1100"/>
      <c r="B23" s="1006"/>
      <c r="C23" s="425"/>
      <c r="D23" s="1573"/>
      <c r="E23" s="1656"/>
      <c r="F23" s="1656"/>
      <c r="G23" s="1573"/>
      <c r="H23" s="1656"/>
      <c r="I23" s="1656"/>
      <c r="J23" s="3378">
        <v>205</v>
      </c>
      <c r="K23" s="3212" t="s">
        <v>1601</v>
      </c>
      <c r="L23" s="2674" t="s">
        <v>1602</v>
      </c>
      <c r="M23" s="3212">
        <v>1</v>
      </c>
      <c r="N23" s="1503" t="s">
        <v>1603</v>
      </c>
      <c r="O23" s="3378" t="s">
        <v>1604</v>
      </c>
      <c r="P23" s="3212" t="s">
        <v>1605</v>
      </c>
      <c r="Q23" s="3178">
        <f>SUM(V23:V27)/R23</f>
        <v>1</v>
      </c>
      <c r="R23" s="3433">
        <f>+SUM(V23:V27)</f>
        <v>387947240</v>
      </c>
      <c r="S23" s="3029" t="s">
        <v>1606</v>
      </c>
      <c r="T23" s="3029" t="s">
        <v>1607</v>
      </c>
      <c r="U23" s="3029" t="s">
        <v>1608</v>
      </c>
      <c r="V23" s="1840">
        <v>120000000</v>
      </c>
      <c r="W23" s="1805">
        <v>12</v>
      </c>
      <c r="X23" s="1519" t="s">
        <v>1579</v>
      </c>
      <c r="Y23" s="4125">
        <v>6000</v>
      </c>
      <c r="Z23" s="4125">
        <v>9000</v>
      </c>
      <c r="AA23" s="4125">
        <v>10500</v>
      </c>
      <c r="AB23" s="4125">
        <v>4500</v>
      </c>
      <c r="AC23" s="4125"/>
      <c r="AD23" s="4125"/>
      <c r="AE23" s="4125">
        <v>22</v>
      </c>
      <c r="AF23" s="4125">
        <v>115</v>
      </c>
      <c r="AG23" s="4125">
        <v>1</v>
      </c>
      <c r="AH23" s="4125"/>
      <c r="AI23" s="4125"/>
      <c r="AJ23" s="4125"/>
      <c r="AK23" s="4125"/>
      <c r="AL23" s="4125">
        <v>59</v>
      </c>
      <c r="AM23" s="4125"/>
      <c r="AN23" s="4125">
        <f>+SUM(Y23:Z27)</f>
        <v>15000</v>
      </c>
      <c r="AO23" s="3784">
        <v>43480</v>
      </c>
      <c r="AP23" s="3784">
        <v>43830</v>
      </c>
      <c r="AQ23" s="4115" t="s">
        <v>1580</v>
      </c>
    </row>
    <row r="24" spans="1:43" ht="42" customHeight="1" x14ac:dyDescent="0.2">
      <c r="A24" s="1100"/>
      <c r="B24" s="1006"/>
      <c r="C24" s="425"/>
      <c r="D24" s="1573"/>
      <c r="E24" s="1656"/>
      <c r="F24" s="1656"/>
      <c r="G24" s="1573"/>
      <c r="H24" s="1656"/>
      <c r="I24" s="1656"/>
      <c r="J24" s="3378"/>
      <c r="K24" s="3212"/>
      <c r="L24" s="2674"/>
      <c r="M24" s="3212"/>
      <c r="N24" s="1503" t="s">
        <v>1609</v>
      </c>
      <c r="O24" s="3378"/>
      <c r="P24" s="3212"/>
      <c r="Q24" s="3179"/>
      <c r="R24" s="3433"/>
      <c r="S24" s="3159"/>
      <c r="T24" s="3159" t="s">
        <v>1325</v>
      </c>
      <c r="U24" s="3159"/>
      <c r="V24" s="1840">
        <v>100000000</v>
      </c>
      <c r="W24" s="1805">
        <v>4</v>
      </c>
      <c r="X24" s="1519" t="s">
        <v>1589</v>
      </c>
      <c r="Y24" s="4126"/>
      <c r="Z24" s="4126"/>
      <c r="AA24" s="4126"/>
      <c r="AB24" s="4126"/>
      <c r="AC24" s="4126"/>
      <c r="AD24" s="4126"/>
      <c r="AE24" s="4126"/>
      <c r="AF24" s="4126"/>
      <c r="AG24" s="4126"/>
      <c r="AH24" s="4126"/>
      <c r="AI24" s="4126"/>
      <c r="AJ24" s="4126"/>
      <c r="AK24" s="4126"/>
      <c r="AL24" s="4126"/>
      <c r="AM24" s="4126"/>
      <c r="AN24" s="4126"/>
      <c r="AO24" s="3785"/>
      <c r="AP24" s="3785"/>
      <c r="AQ24" s="4116"/>
    </row>
    <row r="25" spans="1:43" ht="42" customHeight="1" x14ac:dyDescent="0.2">
      <c r="A25" s="1100"/>
      <c r="B25" s="1006"/>
      <c r="C25" s="425"/>
      <c r="D25" s="1573"/>
      <c r="E25" s="1656"/>
      <c r="F25" s="1656"/>
      <c r="G25" s="1573"/>
      <c r="H25" s="1656"/>
      <c r="I25" s="1656"/>
      <c r="J25" s="3378"/>
      <c r="K25" s="3212"/>
      <c r="L25" s="2674"/>
      <c r="M25" s="3212"/>
      <c r="N25" s="1503" t="s">
        <v>1610</v>
      </c>
      <c r="O25" s="3378"/>
      <c r="P25" s="3212"/>
      <c r="Q25" s="3179"/>
      <c r="R25" s="3433"/>
      <c r="S25" s="3159"/>
      <c r="T25" s="3159"/>
      <c r="U25" s="3159"/>
      <c r="V25" s="1840">
        <f>100000000+8972708</f>
        <v>108972708</v>
      </c>
      <c r="W25" s="1805">
        <v>7</v>
      </c>
      <c r="X25" s="1519" t="s">
        <v>1611</v>
      </c>
      <c r="Y25" s="4126"/>
      <c r="Z25" s="4126"/>
      <c r="AA25" s="4126"/>
      <c r="AB25" s="4126"/>
      <c r="AC25" s="4126"/>
      <c r="AD25" s="4126"/>
      <c r="AE25" s="4126"/>
      <c r="AF25" s="4126"/>
      <c r="AG25" s="4126"/>
      <c r="AH25" s="4126"/>
      <c r="AI25" s="4126"/>
      <c r="AJ25" s="4126"/>
      <c r="AK25" s="4126"/>
      <c r="AL25" s="4126"/>
      <c r="AM25" s="4126"/>
      <c r="AN25" s="4126"/>
      <c r="AO25" s="3785"/>
      <c r="AP25" s="3785"/>
      <c r="AQ25" s="4116"/>
    </row>
    <row r="26" spans="1:43" ht="25.5" customHeight="1" x14ac:dyDescent="0.2">
      <c r="A26" s="1100"/>
      <c r="B26" s="1006"/>
      <c r="C26" s="425"/>
      <c r="D26" s="1573"/>
      <c r="E26" s="1656"/>
      <c r="F26" s="1656"/>
      <c r="G26" s="1573"/>
      <c r="H26" s="1656"/>
      <c r="I26" s="1656"/>
      <c r="J26" s="3378"/>
      <c r="K26" s="3212"/>
      <c r="L26" s="2674"/>
      <c r="M26" s="3212"/>
      <c r="N26" s="1503" t="s">
        <v>1612</v>
      </c>
      <c r="O26" s="3378"/>
      <c r="P26" s="3212"/>
      <c r="Q26" s="3179"/>
      <c r="R26" s="3433"/>
      <c r="S26" s="3159"/>
      <c r="T26" s="3159"/>
      <c r="U26" s="3159"/>
      <c r="V26" s="1840">
        <v>45006589</v>
      </c>
      <c r="W26" s="1805">
        <v>13</v>
      </c>
      <c r="X26" s="1519" t="s">
        <v>1613</v>
      </c>
      <c r="Y26" s="4126"/>
      <c r="Z26" s="4126"/>
      <c r="AA26" s="4126"/>
      <c r="AB26" s="4126"/>
      <c r="AC26" s="4126"/>
      <c r="AD26" s="4126"/>
      <c r="AE26" s="4126"/>
      <c r="AF26" s="4126"/>
      <c r="AG26" s="4126"/>
      <c r="AH26" s="4126"/>
      <c r="AI26" s="4126"/>
      <c r="AJ26" s="4126"/>
      <c r="AK26" s="4126"/>
      <c r="AL26" s="4126"/>
      <c r="AM26" s="4126"/>
      <c r="AN26" s="4126"/>
      <c r="AO26" s="3785"/>
      <c r="AP26" s="3785"/>
      <c r="AQ26" s="4116"/>
    </row>
    <row r="27" spans="1:43" ht="28.5" customHeight="1" x14ac:dyDescent="0.2">
      <c r="A27" s="1100"/>
      <c r="B27" s="1006"/>
      <c r="C27" s="425"/>
      <c r="D27" s="1573"/>
      <c r="E27" s="1656"/>
      <c r="F27" s="1656"/>
      <c r="G27" s="1573"/>
      <c r="H27" s="1656"/>
      <c r="I27" s="1656"/>
      <c r="J27" s="3378"/>
      <c r="K27" s="3212"/>
      <c r="L27" s="2674"/>
      <c r="M27" s="3212"/>
      <c r="N27" s="1503" t="s">
        <v>1614</v>
      </c>
      <c r="O27" s="3378"/>
      <c r="P27" s="3212"/>
      <c r="Q27" s="3180"/>
      <c r="R27" s="3433"/>
      <c r="S27" s="3159"/>
      <c r="T27" s="3159"/>
      <c r="U27" s="3159"/>
      <c r="V27" s="1840">
        <v>13967943</v>
      </c>
      <c r="W27" s="1805">
        <v>15</v>
      </c>
      <c r="X27" s="1519" t="s">
        <v>1615</v>
      </c>
      <c r="Y27" s="4126"/>
      <c r="Z27" s="4126"/>
      <c r="AA27" s="4126"/>
      <c r="AB27" s="4126"/>
      <c r="AC27" s="4126"/>
      <c r="AD27" s="4126"/>
      <c r="AE27" s="4126"/>
      <c r="AF27" s="4126"/>
      <c r="AG27" s="4126"/>
      <c r="AH27" s="4126"/>
      <c r="AI27" s="4126"/>
      <c r="AJ27" s="4126"/>
      <c r="AK27" s="4126"/>
      <c r="AL27" s="4126"/>
      <c r="AM27" s="4126"/>
      <c r="AN27" s="4126"/>
      <c r="AO27" s="3785"/>
      <c r="AP27" s="3785"/>
      <c r="AQ27" s="4116"/>
    </row>
    <row r="28" spans="1:43" ht="15" x14ac:dyDescent="0.2">
      <c r="A28" s="1100"/>
      <c r="B28" s="1006"/>
      <c r="C28" s="425"/>
      <c r="D28" s="1573"/>
      <c r="E28" s="1656"/>
      <c r="F28" s="1656"/>
      <c r="G28" s="426">
        <v>71</v>
      </c>
      <c r="H28" s="427" t="s">
        <v>1616</v>
      </c>
      <c r="I28" s="427"/>
      <c r="J28" s="427"/>
      <c r="K28" s="1223"/>
      <c r="L28" s="1223"/>
      <c r="M28" s="1223"/>
      <c r="N28" s="427"/>
      <c r="O28" s="429"/>
      <c r="P28" s="428"/>
      <c r="Q28" s="430"/>
      <c r="R28" s="1836"/>
      <c r="S28" s="1223" t="s">
        <v>1325</v>
      </c>
      <c r="T28" s="1223" t="s">
        <v>1325</v>
      </c>
      <c r="U28" s="1223"/>
      <c r="V28" s="1842"/>
      <c r="W28" s="1850"/>
      <c r="X28" s="1223"/>
      <c r="Y28" s="429"/>
      <c r="Z28" s="429"/>
      <c r="AA28" s="429"/>
      <c r="AB28" s="429"/>
      <c r="AC28" s="429"/>
      <c r="AD28" s="429"/>
      <c r="AE28" s="429"/>
      <c r="AF28" s="429"/>
      <c r="AG28" s="429"/>
      <c r="AH28" s="429"/>
      <c r="AI28" s="429"/>
      <c r="AJ28" s="429"/>
      <c r="AK28" s="429"/>
      <c r="AL28" s="429"/>
      <c r="AM28" s="429"/>
      <c r="AN28" s="429"/>
      <c r="AO28" s="1102"/>
      <c r="AP28" s="1102"/>
      <c r="AQ28" s="1101"/>
    </row>
    <row r="29" spans="1:43" ht="44.25" customHeight="1" x14ac:dyDescent="0.2">
      <c r="A29" s="1100"/>
      <c r="B29" s="1006"/>
      <c r="C29" s="425"/>
      <c r="D29" s="1573"/>
      <c r="E29" s="1656"/>
      <c r="F29" s="1656"/>
      <c r="G29" s="1573"/>
      <c r="H29" s="1656"/>
      <c r="I29" s="1656"/>
      <c r="J29" s="2842">
        <v>206</v>
      </c>
      <c r="K29" s="3351" t="s">
        <v>1617</v>
      </c>
      <c r="L29" s="4120" t="s">
        <v>1618</v>
      </c>
      <c r="M29" s="2842">
        <v>12</v>
      </c>
      <c r="N29" s="1503" t="s">
        <v>1619</v>
      </c>
      <c r="O29" s="2842" t="s">
        <v>1620</v>
      </c>
      <c r="P29" s="3215" t="s">
        <v>1621</v>
      </c>
      <c r="Q29" s="3178">
        <f>(+V29+V30)/R29</f>
        <v>0.32857142857142857</v>
      </c>
      <c r="R29" s="3433">
        <f>+SUM(V29:V34)</f>
        <v>350000000</v>
      </c>
      <c r="S29" s="3029" t="s">
        <v>1622</v>
      </c>
      <c r="T29" s="3029" t="s">
        <v>1623</v>
      </c>
      <c r="U29" s="2842" t="s">
        <v>1624</v>
      </c>
      <c r="V29" s="1841">
        <v>55000000</v>
      </c>
      <c r="W29" s="1804">
        <v>12</v>
      </c>
      <c r="X29" s="1527" t="s">
        <v>1579</v>
      </c>
      <c r="Y29" s="4117">
        <v>900</v>
      </c>
      <c r="Z29" s="4117">
        <v>300</v>
      </c>
      <c r="AA29" s="4117">
        <v>372</v>
      </c>
      <c r="AB29" s="4117">
        <v>94</v>
      </c>
      <c r="AC29" s="4117">
        <v>734</v>
      </c>
      <c r="AD29" s="4117"/>
      <c r="AE29" s="4117"/>
      <c r="AF29" s="4117"/>
      <c r="AG29" s="4117"/>
      <c r="AH29" s="4117"/>
      <c r="AI29" s="4117"/>
      <c r="AJ29" s="4117"/>
      <c r="AK29" s="4117"/>
      <c r="AL29" s="4117"/>
      <c r="AM29" s="4117"/>
      <c r="AN29" s="4117">
        <v>1200</v>
      </c>
      <c r="AO29" s="3784">
        <v>43480</v>
      </c>
      <c r="AP29" s="3784">
        <v>43830</v>
      </c>
      <c r="AQ29" s="4115" t="s">
        <v>1580</v>
      </c>
    </row>
    <row r="30" spans="1:43" ht="57.75" customHeight="1" x14ac:dyDescent="0.2">
      <c r="A30" s="1100"/>
      <c r="B30" s="1006"/>
      <c r="C30" s="425"/>
      <c r="D30" s="1573"/>
      <c r="E30" s="1656"/>
      <c r="F30" s="1656"/>
      <c r="G30" s="1573"/>
      <c r="H30" s="1656"/>
      <c r="I30" s="1656"/>
      <c r="J30" s="3134"/>
      <c r="K30" s="3353"/>
      <c r="L30" s="4121"/>
      <c r="M30" s="3134"/>
      <c r="N30" s="1503" t="s">
        <v>1625</v>
      </c>
      <c r="O30" s="2843"/>
      <c r="P30" s="3410"/>
      <c r="Q30" s="3180"/>
      <c r="R30" s="3433"/>
      <c r="S30" s="3159"/>
      <c r="T30" s="3159"/>
      <c r="U30" s="3134"/>
      <c r="V30" s="1841">
        <v>60000000</v>
      </c>
      <c r="W30" s="1804">
        <v>13</v>
      </c>
      <c r="X30" s="1519" t="s">
        <v>1613</v>
      </c>
      <c r="Y30" s="4118"/>
      <c r="Z30" s="4118"/>
      <c r="AA30" s="4118"/>
      <c r="AB30" s="4118"/>
      <c r="AC30" s="4118"/>
      <c r="AD30" s="4118"/>
      <c r="AE30" s="4118"/>
      <c r="AF30" s="4118"/>
      <c r="AG30" s="4118"/>
      <c r="AH30" s="4118"/>
      <c r="AI30" s="4118"/>
      <c r="AJ30" s="4118"/>
      <c r="AK30" s="4118"/>
      <c r="AL30" s="4118"/>
      <c r="AM30" s="4118"/>
      <c r="AN30" s="4118"/>
      <c r="AO30" s="3785"/>
      <c r="AP30" s="3785"/>
      <c r="AQ30" s="4116"/>
    </row>
    <row r="31" spans="1:43" ht="54" customHeight="1" x14ac:dyDescent="0.2">
      <c r="A31" s="1100"/>
      <c r="B31" s="1006"/>
      <c r="C31" s="425"/>
      <c r="D31" s="1573"/>
      <c r="E31" s="1656"/>
      <c r="F31" s="1656"/>
      <c r="G31" s="1573"/>
      <c r="H31" s="1656"/>
      <c r="I31" s="1656"/>
      <c r="J31" s="4122">
        <v>207</v>
      </c>
      <c r="K31" s="3351" t="s">
        <v>1626</v>
      </c>
      <c r="L31" s="4120" t="s">
        <v>1627</v>
      </c>
      <c r="M31" s="2842">
        <v>1</v>
      </c>
      <c r="N31" s="1503" t="s">
        <v>1628</v>
      </c>
      <c r="O31" s="2843"/>
      <c r="P31" s="3410"/>
      <c r="Q31" s="3178">
        <f>(+V31+V32)/R29</f>
        <v>0.51428571428571423</v>
      </c>
      <c r="R31" s="3433"/>
      <c r="S31" s="3159"/>
      <c r="T31" s="3159" t="s">
        <v>1325</v>
      </c>
      <c r="U31" s="3215" t="s">
        <v>1629</v>
      </c>
      <c r="V31" s="1841">
        <v>80000000</v>
      </c>
      <c r="W31" s="1804">
        <v>12</v>
      </c>
      <c r="X31" s="1527" t="s">
        <v>1579</v>
      </c>
      <c r="Y31" s="4118"/>
      <c r="Z31" s="4118"/>
      <c r="AA31" s="4118"/>
      <c r="AB31" s="4118"/>
      <c r="AC31" s="4118"/>
      <c r="AD31" s="4118"/>
      <c r="AE31" s="4118"/>
      <c r="AF31" s="4118"/>
      <c r="AG31" s="4118"/>
      <c r="AH31" s="4118"/>
      <c r="AI31" s="4118"/>
      <c r="AJ31" s="4118"/>
      <c r="AK31" s="4118"/>
      <c r="AL31" s="4118"/>
      <c r="AM31" s="4118"/>
      <c r="AN31" s="4118"/>
      <c r="AO31" s="3785"/>
      <c r="AP31" s="3785"/>
      <c r="AQ31" s="4116"/>
    </row>
    <row r="32" spans="1:43" ht="51" customHeight="1" x14ac:dyDescent="0.2">
      <c r="A32" s="1100"/>
      <c r="B32" s="1006"/>
      <c r="C32" s="425"/>
      <c r="D32" s="1573"/>
      <c r="E32" s="1656"/>
      <c r="F32" s="1656"/>
      <c r="G32" s="1573"/>
      <c r="H32" s="1656"/>
      <c r="I32" s="1656"/>
      <c r="J32" s="4123"/>
      <c r="K32" s="3353"/>
      <c r="L32" s="4121"/>
      <c r="M32" s="3134"/>
      <c r="N32" s="1503" t="s">
        <v>1630</v>
      </c>
      <c r="O32" s="2843"/>
      <c r="P32" s="3410"/>
      <c r="Q32" s="3180"/>
      <c r="R32" s="3433"/>
      <c r="S32" s="3159"/>
      <c r="T32" s="3159"/>
      <c r="U32" s="3411"/>
      <c r="V32" s="1841">
        <v>100000000</v>
      </c>
      <c r="W32" s="1804">
        <v>13</v>
      </c>
      <c r="X32" s="1519" t="s">
        <v>1613</v>
      </c>
      <c r="Y32" s="4118"/>
      <c r="Z32" s="4118"/>
      <c r="AA32" s="4118"/>
      <c r="AB32" s="4118"/>
      <c r="AC32" s="4118"/>
      <c r="AD32" s="4118"/>
      <c r="AE32" s="4118"/>
      <c r="AF32" s="4118"/>
      <c r="AG32" s="4118"/>
      <c r="AH32" s="4118"/>
      <c r="AI32" s="4118"/>
      <c r="AJ32" s="4118"/>
      <c r="AK32" s="4118"/>
      <c r="AL32" s="4118"/>
      <c r="AM32" s="4118"/>
      <c r="AN32" s="4118"/>
      <c r="AO32" s="3785"/>
      <c r="AP32" s="3785"/>
      <c r="AQ32" s="4116"/>
    </row>
    <row r="33" spans="1:43" ht="38.25" customHeight="1" x14ac:dyDescent="0.2">
      <c r="A33" s="1100"/>
      <c r="B33" s="1006"/>
      <c r="C33" s="425"/>
      <c r="D33" s="1573"/>
      <c r="E33" s="1656"/>
      <c r="F33" s="1656"/>
      <c r="G33" s="1573"/>
      <c r="H33" s="1656"/>
      <c r="I33" s="1656"/>
      <c r="J33" s="3378">
        <v>208</v>
      </c>
      <c r="K33" s="2674" t="s">
        <v>1631</v>
      </c>
      <c r="L33" s="2674" t="s">
        <v>1632</v>
      </c>
      <c r="M33" s="3212">
        <v>1</v>
      </c>
      <c r="N33" s="1503" t="s">
        <v>1633</v>
      </c>
      <c r="O33" s="2843"/>
      <c r="P33" s="3410"/>
      <c r="Q33" s="3178">
        <f>SUM(V33:V34)/R29</f>
        <v>0.15714285714285714</v>
      </c>
      <c r="R33" s="3433"/>
      <c r="S33" s="3159"/>
      <c r="T33" s="3159" t="s">
        <v>1325</v>
      </c>
      <c r="U33" s="3212" t="s">
        <v>1634</v>
      </c>
      <c r="V33" s="1844">
        <v>30000000</v>
      </c>
      <c r="W33" s="1804">
        <v>4</v>
      </c>
      <c r="X33" s="1527" t="s">
        <v>1589</v>
      </c>
      <c r="Y33" s="4118"/>
      <c r="Z33" s="4118"/>
      <c r="AA33" s="4118"/>
      <c r="AB33" s="4118"/>
      <c r="AC33" s="4118"/>
      <c r="AD33" s="4118"/>
      <c r="AE33" s="4118"/>
      <c r="AF33" s="4118"/>
      <c r="AG33" s="4118"/>
      <c r="AH33" s="4118"/>
      <c r="AI33" s="4118"/>
      <c r="AJ33" s="4118"/>
      <c r="AK33" s="4118"/>
      <c r="AL33" s="4118"/>
      <c r="AM33" s="4118"/>
      <c r="AN33" s="4118"/>
      <c r="AO33" s="3785"/>
      <c r="AP33" s="3785"/>
      <c r="AQ33" s="4116"/>
    </row>
    <row r="34" spans="1:43" ht="34.5" customHeight="1" x14ac:dyDescent="0.2">
      <c r="A34" s="1100"/>
      <c r="B34" s="1006"/>
      <c r="C34" s="425"/>
      <c r="D34" s="1573"/>
      <c r="E34" s="1656"/>
      <c r="F34" s="1656"/>
      <c r="G34" s="1573"/>
      <c r="H34" s="1656"/>
      <c r="I34" s="1656"/>
      <c r="J34" s="3378"/>
      <c r="K34" s="2674"/>
      <c r="L34" s="2674"/>
      <c r="M34" s="3212"/>
      <c r="N34" s="1503" t="s">
        <v>1635</v>
      </c>
      <c r="O34" s="3134"/>
      <c r="P34" s="3411"/>
      <c r="Q34" s="3180"/>
      <c r="R34" s="3433"/>
      <c r="S34" s="3030"/>
      <c r="T34" s="3030" t="s">
        <v>1325</v>
      </c>
      <c r="U34" s="3212"/>
      <c r="V34" s="1844">
        <v>25000000</v>
      </c>
      <c r="W34" s="1804">
        <v>12</v>
      </c>
      <c r="X34" s="1527" t="s">
        <v>1579</v>
      </c>
      <c r="Y34" s="4118"/>
      <c r="Z34" s="4118"/>
      <c r="AA34" s="4118"/>
      <c r="AB34" s="4118"/>
      <c r="AC34" s="4118"/>
      <c r="AD34" s="4118"/>
      <c r="AE34" s="4118"/>
      <c r="AF34" s="4118"/>
      <c r="AG34" s="4118"/>
      <c r="AH34" s="4118"/>
      <c r="AI34" s="4118"/>
      <c r="AJ34" s="4118"/>
      <c r="AK34" s="4118"/>
      <c r="AL34" s="4118"/>
      <c r="AM34" s="4118"/>
      <c r="AN34" s="4118"/>
      <c r="AO34" s="3785"/>
      <c r="AP34" s="3785"/>
      <c r="AQ34" s="4116"/>
    </row>
    <row r="35" spans="1:43" ht="15" x14ac:dyDescent="0.2">
      <c r="A35" s="1098"/>
      <c r="B35" s="414"/>
      <c r="C35" s="415"/>
      <c r="D35" s="416">
        <v>21</v>
      </c>
      <c r="E35" s="417" t="s">
        <v>1636</v>
      </c>
      <c r="F35" s="417"/>
      <c r="G35" s="417"/>
      <c r="H35" s="417"/>
      <c r="I35" s="417"/>
      <c r="J35" s="417"/>
      <c r="K35" s="1225"/>
      <c r="L35" s="1225"/>
      <c r="M35" s="1225"/>
      <c r="N35" s="417"/>
      <c r="O35" s="419"/>
      <c r="P35" s="418"/>
      <c r="Q35" s="420"/>
      <c r="R35" s="1837"/>
      <c r="S35" s="1225" t="s">
        <v>1325</v>
      </c>
      <c r="T35" s="1225" t="s">
        <v>1325</v>
      </c>
      <c r="U35" s="1225"/>
      <c r="V35" s="1845"/>
      <c r="W35" s="1851"/>
      <c r="X35" s="1225"/>
      <c r="Y35" s="419"/>
      <c r="Z35" s="419"/>
      <c r="AA35" s="419"/>
      <c r="AB35" s="419"/>
      <c r="AC35" s="419"/>
      <c r="AD35" s="419"/>
      <c r="AE35" s="419"/>
      <c r="AF35" s="419"/>
      <c r="AG35" s="419"/>
      <c r="AH35" s="419"/>
      <c r="AI35" s="419"/>
      <c r="AJ35" s="419"/>
      <c r="AK35" s="419"/>
      <c r="AL35" s="419"/>
      <c r="AM35" s="419"/>
      <c r="AN35" s="419"/>
      <c r="AO35" s="1104"/>
      <c r="AP35" s="1104"/>
      <c r="AQ35" s="1099"/>
    </row>
    <row r="36" spans="1:43" ht="15" x14ac:dyDescent="0.2">
      <c r="A36" s="1100"/>
      <c r="B36" s="1006"/>
      <c r="C36" s="425"/>
      <c r="D36" s="1573"/>
      <c r="E36" s="1656"/>
      <c r="F36" s="1656"/>
      <c r="G36" s="426">
        <v>72</v>
      </c>
      <c r="H36" s="427" t="s">
        <v>1637</v>
      </c>
      <c r="I36" s="427"/>
      <c r="J36" s="427"/>
      <c r="K36" s="1223"/>
      <c r="L36" s="1223"/>
      <c r="M36" s="1223"/>
      <c r="N36" s="427"/>
      <c r="O36" s="429"/>
      <c r="P36" s="428"/>
      <c r="Q36" s="430"/>
      <c r="R36" s="1836"/>
      <c r="S36" s="1223" t="s">
        <v>1325</v>
      </c>
      <c r="T36" s="1223" t="s">
        <v>1325</v>
      </c>
      <c r="U36" s="1223"/>
      <c r="V36" s="1842"/>
      <c r="W36" s="1850"/>
      <c r="X36" s="1224"/>
      <c r="Y36" s="433"/>
      <c r="Z36" s="433"/>
      <c r="AA36" s="433"/>
      <c r="AB36" s="433"/>
      <c r="AC36" s="433"/>
      <c r="AD36" s="433"/>
      <c r="AE36" s="433"/>
      <c r="AF36" s="433"/>
      <c r="AG36" s="433"/>
      <c r="AH36" s="433"/>
      <c r="AI36" s="433"/>
      <c r="AJ36" s="433"/>
      <c r="AK36" s="433"/>
      <c r="AL36" s="433"/>
      <c r="AM36" s="433"/>
      <c r="AN36" s="433"/>
      <c r="AO36" s="1102"/>
      <c r="AP36" s="1102"/>
      <c r="AQ36" s="1103"/>
    </row>
    <row r="37" spans="1:43" ht="37.5" customHeight="1" x14ac:dyDescent="0.2">
      <c r="A37" s="1100"/>
      <c r="B37" s="1006"/>
      <c r="C37" s="425"/>
      <c r="D37" s="1573"/>
      <c r="E37" s="1656"/>
      <c r="F37" s="1656"/>
      <c r="G37" s="1573"/>
      <c r="H37" s="1656"/>
      <c r="I37" s="1656"/>
      <c r="J37" s="3378">
        <v>209</v>
      </c>
      <c r="K37" s="3203" t="s">
        <v>1638</v>
      </c>
      <c r="L37" s="3203" t="s">
        <v>1639</v>
      </c>
      <c r="M37" s="3029">
        <v>1</v>
      </c>
      <c r="N37" s="1503" t="s">
        <v>1640</v>
      </c>
      <c r="O37" s="2842" t="s">
        <v>1641</v>
      </c>
      <c r="P37" s="3029" t="s">
        <v>1642</v>
      </c>
      <c r="Q37" s="3178">
        <f>SUM(V37:V39)/R37</f>
        <v>0.30849657402537445</v>
      </c>
      <c r="R37" s="3385">
        <f>+SUM(V37:V47)</f>
        <v>294330659.22000003</v>
      </c>
      <c r="S37" s="3029" t="s">
        <v>1643</v>
      </c>
      <c r="T37" s="3029" t="s">
        <v>1644</v>
      </c>
      <c r="U37" s="3029" t="s">
        <v>1645</v>
      </c>
      <c r="V37" s="1840">
        <v>30000000</v>
      </c>
      <c r="W37" s="1805">
        <v>3</v>
      </c>
      <c r="X37" s="1519" t="s">
        <v>1584</v>
      </c>
      <c r="Y37" s="3450">
        <v>1666</v>
      </c>
      <c r="Z37" s="3450">
        <v>1507</v>
      </c>
      <c r="AA37" s="3450">
        <v>1400</v>
      </c>
      <c r="AB37" s="3450">
        <v>350</v>
      </c>
      <c r="AC37" s="3450">
        <v>450</v>
      </c>
      <c r="AD37" s="3450">
        <v>973</v>
      </c>
      <c r="AE37" s="3450"/>
      <c r="AF37" s="3450"/>
      <c r="AG37" s="3450"/>
      <c r="AH37" s="3450"/>
      <c r="AI37" s="3450"/>
      <c r="AJ37" s="3450"/>
      <c r="AK37" s="3450"/>
      <c r="AL37" s="3450"/>
      <c r="AM37" s="3450"/>
      <c r="AN37" s="3450">
        <v>3173</v>
      </c>
      <c r="AO37" s="3784">
        <v>43480</v>
      </c>
      <c r="AP37" s="3784">
        <v>43830</v>
      </c>
      <c r="AQ37" s="4115" t="s">
        <v>1580</v>
      </c>
    </row>
    <row r="38" spans="1:43" ht="28.5" customHeight="1" x14ac:dyDescent="0.2">
      <c r="A38" s="1100"/>
      <c r="B38" s="1006"/>
      <c r="C38" s="425"/>
      <c r="D38" s="1573"/>
      <c r="E38" s="1656"/>
      <c r="F38" s="1656"/>
      <c r="G38" s="1573"/>
      <c r="H38" s="1656"/>
      <c r="I38" s="1656"/>
      <c r="J38" s="3378"/>
      <c r="K38" s="3204"/>
      <c r="L38" s="3204"/>
      <c r="M38" s="3159"/>
      <c r="N38" s="1503"/>
      <c r="O38" s="2843"/>
      <c r="P38" s="3159"/>
      <c r="Q38" s="3179"/>
      <c r="R38" s="4124"/>
      <c r="S38" s="3159"/>
      <c r="T38" s="3159"/>
      <c r="U38" s="3159"/>
      <c r="V38" s="1840">
        <f>25000000+15800000</f>
        <v>40800000</v>
      </c>
      <c r="W38" s="1805">
        <v>7</v>
      </c>
      <c r="X38" s="1519" t="s">
        <v>1611</v>
      </c>
      <c r="Y38" s="3796"/>
      <c r="Z38" s="3796"/>
      <c r="AA38" s="3796"/>
      <c r="AB38" s="3796"/>
      <c r="AC38" s="3796"/>
      <c r="AD38" s="3796"/>
      <c r="AE38" s="3796"/>
      <c r="AF38" s="3796"/>
      <c r="AG38" s="3796"/>
      <c r="AH38" s="3796"/>
      <c r="AI38" s="3796"/>
      <c r="AJ38" s="3796"/>
      <c r="AK38" s="3796"/>
      <c r="AL38" s="3796"/>
      <c r="AM38" s="3796"/>
      <c r="AN38" s="3796"/>
      <c r="AO38" s="3785"/>
      <c r="AP38" s="3785"/>
      <c r="AQ38" s="4116"/>
    </row>
    <row r="39" spans="1:43" ht="42" customHeight="1" x14ac:dyDescent="0.2">
      <c r="A39" s="1100"/>
      <c r="B39" s="1006"/>
      <c r="C39" s="425"/>
      <c r="D39" s="1573"/>
      <c r="E39" s="1656"/>
      <c r="F39" s="1656"/>
      <c r="G39" s="1573"/>
      <c r="H39" s="1656"/>
      <c r="I39" s="1656"/>
      <c r="J39" s="3378"/>
      <c r="K39" s="3205"/>
      <c r="L39" s="3205"/>
      <c r="M39" s="3030"/>
      <c r="N39" s="1503" t="s">
        <v>1646</v>
      </c>
      <c r="O39" s="2843"/>
      <c r="P39" s="3159"/>
      <c r="Q39" s="3180"/>
      <c r="R39" s="4124"/>
      <c r="S39" s="3159"/>
      <c r="T39" s="3159"/>
      <c r="U39" s="3030"/>
      <c r="V39" s="1840">
        <v>20000000</v>
      </c>
      <c r="W39" s="1805">
        <v>3</v>
      </c>
      <c r="X39" s="1519" t="s">
        <v>1647</v>
      </c>
      <c r="Y39" s="3796"/>
      <c r="Z39" s="3796"/>
      <c r="AA39" s="3796"/>
      <c r="AB39" s="3796"/>
      <c r="AC39" s="3796"/>
      <c r="AD39" s="3796"/>
      <c r="AE39" s="3796"/>
      <c r="AF39" s="3796"/>
      <c r="AG39" s="3796"/>
      <c r="AH39" s="3796"/>
      <c r="AI39" s="3796"/>
      <c r="AJ39" s="3796"/>
      <c r="AK39" s="3796"/>
      <c r="AL39" s="3796"/>
      <c r="AM39" s="3796"/>
      <c r="AN39" s="3796"/>
      <c r="AO39" s="3785"/>
      <c r="AP39" s="3785"/>
      <c r="AQ39" s="4116"/>
    </row>
    <row r="40" spans="1:43" ht="18.75" customHeight="1" x14ac:dyDescent="0.2">
      <c r="A40" s="1100"/>
      <c r="B40" s="1006"/>
      <c r="C40" s="425"/>
      <c r="D40" s="1573"/>
      <c r="E40" s="1656"/>
      <c r="F40" s="1656"/>
      <c r="G40" s="1573"/>
      <c r="H40" s="1656"/>
      <c r="I40" s="1656"/>
      <c r="J40" s="2842">
        <v>210</v>
      </c>
      <c r="K40" s="3203" t="s">
        <v>1648</v>
      </c>
      <c r="L40" s="3203" t="s">
        <v>1649</v>
      </c>
      <c r="M40" s="3029">
        <v>1</v>
      </c>
      <c r="N40" s="1503" t="s">
        <v>1650</v>
      </c>
      <c r="O40" s="2843"/>
      <c r="P40" s="3159"/>
      <c r="Q40" s="3178">
        <f>SUM(V40:V43)/R37</f>
        <v>0.27442275369494207</v>
      </c>
      <c r="R40" s="4124"/>
      <c r="S40" s="3159"/>
      <c r="T40" s="3159"/>
      <c r="U40" s="3029" t="s">
        <v>1651</v>
      </c>
      <c r="V40" s="1840">
        <v>9000000</v>
      </c>
      <c r="W40" s="1805">
        <v>4</v>
      </c>
      <c r="X40" s="1519" t="s">
        <v>1589</v>
      </c>
      <c r="Y40" s="3796"/>
      <c r="Z40" s="3796"/>
      <c r="AA40" s="3796"/>
      <c r="AB40" s="3796"/>
      <c r="AC40" s="3796"/>
      <c r="AD40" s="3796"/>
      <c r="AE40" s="3796"/>
      <c r="AF40" s="3796"/>
      <c r="AG40" s="3796"/>
      <c r="AH40" s="3796"/>
      <c r="AI40" s="3796"/>
      <c r="AJ40" s="3796"/>
      <c r="AK40" s="3796"/>
      <c r="AL40" s="3796"/>
      <c r="AM40" s="3796"/>
      <c r="AN40" s="3796"/>
      <c r="AO40" s="3785"/>
      <c r="AP40" s="3785"/>
      <c r="AQ40" s="4116"/>
    </row>
    <row r="41" spans="1:43" ht="27.75" customHeight="1" x14ac:dyDescent="0.2">
      <c r="A41" s="1100"/>
      <c r="B41" s="1006"/>
      <c r="C41" s="425"/>
      <c r="D41" s="1573"/>
      <c r="E41" s="1656"/>
      <c r="F41" s="1656"/>
      <c r="G41" s="1573"/>
      <c r="H41" s="1656"/>
      <c r="I41" s="1656"/>
      <c r="J41" s="2843"/>
      <c r="K41" s="3204"/>
      <c r="L41" s="3204"/>
      <c r="M41" s="3159"/>
      <c r="N41" s="1503"/>
      <c r="O41" s="2843"/>
      <c r="P41" s="3159"/>
      <c r="Q41" s="3179"/>
      <c r="R41" s="4124"/>
      <c r="S41" s="3159"/>
      <c r="T41" s="3159"/>
      <c r="U41" s="3159"/>
      <c r="V41" s="1840">
        <v>25000000</v>
      </c>
      <c r="W41" s="1805">
        <v>3</v>
      </c>
      <c r="X41" s="1519" t="s">
        <v>1584</v>
      </c>
      <c r="Y41" s="3796"/>
      <c r="Z41" s="3796"/>
      <c r="AA41" s="3796"/>
      <c r="AB41" s="3796"/>
      <c r="AC41" s="3796"/>
      <c r="AD41" s="3796"/>
      <c r="AE41" s="3796"/>
      <c r="AF41" s="3796"/>
      <c r="AG41" s="3796"/>
      <c r="AH41" s="3796"/>
      <c r="AI41" s="3796"/>
      <c r="AJ41" s="3796"/>
      <c r="AK41" s="3796"/>
      <c r="AL41" s="3796"/>
      <c r="AM41" s="3796"/>
      <c r="AN41" s="3796"/>
      <c r="AO41" s="3785"/>
      <c r="AP41" s="3785"/>
      <c r="AQ41" s="4116"/>
    </row>
    <row r="42" spans="1:43" ht="41.25" customHeight="1" x14ac:dyDescent="0.2">
      <c r="A42" s="1100"/>
      <c r="B42" s="1006"/>
      <c r="C42" s="425"/>
      <c r="D42" s="1573"/>
      <c r="E42" s="1656"/>
      <c r="F42" s="1656"/>
      <c r="G42" s="1573"/>
      <c r="H42" s="1656"/>
      <c r="I42" s="1656"/>
      <c r="J42" s="2843"/>
      <c r="K42" s="3204"/>
      <c r="L42" s="3204"/>
      <c r="M42" s="3159"/>
      <c r="N42" s="1503" t="s">
        <v>1652</v>
      </c>
      <c r="O42" s="2843"/>
      <c r="P42" s="3159"/>
      <c r="Q42" s="3179"/>
      <c r="R42" s="4124"/>
      <c r="S42" s="3159"/>
      <c r="T42" s="3159"/>
      <c r="U42" s="3159"/>
      <c r="V42" s="1840">
        <v>12171030</v>
      </c>
      <c r="W42" s="1805">
        <v>3</v>
      </c>
      <c r="X42" s="1519" t="s">
        <v>1647</v>
      </c>
      <c r="Y42" s="3796"/>
      <c r="Z42" s="3796"/>
      <c r="AA42" s="3796"/>
      <c r="AB42" s="3796"/>
      <c r="AC42" s="3796"/>
      <c r="AD42" s="3796"/>
      <c r="AE42" s="3796"/>
      <c r="AF42" s="3796"/>
      <c r="AG42" s="3796"/>
      <c r="AH42" s="3796"/>
      <c r="AI42" s="3796"/>
      <c r="AJ42" s="3796"/>
      <c r="AK42" s="3796"/>
      <c r="AL42" s="3796"/>
      <c r="AM42" s="3796"/>
      <c r="AN42" s="3796"/>
      <c r="AO42" s="3785"/>
      <c r="AP42" s="3785"/>
      <c r="AQ42" s="4116"/>
    </row>
    <row r="43" spans="1:43" ht="21.75" customHeight="1" x14ac:dyDescent="0.2">
      <c r="A43" s="1100"/>
      <c r="B43" s="1006"/>
      <c r="C43" s="425"/>
      <c r="D43" s="1573"/>
      <c r="E43" s="1656"/>
      <c r="F43" s="1656"/>
      <c r="G43" s="1573"/>
      <c r="H43" s="1656"/>
      <c r="I43" s="1656"/>
      <c r="J43" s="3134"/>
      <c r="K43" s="3205"/>
      <c r="L43" s="3205"/>
      <c r="M43" s="3030"/>
      <c r="N43" s="1503" t="s">
        <v>1653</v>
      </c>
      <c r="O43" s="2843"/>
      <c r="P43" s="3159"/>
      <c r="Q43" s="3180"/>
      <c r="R43" s="4124"/>
      <c r="S43" s="3159"/>
      <c r="T43" s="3159"/>
      <c r="U43" s="3030"/>
      <c r="V43" s="1840">
        <f>10000000+24600000</f>
        <v>34600000</v>
      </c>
      <c r="W43" s="1805">
        <v>7</v>
      </c>
      <c r="X43" s="1519" t="s">
        <v>1611</v>
      </c>
      <c r="Y43" s="3796"/>
      <c r="Z43" s="3796"/>
      <c r="AA43" s="3796"/>
      <c r="AB43" s="3796"/>
      <c r="AC43" s="3796"/>
      <c r="AD43" s="3796"/>
      <c r="AE43" s="3796"/>
      <c r="AF43" s="3796"/>
      <c r="AG43" s="3796"/>
      <c r="AH43" s="3796"/>
      <c r="AI43" s="3796"/>
      <c r="AJ43" s="3796"/>
      <c r="AK43" s="3796"/>
      <c r="AL43" s="3796"/>
      <c r="AM43" s="3796"/>
      <c r="AN43" s="3796"/>
      <c r="AO43" s="3785"/>
      <c r="AP43" s="3785"/>
      <c r="AQ43" s="4116"/>
    </row>
    <row r="44" spans="1:43" ht="21.75" customHeight="1" x14ac:dyDescent="0.2">
      <c r="A44" s="1100"/>
      <c r="B44" s="1006"/>
      <c r="C44" s="425"/>
      <c r="D44" s="1573"/>
      <c r="E44" s="1656"/>
      <c r="F44" s="1656"/>
      <c r="G44" s="1573"/>
      <c r="H44" s="1656"/>
      <c r="I44" s="1656"/>
      <c r="J44" s="2842">
        <v>211</v>
      </c>
      <c r="K44" s="3203" t="s">
        <v>1654</v>
      </c>
      <c r="L44" s="3203" t="s">
        <v>1655</v>
      </c>
      <c r="M44" s="3029">
        <v>1</v>
      </c>
      <c r="N44" s="1503" t="s">
        <v>1656</v>
      </c>
      <c r="O44" s="2843"/>
      <c r="P44" s="3159"/>
      <c r="Q44" s="3178">
        <f>SUM(V44:V47)/R37</f>
        <v>0.41708067227968337</v>
      </c>
      <c r="R44" s="4124"/>
      <c r="S44" s="3159"/>
      <c r="T44" s="3159"/>
      <c r="U44" s="3029" t="s">
        <v>1657</v>
      </c>
      <c r="V44" s="1840">
        <v>25000000</v>
      </c>
      <c r="W44" s="1805">
        <v>3</v>
      </c>
      <c r="X44" s="1519" t="s">
        <v>1584</v>
      </c>
      <c r="Y44" s="3796"/>
      <c r="Z44" s="3796"/>
      <c r="AA44" s="3796"/>
      <c r="AB44" s="3796"/>
      <c r="AC44" s="3796"/>
      <c r="AD44" s="3796"/>
      <c r="AE44" s="3796"/>
      <c r="AF44" s="3796"/>
      <c r="AG44" s="3796"/>
      <c r="AH44" s="3796"/>
      <c r="AI44" s="3796"/>
      <c r="AJ44" s="3796"/>
      <c r="AK44" s="3796"/>
      <c r="AL44" s="3796"/>
      <c r="AM44" s="3796"/>
      <c r="AN44" s="3796"/>
      <c r="AO44" s="3785"/>
      <c r="AP44" s="3785"/>
      <c r="AQ44" s="4116"/>
    </row>
    <row r="45" spans="1:43" ht="21.75" customHeight="1" x14ac:dyDescent="0.2">
      <c r="A45" s="1100"/>
      <c r="B45" s="1006"/>
      <c r="C45" s="425"/>
      <c r="D45" s="1573"/>
      <c r="E45" s="1656"/>
      <c r="F45" s="1656"/>
      <c r="G45" s="1573"/>
      <c r="H45" s="1656"/>
      <c r="I45" s="1656"/>
      <c r="J45" s="2843"/>
      <c r="K45" s="3204"/>
      <c r="L45" s="3204"/>
      <c r="M45" s="3159"/>
      <c r="N45" s="1503" t="s">
        <v>1658</v>
      </c>
      <c r="O45" s="2843"/>
      <c r="P45" s="3159"/>
      <c r="Q45" s="3179"/>
      <c r="R45" s="4124"/>
      <c r="S45" s="3159"/>
      <c r="T45" s="3159"/>
      <c r="U45" s="3159"/>
      <c r="V45" s="1840">
        <f>10000000+62600000</f>
        <v>72600000</v>
      </c>
      <c r="W45" s="1805">
        <v>7</v>
      </c>
      <c r="X45" s="1519" t="s">
        <v>1611</v>
      </c>
      <c r="Y45" s="3796"/>
      <c r="Z45" s="3796"/>
      <c r="AA45" s="3796"/>
      <c r="AB45" s="3796"/>
      <c r="AC45" s="3796"/>
      <c r="AD45" s="3796"/>
      <c r="AE45" s="3796"/>
      <c r="AF45" s="3796"/>
      <c r="AG45" s="3796"/>
      <c r="AH45" s="3796"/>
      <c r="AI45" s="3796"/>
      <c r="AJ45" s="3796"/>
      <c r="AK45" s="3796"/>
      <c r="AL45" s="3796"/>
      <c r="AM45" s="3796"/>
      <c r="AN45" s="3796"/>
      <c r="AO45" s="3785"/>
      <c r="AP45" s="3785"/>
      <c r="AQ45" s="4116"/>
    </row>
    <row r="46" spans="1:43" ht="29.25" customHeight="1" x14ac:dyDescent="0.2">
      <c r="A46" s="1100"/>
      <c r="B46" s="1006"/>
      <c r="C46" s="425"/>
      <c r="D46" s="1573"/>
      <c r="E46" s="1656"/>
      <c r="F46" s="1656"/>
      <c r="G46" s="1573"/>
      <c r="H46" s="1656"/>
      <c r="I46" s="1656"/>
      <c r="J46" s="2843"/>
      <c r="K46" s="3204"/>
      <c r="L46" s="3204"/>
      <c r="M46" s="3159"/>
      <c r="N46" s="1503" t="s">
        <v>1659</v>
      </c>
      <c r="O46" s="2843"/>
      <c r="P46" s="3159"/>
      <c r="Q46" s="3179"/>
      <c r="R46" s="4124"/>
      <c r="S46" s="3159"/>
      <c r="T46" s="3159"/>
      <c r="U46" s="3159"/>
      <c r="V46" s="1840">
        <v>11503067.800000001</v>
      </c>
      <c r="W46" s="1805">
        <v>6</v>
      </c>
      <c r="X46" s="1519" t="s">
        <v>1660</v>
      </c>
      <c r="Y46" s="3796"/>
      <c r="Z46" s="3796"/>
      <c r="AA46" s="3796"/>
      <c r="AB46" s="3796"/>
      <c r="AC46" s="3796"/>
      <c r="AD46" s="3796"/>
      <c r="AE46" s="3796"/>
      <c r="AF46" s="3796"/>
      <c r="AG46" s="3796"/>
      <c r="AH46" s="3796"/>
      <c r="AI46" s="3796"/>
      <c r="AJ46" s="3796"/>
      <c r="AK46" s="3796"/>
      <c r="AL46" s="3796"/>
      <c r="AM46" s="3796"/>
      <c r="AN46" s="3796"/>
      <c r="AO46" s="3785"/>
      <c r="AP46" s="3785"/>
      <c r="AQ46" s="4116"/>
    </row>
    <row r="47" spans="1:43" ht="27.75" customHeight="1" x14ac:dyDescent="0.2">
      <c r="A47" s="1100"/>
      <c r="B47" s="1006"/>
      <c r="C47" s="425"/>
      <c r="D47" s="1573"/>
      <c r="E47" s="1656"/>
      <c r="F47" s="1656"/>
      <c r="G47" s="1573"/>
      <c r="H47" s="1656"/>
      <c r="I47" s="1656"/>
      <c r="J47" s="3134"/>
      <c r="K47" s="3204"/>
      <c r="L47" s="3204"/>
      <c r="M47" s="3159"/>
      <c r="N47" s="1503" t="s">
        <v>1661</v>
      </c>
      <c r="O47" s="3134"/>
      <c r="P47" s="3030"/>
      <c r="Q47" s="3180"/>
      <c r="R47" s="3386"/>
      <c r="S47" s="3030"/>
      <c r="T47" s="3030"/>
      <c r="U47" s="3030"/>
      <c r="V47" s="1840">
        <v>13656561.42</v>
      </c>
      <c r="W47" s="1805">
        <v>13</v>
      </c>
      <c r="X47" s="1519" t="s">
        <v>1662</v>
      </c>
      <c r="Y47" s="3452"/>
      <c r="Z47" s="3452"/>
      <c r="AA47" s="3452"/>
      <c r="AB47" s="3452"/>
      <c r="AC47" s="3452"/>
      <c r="AD47" s="3452"/>
      <c r="AE47" s="3452"/>
      <c r="AF47" s="3452"/>
      <c r="AG47" s="3452"/>
      <c r="AH47" s="3452"/>
      <c r="AI47" s="3452"/>
      <c r="AJ47" s="3452"/>
      <c r="AK47" s="3452"/>
      <c r="AL47" s="3452"/>
      <c r="AM47" s="3452"/>
      <c r="AN47" s="3452"/>
      <c r="AO47" s="4119"/>
      <c r="AP47" s="4119"/>
      <c r="AQ47" s="4152"/>
    </row>
    <row r="48" spans="1:43" ht="15" x14ac:dyDescent="0.2">
      <c r="A48" s="1100"/>
      <c r="B48" s="1006"/>
      <c r="C48" s="425"/>
      <c r="D48" s="1573"/>
      <c r="E48" s="1656"/>
      <c r="F48" s="1656"/>
      <c r="G48" s="426">
        <v>73</v>
      </c>
      <c r="H48" s="427" t="s">
        <v>1663</v>
      </c>
      <c r="I48" s="427"/>
      <c r="J48" s="427"/>
      <c r="K48" s="1223"/>
      <c r="L48" s="1223"/>
      <c r="M48" s="1223"/>
      <c r="N48" s="427"/>
      <c r="O48" s="429"/>
      <c r="P48" s="428"/>
      <c r="Q48" s="430"/>
      <c r="R48" s="1836"/>
      <c r="S48" s="1223" t="s">
        <v>1325</v>
      </c>
      <c r="T48" s="1223" t="s">
        <v>1325</v>
      </c>
      <c r="U48" s="1223"/>
      <c r="V48" s="1842"/>
      <c r="W48" s="1224"/>
      <c r="X48" s="1223"/>
      <c r="Y48" s="429"/>
      <c r="Z48" s="429"/>
      <c r="AA48" s="429"/>
      <c r="AB48" s="429"/>
      <c r="AC48" s="429"/>
      <c r="AD48" s="429"/>
      <c r="AE48" s="429"/>
      <c r="AF48" s="429"/>
      <c r="AG48" s="429"/>
      <c r="AH48" s="429"/>
      <c r="AI48" s="429"/>
      <c r="AJ48" s="429"/>
      <c r="AK48" s="429"/>
      <c r="AL48" s="429"/>
      <c r="AM48" s="429"/>
      <c r="AN48" s="429"/>
      <c r="AO48" s="1102"/>
      <c r="AP48" s="1102"/>
      <c r="AQ48" s="1101"/>
    </row>
    <row r="49" spans="1:43" ht="45.75" customHeight="1" x14ac:dyDescent="0.2">
      <c r="A49" s="1100"/>
      <c r="B49" s="1006"/>
      <c r="C49" s="425"/>
      <c r="D49" s="1573"/>
      <c r="E49" s="1656"/>
      <c r="F49" s="1656"/>
      <c r="G49" s="1573"/>
      <c r="H49" s="1656"/>
      <c r="I49" s="1656"/>
      <c r="J49" s="3378">
        <v>212</v>
      </c>
      <c r="K49" s="3212" t="s">
        <v>1664</v>
      </c>
      <c r="L49" s="2674" t="s">
        <v>1665</v>
      </c>
      <c r="M49" s="3212">
        <v>1</v>
      </c>
      <c r="N49" s="1503" t="s">
        <v>1666</v>
      </c>
      <c r="O49" s="3378" t="s">
        <v>1667</v>
      </c>
      <c r="P49" s="3212" t="s">
        <v>1668</v>
      </c>
      <c r="Q49" s="3178">
        <f>SUM(V49:V51)/R49</f>
        <v>1</v>
      </c>
      <c r="R49" s="3433">
        <f>+SUM(V49:V51)</f>
        <v>168999321.65000001</v>
      </c>
      <c r="S49" s="3029" t="s">
        <v>1669</v>
      </c>
      <c r="T49" s="3029" t="s">
        <v>1670</v>
      </c>
      <c r="U49" s="3212" t="s">
        <v>1671</v>
      </c>
      <c r="V49" s="1841">
        <v>40000000</v>
      </c>
      <c r="W49" s="1526">
        <v>3</v>
      </c>
      <c r="X49" s="1527" t="s">
        <v>1584</v>
      </c>
      <c r="Y49" s="3450">
        <v>3380</v>
      </c>
      <c r="Z49" s="3450">
        <v>460</v>
      </c>
      <c r="AA49" s="3450"/>
      <c r="AB49" s="3450"/>
      <c r="AC49" s="3450">
        <v>3840</v>
      </c>
      <c r="AD49" s="3450"/>
      <c r="AE49" s="3450"/>
      <c r="AF49" s="3450"/>
      <c r="AG49" s="3450"/>
      <c r="AH49" s="3450"/>
      <c r="AI49" s="3450"/>
      <c r="AJ49" s="3450"/>
      <c r="AK49" s="3450"/>
      <c r="AL49" s="3450"/>
      <c r="AM49" s="3450"/>
      <c r="AN49" s="3450">
        <v>3840</v>
      </c>
      <c r="AO49" s="3784">
        <v>43480</v>
      </c>
      <c r="AP49" s="3784">
        <v>43830</v>
      </c>
      <c r="AQ49" s="4115" t="s">
        <v>1580</v>
      </c>
    </row>
    <row r="50" spans="1:43" ht="30.75" customHeight="1" x14ac:dyDescent="0.2">
      <c r="A50" s="1100"/>
      <c r="B50" s="1006"/>
      <c r="C50" s="425"/>
      <c r="D50" s="1573"/>
      <c r="E50" s="1656"/>
      <c r="F50" s="1656"/>
      <c r="G50" s="1573"/>
      <c r="H50" s="1656"/>
      <c r="I50" s="1656"/>
      <c r="J50" s="3378"/>
      <c r="K50" s="3212"/>
      <c r="L50" s="2674"/>
      <c r="M50" s="3212"/>
      <c r="N50" s="1503" t="s">
        <v>1672</v>
      </c>
      <c r="O50" s="3378"/>
      <c r="P50" s="3212"/>
      <c r="Q50" s="3179"/>
      <c r="R50" s="3433"/>
      <c r="S50" s="3159"/>
      <c r="T50" s="3159"/>
      <c r="U50" s="3212"/>
      <c r="V50" s="1841">
        <v>24599321.649999999</v>
      </c>
      <c r="W50" s="1526">
        <v>4</v>
      </c>
      <c r="X50" s="1527" t="s">
        <v>1673</v>
      </c>
      <c r="Y50" s="3796"/>
      <c r="Z50" s="3796"/>
      <c r="AA50" s="3796"/>
      <c r="AB50" s="3796"/>
      <c r="AC50" s="3796"/>
      <c r="AD50" s="3796"/>
      <c r="AE50" s="3796"/>
      <c r="AF50" s="3796"/>
      <c r="AG50" s="3796"/>
      <c r="AH50" s="3796"/>
      <c r="AI50" s="3796"/>
      <c r="AJ50" s="3796"/>
      <c r="AK50" s="3796"/>
      <c r="AL50" s="3796"/>
      <c r="AM50" s="3796"/>
      <c r="AN50" s="3796"/>
      <c r="AO50" s="3785"/>
      <c r="AP50" s="3785"/>
      <c r="AQ50" s="4116"/>
    </row>
    <row r="51" spans="1:43" ht="37.5" customHeight="1" x14ac:dyDescent="0.2">
      <c r="A51" s="1100"/>
      <c r="B51" s="1852"/>
      <c r="C51" s="425"/>
      <c r="D51" s="1573"/>
      <c r="E51" s="1656"/>
      <c r="F51" s="1656"/>
      <c r="G51" s="1573"/>
      <c r="H51" s="1656"/>
      <c r="I51" s="1656"/>
      <c r="J51" s="3378"/>
      <c r="K51" s="3212"/>
      <c r="L51" s="2674"/>
      <c r="M51" s="3212"/>
      <c r="N51" s="1503" t="s">
        <v>1674</v>
      </c>
      <c r="O51" s="3378"/>
      <c r="P51" s="3212"/>
      <c r="Q51" s="3180"/>
      <c r="R51" s="3433"/>
      <c r="S51" s="3030"/>
      <c r="T51" s="3030"/>
      <c r="U51" s="3212"/>
      <c r="V51" s="1841">
        <f>135000000-30600000</f>
        <v>104400000</v>
      </c>
      <c r="W51" s="1526">
        <v>7</v>
      </c>
      <c r="X51" s="1527" t="s">
        <v>1611</v>
      </c>
      <c r="Y51" s="3796"/>
      <c r="Z51" s="3796"/>
      <c r="AA51" s="3796"/>
      <c r="AB51" s="3796"/>
      <c r="AC51" s="3796"/>
      <c r="AD51" s="3796"/>
      <c r="AE51" s="3796"/>
      <c r="AF51" s="3796"/>
      <c r="AG51" s="3796"/>
      <c r="AH51" s="3796"/>
      <c r="AI51" s="3796"/>
      <c r="AJ51" s="3796"/>
      <c r="AK51" s="3796"/>
      <c r="AL51" s="3796"/>
      <c r="AM51" s="3796"/>
      <c r="AN51" s="3796"/>
      <c r="AO51" s="3785"/>
      <c r="AP51" s="3785"/>
      <c r="AQ51" s="4116"/>
    </row>
    <row r="52" spans="1:43" ht="22.5" customHeight="1" x14ac:dyDescent="0.2">
      <c r="A52" s="4169"/>
      <c r="B52" s="4169"/>
      <c r="C52" s="4169"/>
      <c r="D52" s="416">
        <v>22</v>
      </c>
      <c r="E52" s="417" t="s">
        <v>1675</v>
      </c>
      <c r="F52" s="417"/>
      <c r="G52" s="417"/>
      <c r="H52" s="417"/>
      <c r="I52" s="417"/>
      <c r="J52" s="417"/>
      <c r="K52" s="1225"/>
      <c r="L52" s="1225"/>
      <c r="M52" s="1225"/>
      <c r="N52" s="417"/>
      <c r="O52" s="419"/>
      <c r="P52" s="418"/>
      <c r="Q52" s="420"/>
      <c r="R52" s="1837"/>
      <c r="S52" s="1225" t="s">
        <v>1325</v>
      </c>
      <c r="T52" s="1225" t="s">
        <v>1325</v>
      </c>
      <c r="U52" s="1225"/>
      <c r="V52" s="1845"/>
      <c r="W52" s="1226"/>
      <c r="X52" s="1225"/>
      <c r="Y52" s="419"/>
      <c r="Z52" s="419"/>
      <c r="AA52" s="419"/>
      <c r="AB52" s="419"/>
      <c r="AC52" s="419"/>
      <c r="AD52" s="419"/>
      <c r="AE52" s="419"/>
      <c r="AF52" s="419"/>
      <c r="AG52" s="419"/>
      <c r="AH52" s="419"/>
      <c r="AI52" s="419"/>
      <c r="AJ52" s="419"/>
      <c r="AK52" s="419"/>
      <c r="AL52" s="419"/>
      <c r="AM52" s="419"/>
      <c r="AN52" s="419"/>
      <c r="AO52" s="1104"/>
      <c r="AP52" s="1104"/>
      <c r="AQ52" s="1099"/>
    </row>
    <row r="53" spans="1:43" ht="24" customHeight="1" x14ac:dyDescent="0.2">
      <c r="A53" s="4169"/>
      <c r="B53" s="4169"/>
      <c r="C53" s="4169"/>
      <c r="D53" s="4168"/>
      <c r="E53" s="4168"/>
      <c r="F53" s="4168"/>
      <c r="G53" s="1319">
        <v>74</v>
      </c>
      <c r="H53" s="1313" t="s">
        <v>1663</v>
      </c>
      <c r="I53" s="1313"/>
      <c r="J53" s="1313"/>
      <c r="K53" s="1314"/>
      <c r="L53" s="1314"/>
      <c r="M53" s="1314"/>
      <c r="N53" s="1313"/>
      <c r="O53" s="1315"/>
      <c r="P53" s="1316"/>
      <c r="Q53" s="1320"/>
      <c r="R53" s="1838"/>
      <c r="S53" s="1223" t="s">
        <v>1325</v>
      </c>
      <c r="T53" s="1223" t="s">
        <v>1325</v>
      </c>
      <c r="U53" s="1223"/>
      <c r="V53" s="1846"/>
      <c r="W53" s="1317"/>
      <c r="X53" s="1314"/>
      <c r="Y53" s="429"/>
      <c r="Z53" s="429"/>
      <c r="AA53" s="429"/>
      <c r="AB53" s="429"/>
      <c r="AC53" s="429"/>
      <c r="AD53" s="429"/>
      <c r="AE53" s="429"/>
      <c r="AF53" s="429"/>
      <c r="AG53" s="429"/>
      <c r="AH53" s="429"/>
      <c r="AI53" s="429"/>
      <c r="AJ53" s="429"/>
      <c r="AK53" s="429"/>
      <c r="AL53" s="429"/>
      <c r="AM53" s="429"/>
      <c r="AN53" s="429"/>
      <c r="AO53" s="1102"/>
      <c r="AP53" s="1102"/>
      <c r="AQ53" s="1101"/>
    </row>
    <row r="54" spans="1:43" ht="30.75" customHeight="1" x14ac:dyDescent="0.2">
      <c r="A54" s="4169"/>
      <c r="B54" s="4169"/>
      <c r="C54" s="4169"/>
      <c r="D54" s="4169"/>
      <c r="E54" s="4169"/>
      <c r="F54" s="4169"/>
      <c r="G54" s="4171"/>
      <c r="H54" s="4172"/>
      <c r="I54" s="4173"/>
      <c r="J54" s="3449">
        <v>213</v>
      </c>
      <c r="K54" s="4153" t="s">
        <v>1676</v>
      </c>
      <c r="L54" s="4154" t="s">
        <v>1677</v>
      </c>
      <c r="M54" s="4153">
        <v>12</v>
      </c>
      <c r="N54" s="1283" t="s">
        <v>1678</v>
      </c>
      <c r="O54" s="3449" t="s">
        <v>1679</v>
      </c>
      <c r="P54" s="4155" t="s">
        <v>1680</v>
      </c>
      <c r="Q54" s="4156">
        <f>+V54/R54</f>
        <v>0</v>
      </c>
      <c r="R54" s="4157">
        <v>182000000</v>
      </c>
      <c r="S54" s="4158" t="s">
        <v>1681</v>
      </c>
      <c r="T54" s="3029" t="s">
        <v>1682</v>
      </c>
      <c r="U54" s="4160" t="s">
        <v>1683</v>
      </c>
      <c r="V54" s="1847">
        <f>182000000-182000000</f>
        <v>0</v>
      </c>
      <c r="W54" s="1282">
        <v>2</v>
      </c>
      <c r="X54" s="1283" t="s">
        <v>1684</v>
      </c>
      <c r="Y54" s="4161">
        <v>51494</v>
      </c>
      <c r="Z54" s="3450">
        <v>47591</v>
      </c>
      <c r="AA54" s="3450">
        <v>34918</v>
      </c>
      <c r="AB54" s="3450">
        <v>19436</v>
      </c>
      <c r="AC54" s="3450">
        <v>25329</v>
      </c>
      <c r="AD54" s="3450">
        <v>19402</v>
      </c>
      <c r="AE54" s="3450">
        <v>4</v>
      </c>
      <c r="AF54" s="3450"/>
      <c r="AG54" s="3450"/>
      <c r="AH54" s="3450"/>
      <c r="AI54" s="3450"/>
      <c r="AJ54" s="3450"/>
      <c r="AK54" s="3450">
        <v>1493</v>
      </c>
      <c r="AL54" s="3450">
        <v>1713</v>
      </c>
      <c r="AM54" s="3450">
        <v>217</v>
      </c>
      <c r="AN54" s="3450">
        <v>99085</v>
      </c>
      <c r="AO54" s="3784">
        <v>43480</v>
      </c>
      <c r="AP54" s="3784">
        <v>43830</v>
      </c>
      <c r="AQ54" s="4115" t="s">
        <v>1580</v>
      </c>
    </row>
    <row r="55" spans="1:43" ht="41.25" customHeight="1" x14ac:dyDescent="0.2">
      <c r="A55" s="4169"/>
      <c r="B55" s="4169"/>
      <c r="C55" s="4169"/>
      <c r="D55" s="4169"/>
      <c r="E55" s="4169"/>
      <c r="F55" s="4169"/>
      <c r="G55" s="4174"/>
      <c r="H55" s="4169"/>
      <c r="I55" s="4175"/>
      <c r="J55" s="3449"/>
      <c r="K55" s="4153"/>
      <c r="L55" s="4154"/>
      <c r="M55" s="4153"/>
      <c r="N55" s="1283" t="s">
        <v>1685</v>
      </c>
      <c r="O55" s="3449"/>
      <c r="P55" s="4155"/>
      <c r="Q55" s="4156"/>
      <c r="R55" s="4157"/>
      <c r="S55" s="4159"/>
      <c r="T55" s="3159"/>
      <c r="U55" s="3418"/>
      <c r="V55" s="1847">
        <v>36225674</v>
      </c>
      <c r="W55" s="1282">
        <v>3</v>
      </c>
      <c r="X55" s="1283" t="s">
        <v>1686</v>
      </c>
      <c r="Y55" s="4162"/>
      <c r="Z55" s="3796"/>
      <c r="AA55" s="3796"/>
      <c r="AB55" s="3796"/>
      <c r="AC55" s="3796"/>
      <c r="AD55" s="3796"/>
      <c r="AE55" s="3796"/>
      <c r="AF55" s="3796"/>
      <c r="AG55" s="3796"/>
      <c r="AH55" s="3796"/>
      <c r="AI55" s="3796"/>
      <c r="AJ55" s="3796"/>
      <c r="AK55" s="3796"/>
      <c r="AL55" s="3796"/>
      <c r="AM55" s="3796"/>
      <c r="AN55" s="3796"/>
      <c r="AO55" s="3785"/>
      <c r="AP55" s="3785"/>
      <c r="AQ55" s="4116"/>
    </row>
    <row r="56" spans="1:43" ht="30.75" customHeight="1" x14ac:dyDescent="0.2">
      <c r="A56" s="4170"/>
      <c r="B56" s="4170"/>
      <c r="C56" s="4170"/>
      <c r="D56" s="4170"/>
      <c r="E56" s="4170"/>
      <c r="F56" s="4170"/>
      <c r="G56" s="4176"/>
      <c r="H56" s="4170"/>
      <c r="I56" s="4177"/>
      <c r="J56" s="3449"/>
      <c r="K56" s="4153"/>
      <c r="L56" s="4154"/>
      <c r="M56" s="4153"/>
      <c r="N56" s="1283" t="s">
        <v>1687</v>
      </c>
      <c r="O56" s="3449"/>
      <c r="P56" s="4155"/>
      <c r="Q56" s="4156"/>
      <c r="R56" s="4157"/>
      <c r="S56" s="4159"/>
      <c r="T56" s="3159" t="s">
        <v>1325</v>
      </c>
      <c r="U56" s="3418"/>
      <c r="V56" s="1848">
        <v>15456741</v>
      </c>
      <c r="W56" s="1282">
        <v>13</v>
      </c>
      <c r="X56" s="1283" t="s">
        <v>1688</v>
      </c>
      <c r="Y56" s="4162"/>
      <c r="Z56" s="3796"/>
      <c r="AA56" s="3796"/>
      <c r="AB56" s="3796"/>
      <c r="AC56" s="3796"/>
      <c r="AD56" s="3796"/>
      <c r="AE56" s="3796"/>
      <c r="AF56" s="3796"/>
      <c r="AG56" s="3796"/>
      <c r="AH56" s="3796"/>
      <c r="AI56" s="3796"/>
      <c r="AJ56" s="3796"/>
      <c r="AK56" s="3796"/>
      <c r="AL56" s="3796"/>
      <c r="AM56" s="3796"/>
      <c r="AN56" s="3796"/>
      <c r="AO56" s="3785"/>
      <c r="AP56" s="3785"/>
      <c r="AQ56" s="4116"/>
    </row>
    <row r="57" spans="1:43" ht="24.75" customHeight="1" x14ac:dyDescent="0.2">
      <c r="A57" s="4167" t="s">
        <v>525</v>
      </c>
      <c r="B57" s="4167"/>
      <c r="C57" s="4167"/>
      <c r="D57" s="4167"/>
      <c r="E57" s="4167"/>
      <c r="F57" s="4167"/>
      <c r="G57" s="4167"/>
      <c r="H57" s="4167"/>
      <c r="I57" s="4167"/>
      <c r="J57" s="4167"/>
      <c r="K57" s="4167"/>
      <c r="L57" s="4167"/>
      <c r="M57" s="4167"/>
      <c r="N57" s="4167"/>
      <c r="O57" s="4167"/>
      <c r="P57" s="4167"/>
      <c r="Q57" s="4167"/>
      <c r="R57" s="1839">
        <f>SUM(R12:R56)</f>
        <v>3733615109.6700006</v>
      </c>
      <c r="S57" s="1318"/>
      <c r="T57" s="1527"/>
      <c r="U57" s="1527"/>
      <c r="V57" s="1849">
        <f>SUM(V12:V56)</f>
        <v>3603297524.6700006</v>
      </c>
      <c r="W57" s="1659"/>
      <c r="X57" s="1519"/>
      <c r="Y57" s="1563"/>
      <c r="Z57" s="1563"/>
      <c r="AA57" s="1563"/>
      <c r="AB57" s="1563"/>
      <c r="AC57" s="1563"/>
      <c r="AD57" s="1563"/>
      <c r="AE57" s="1563"/>
      <c r="AF57" s="1563"/>
      <c r="AG57" s="1563"/>
      <c r="AH57" s="1563"/>
      <c r="AI57" s="1563"/>
      <c r="AJ57" s="1563"/>
      <c r="AK57" s="1563"/>
      <c r="AL57" s="1563"/>
      <c r="AM57" s="1563"/>
      <c r="AN57" s="1563"/>
      <c r="AO57" s="1626"/>
      <c r="AP57" s="1626"/>
      <c r="AQ57" s="1183"/>
    </row>
    <row r="58" spans="1:43" ht="24.75" customHeight="1" thickBot="1" x14ac:dyDescent="0.25">
      <c r="A58" s="1006"/>
      <c r="B58" s="1006"/>
      <c r="C58" s="1006"/>
      <c r="D58" s="1656"/>
      <c r="E58" s="1656"/>
      <c r="F58" s="1656"/>
      <c r="G58" s="1656"/>
      <c r="H58" s="1656"/>
      <c r="I58" s="1656"/>
      <c r="J58" s="1656"/>
      <c r="K58" s="1036"/>
      <c r="L58" s="973"/>
      <c r="M58" s="1036"/>
      <c r="N58" s="1656"/>
      <c r="O58" s="1656"/>
      <c r="P58" s="1227"/>
      <c r="Q58" s="1228"/>
      <c r="R58" s="1229"/>
      <c r="S58" s="1036"/>
      <c r="T58" s="1036"/>
      <c r="U58" s="1036"/>
      <c r="V58" s="1801"/>
      <c r="W58" s="1230"/>
      <c r="X58" s="1036"/>
      <c r="Y58" s="849"/>
      <c r="Z58" s="849"/>
      <c r="AA58" s="849"/>
      <c r="AB58" s="849"/>
      <c r="AC58" s="849"/>
      <c r="AD58" s="849"/>
      <c r="AE58" s="849"/>
      <c r="AF58" s="849"/>
      <c r="AG58" s="849"/>
      <c r="AH58" s="849"/>
      <c r="AI58" s="849"/>
      <c r="AJ58" s="849"/>
      <c r="AK58" s="849"/>
      <c r="AL58" s="849"/>
      <c r="AM58" s="849"/>
      <c r="AN58" s="849"/>
      <c r="AO58" s="1231"/>
      <c r="AP58" s="1231"/>
      <c r="AQ58" s="1185"/>
    </row>
    <row r="59" spans="1:43" ht="14.25" x14ac:dyDescent="0.2">
      <c r="J59" s="4163" t="s">
        <v>1689</v>
      </c>
      <c r="K59" s="4163"/>
      <c r="L59" s="4163"/>
      <c r="M59" s="4163"/>
      <c r="N59" s="4163"/>
      <c r="O59" s="4163"/>
      <c r="P59" s="4163"/>
      <c r="Q59" s="4163"/>
      <c r="R59" s="4163"/>
      <c r="S59" s="4163"/>
      <c r="T59" s="4163"/>
      <c r="U59" s="4163"/>
      <c r="X59" s="1534"/>
    </row>
    <row r="60" spans="1:43" ht="14.25" x14ac:dyDescent="0.2">
      <c r="J60" s="4164"/>
      <c r="K60" s="4164"/>
      <c r="L60" s="4164"/>
      <c r="M60" s="4164"/>
      <c r="N60" s="4164"/>
      <c r="O60" s="4164"/>
      <c r="P60" s="4164"/>
      <c r="Q60" s="4164"/>
      <c r="R60" s="4164"/>
      <c r="S60" s="4164"/>
      <c r="T60" s="4164"/>
      <c r="U60" s="4164"/>
      <c r="X60" s="1534"/>
    </row>
    <row r="61" spans="1:43" ht="15.75" x14ac:dyDescent="0.2">
      <c r="J61" s="1105"/>
      <c r="X61" s="1534"/>
    </row>
    <row r="62" spans="1:43" ht="14.25" x14ac:dyDescent="0.2">
      <c r="X62" s="1534"/>
    </row>
    <row r="63" spans="1:43" ht="14.25" x14ac:dyDescent="0.2">
      <c r="X63" s="1534"/>
    </row>
    <row r="64" spans="1:43" ht="14.25" x14ac:dyDescent="0.2">
      <c r="X64" s="1534"/>
    </row>
    <row r="65" spans="4:24" ht="14.25" x14ac:dyDescent="0.2">
      <c r="D65" s="4165" t="s">
        <v>1690</v>
      </c>
      <c r="E65" s="4165"/>
      <c r="F65" s="4165"/>
      <c r="G65" s="4165"/>
      <c r="H65" s="4165"/>
      <c r="I65" s="4165"/>
      <c r="X65" s="1534"/>
    </row>
    <row r="66" spans="4:24" ht="14.25" x14ac:dyDescent="0.2">
      <c r="D66" s="4165"/>
      <c r="E66" s="4165"/>
      <c r="F66" s="4165"/>
      <c r="G66" s="4165"/>
      <c r="H66" s="4165"/>
      <c r="I66" s="4165"/>
      <c r="X66" s="1534"/>
    </row>
    <row r="67" spans="4:24" ht="14.25" x14ac:dyDescent="0.2">
      <c r="E67" s="4166" t="s">
        <v>1691</v>
      </c>
      <c r="F67" s="4166"/>
      <c r="G67" s="4166"/>
      <c r="H67" s="4166"/>
      <c r="I67" s="4166"/>
      <c r="J67" s="4166"/>
      <c r="X67" s="1534"/>
    </row>
    <row r="68" spans="4:24" ht="14.25" x14ac:dyDescent="0.2">
      <c r="E68" s="4166"/>
      <c r="F68" s="4166"/>
      <c r="G68" s="4166"/>
      <c r="H68" s="4166"/>
      <c r="I68" s="4166"/>
      <c r="J68" s="4166"/>
      <c r="X68" s="1534"/>
    </row>
    <row r="69" spans="4:24" ht="14.25" x14ac:dyDescent="0.2">
      <c r="X69" s="1534"/>
    </row>
    <row r="70" spans="4:24" ht="14.25" x14ac:dyDescent="0.2">
      <c r="X70" s="1534"/>
    </row>
    <row r="71" spans="4:24" ht="14.25" x14ac:dyDescent="0.2">
      <c r="X71" s="1534"/>
    </row>
    <row r="72" spans="4:24" ht="14.25" x14ac:dyDescent="0.2">
      <c r="X72" s="1534"/>
    </row>
    <row r="73" spans="4:24" ht="14.25" x14ac:dyDescent="0.2">
      <c r="X73" s="1534"/>
    </row>
    <row r="74" spans="4:24" ht="14.25" x14ac:dyDescent="0.2">
      <c r="X74" s="1534"/>
    </row>
    <row r="75" spans="4:24" ht="14.25" x14ac:dyDescent="0.2">
      <c r="X75" s="1534"/>
    </row>
    <row r="76" spans="4:24" ht="14.25" x14ac:dyDescent="0.2">
      <c r="X76" s="1534"/>
    </row>
    <row r="77" spans="4:24" ht="14.25" x14ac:dyDescent="0.2">
      <c r="X77" s="1534"/>
    </row>
    <row r="78" spans="4:24" ht="27" customHeight="1" x14ac:dyDescent="0.2">
      <c r="X78" s="1534"/>
    </row>
    <row r="79" spans="4:24" ht="27" customHeight="1" x14ac:dyDescent="0.2">
      <c r="X79" s="1534"/>
    </row>
  </sheetData>
  <sheetProtection password="A60F" sheet="1" objects="1" scenarios="1"/>
  <mergeCells count="275">
    <mergeCell ref="AO54:AO56"/>
    <mergeCell ref="AG49:AG51"/>
    <mergeCell ref="AH49:AH51"/>
    <mergeCell ref="AI49:AI51"/>
    <mergeCell ref="AJ49:AJ51"/>
    <mergeCell ref="AK49:AK51"/>
    <mergeCell ref="AL49:AL51"/>
    <mergeCell ref="AM49:AM51"/>
    <mergeCell ref="AN49:AN51"/>
    <mergeCell ref="AO49:AO51"/>
    <mergeCell ref="J59:U60"/>
    <mergeCell ref="D65:I66"/>
    <mergeCell ref="E67:J68"/>
    <mergeCell ref="AF54:AF56"/>
    <mergeCell ref="AG54:AG56"/>
    <mergeCell ref="AH54:AH56"/>
    <mergeCell ref="AI54:AI56"/>
    <mergeCell ref="AJ54:AJ56"/>
    <mergeCell ref="AK54:AK56"/>
    <mergeCell ref="A57:Q57"/>
    <mergeCell ref="J54:J56"/>
    <mergeCell ref="D53:F56"/>
    <mergeCell ref="G54:I56"/>
    <mergeCell ref="A52:C56"/>
    <mergeCell ref="AP49:AP51"/>
    <mergeCell ref="AQ49:AQ51"/>
    <mergeCell ref="K54:K56"/>
    <mergeCell ref="L54:L56"/>
    <mergeCell ref="M54:M56"/>
    <mergeCell ref="O54:O56"/>
    <mergeCell ref="P54:P56"/>
    <mergeCell ref="Q54:Q56"/>
    <mergeCell ref="R54:R56"/>
    <mergeCell ref="S54:S56"/>
    <mergeCell ref="T54:T56"/>
    <mergeCell ref="U54:U56"/>
    <mergeCell ref="Y54:Y56"/>
    <mergeCell ref="Z54:Z56"/>
    <mergeCell ref="AA54:AA56"/>
    <mergeCell ref="AB54:AB56"/>
    <mergeCell ref="AC54:AC56"/>
    <mergeCell ref="AD54:AD56"/>
    <mergeCell ref="AE54:AE56"/>
    <mergeCell ref="AP54:AP56"/>
    <mergeCell ref="AQ54:AQ56"/>
    <mergeCell ref="AL54:AL56"/>
    <mergeCell ref="AM54:AM56"/>
    <mergeCell ref="AN54:AN56"/>
    <mergeCell ref="AD49:AD51"/>
    <mergeCell ref="AE49:AE51"/>
    <mergeCell ref="AF49:AF51"/>
    <mergeCell ref="J49:J51"/>
    <mergeCell ref="K49:K51"/>
    <mergeCell ref="L49:L51"/>
    <mergeCell ref="M49:M51"/>
    <mergeCell ref="O49:O51"/>
    <mergeCell ref="P49:P51"/>
    <mergeCell ref="R49:R51"/>
    <mergeCell ref="S49:S51"/>
    <mergeCell ref="T49:T51"/>
    <mergeCell ref="U49:U51"/>
    <mergeCell ref="Y49:Y51"/>
    <mergeCell ref="Z49:Z51"/>
    <mergeCell ref="AA49:AA51"/>
    <mergeCell ref="AB49:AB51"/>
    <mergeCell ref="AC49:AC51"/>
    <mergeCell ref="Q49:Q51"/>
    <mergeCell ref="AQ37:AQ47"/>
    <mergeCell ref="J40:J43"/>
    <mergeCell ref="K40:K43"/>
    <mergeCell ref="L40:L43"/>
    <mergeCell ref="M40:M43"/>
    <mergeCell ref="U40:U43"/>
    <mergeCell ref="J44:J47"/>
    <mergeCell ref="K44:K47"/>
    <mergeCell ref="L44:L47"/>
    <mergeCell ref="M44:M47"/>
    <mergeCell ref="U44:U47"/>
    <mergeCell ref="AB37:AB47"/>
    <mergeCell ref="AC37:AC47"/>
    <mergeCell ref="AD37:AD47"/>
    <mergeCell ref="AE37:AE47"/>
    <mergeCell ref="AF37:AF47"/>
    <mergeCell ref="AG37:AG47"/>
    <mergeCell ref="AH37:AH47"/>
    <mergeCell ref="S37:S47"/>
    <mergeCell ref="T37:T47"/>
    <mergeCell ref="U37:U39"/>
    <mergeCell ref="Y37:Y47"/>
    <mergeCell ref="AK37:AK47"/>
    <mergeCell ref="Q37:Q39"/>
    <mergeCell ref="Y6:AM6"/>
    <mergeCell ref="U12:U16"/>
    <mergeCell ref="E17:F17"/>
    <mergeCell ref="J23:J27"/>
    <mergeCell ref="K23:K27"/>
    <mergeCell ref="L23:L27"/>
    <mergeCell ref="M23:M27"/>
    <mergeCell ref="O23:O27"/>
    <mergeCell ref="P23:P27"/>
    <mergeCell ref="R23:R27"/>
    <mergeCell ref="S23:S27"/>
    <mergeCell ref="T23:T27"/>
    <mergeCell ref="U23:U27"/>
    <mergeCell ref="Y23:Y27"/>
    <mergeCell ref="Z23:Z27"/>
    <mergeCell ref="AA23:AA27"/>
    <mergeCell ref="AB23:AB27"/>
    <mergeCell ref="AC23:AC27"/>
    <mergeCell ref="AD23:AD27"/>
    <mergeCell ref="AE23:AE27"/>
    <mergeCell ref="Q23:Q27"/>
    <mergeCell ref="Q20:Q21"/>
    <mergeCell ref="Q12:Q17"/>
    <mergeCell ref="L7:L8"/>
    <mergeCell ref="M7:M8"/>
    <mergeCell ref="N7:N8"/>
    <mergeCell ref="O7:O8"/>
    <mergeCell ref="P7:P8"/>
    <mergeCell ref="J12:J17"/>
    <mergeCell ref="J20:J21"/>
    <mergeCell ref="K20:K21"/>
    <mergeCell ref="L20:L21"/>
    <mergeCell ref="M20:M21"/>
    <mergeCell ref="O20:O21"/>
    <mergeCell ref="P20:P21"/>
    <mergeCell ref="K12:K17"/>
    <mergeCell ref="L12:L17"/>
    <mergeCell ref="M12:M17"/>
    <mergeCell ref="O12:O18"/>
    <mergeCell ref="P12:P18"/>
    <mergeCell ref="N12:N13"/>
    <mergeCell ref="A1:AO4"/>
    <mergeCell ref="A5:M6"/>
    <mergeCell ref="N5:AQ5"/>
    <mergeCell ref="A7:A8"/>
    <mergeCell ref="B7:C8"/>
    <mergeCell ref="D7:D8"/>
    <mergeCell ref="E7:F8"/>
    <mergeCell ref="G7:G8"/>
    <mergeCell ref="AO7:AO8"/>
    <mergeCell ref="AP7:AP8"/>
    <mergeCell ref="AQ7:AQ8"/>
    <mergeCell ref="U7:U8"/>
    <mergeCell ref="V7:V8"/>
    <mergeCell ref="W7:W8"/>
    <mergeCell ref="X7:X8"/>
    <mergeCell ref="AE7:AJ7"/>
    <mergeCell ref="AK7:AM7"/>
    <mergeCell ref="Q7:Q8"/>
    <mergeCell ref="R7:R8"/>
    <mergeCell ref="S7:S8"/>
    <mergeCell ref="T7:T8"/>
    <mergeCell ref="H7:I8"/>
    <mergeCell ref="J7:J8"/>
    <mergeCell ref="K7:K8"/>
    <mergeCell ref="AQ12:AQ18"/>
    <mergeCell ref="AG12:AG18"/>
    <mergeCell ref="AH12:AH18"/>
    <mergeCell ref="AI12:AI18"/>
    <mergeCell ref="AJ12:AJ18"/>
    <mergeCell ref="AK12:AK18"/>
    <mergeCell ref="AL12:AL18"/>
    <mergeCell ref="AA12:AA18"/>
    <mergeCell ref="AB12:AB18"/>
    <mergeCell ref="AC12:AC18"/>
    <mergeCell ref="AD12:AD18"/>
    <mergeCell ref="AE12:AE18"/>
    <mergeCell ref="AF12:AF18"/>
    <mergeCell ref="AP12:AP18"/>
    <mergeCell ref="AN12:AN18"/>
    <mergeCell ref="AO12:AO18"/>
    <mergeCell ref="R20:R21"/>
    <mergeCell ref="S20:S21"/>
    <mergeCell ref="AP20:AP21"/>
    <mergeCell ref="T20:T21"/>
    <mergeCell ref="U20:U21"/>
    <mergeCell ref="Y20:Y21"/>
    <mergeCell ref="Z20:Z21"/>
    <mergeCell ref="AM12:AM18"/>
    <mergeCell ref="Y7:Z7"/>
    <mergeCell ref="AA7:AD7"/>
    <mergeCell ref="Z12:Z18"/>
    <mergeCell ref="R12:R18"/>
    <mergeCell ref="S12:S18"/>
    <mergeCell ref="T12:T18"/>
    <mergeCell ref="Y12:Y18"/>
    <mergeCell ref="AA20:AA21"/>
    <mergeCell ref="AB20:AB21"/>
    <mergeCell ref="AC20:AC21"/>
    <mergeCell ref="AD20:AD21"/>
    <mergeCell ref="AE20:AE21"/>
    <mergeCell ref="AF20:AF21"/>
    <mergeCell ref="AM20:AM21"/>
    <mergeCell ref="AN20:AN21"/>
    <mergeCell ref="AO20:AO21"/>
    <mergeCell ref="AF23:AF27"/>
    <mergeCell ref="AG23:AG27"/>
    <mergeCell ref="AQ20:AQ21"/>
    <mergeCell ref="AG20:AG21"/>
    <mergeCell ref="AH20:AH21"/>
    <mergeCell ref="AI20:AI21"/>
    <mergeCell ref="AJ20:AJ21"/>
    <mergeCell ref="AK20:AK21"/>
    <mergeCell ref="AL20:AL21"/>
    <mergeCell ref="AO23:AO27"/>
    <mergeCell ref="AP23:AP27"/>
    <mergeCell ref="AH23:AH27"/>
    <mergeCell ref="AI23:AI27"/>
    <mergeCell ref="AQ23:AQ27"/>
    <mergeCell ref="AP37:AP47"/>
    <mergeCell ref="Q40:Q43"/>
    <mergeCell ref="Q44:Q47"/>
    <mergeCell ref="Q33:Q34"/>
    <mergeCell ref="AJ23:AJ27"/>
    <mergeCell ref="AK23:AK27"/>
    <mergeCell ref="AL23:AL27"/>
    <mergeCell ref="AM23:AM27"/>
    <mergeCell ref="AN23:AN27"/>
    <mergeCell ref="R29:R34"/>
    <mergeCell ref="S29:S34"/>
    <mergeCell ref="T29:T34"/>
    <mergeCell ref="Y29:Y34"/>
    <mergeCell ref="Z29:Z34"/>
    <mergeCell ref="AJ29:AJ34"/>
    <mergeCell ref="AK29:AK34"/>
    <mergeCell ref="AL29:AL34"/>
    <mergeCell ref="AM29:AM34"/>
    <mergeCell ref="AN29:AN34"/>
    <mergeCell ref="AO29:AO34"/>
    <mergeCell ref="AP29:AP34"/>
    <mergeCell ref="U33:U34"/>
    <mergeCell ref="AA29:AA34"/>
    <mergeCell ref="AB29:AB34"/>
    <mergeCell ref="R37:R47"/>
    <mergeCell ref="AL37:AL47"/>
    <mergeCell ref="AM37:AM47"/>
    <mergeCell ref="AN37:AN47"/>
    <mergeCell ref="J33:J34"/>
    <mergeCell ref="K33:K34"/>
    <mergeCell ref="L33:L34"/>
    <mergeCell ref="M33:M34"/>
    <mergeCell ref="AF29:AF34"/>
    <mergeCell ref="AG29:AG34"/>
    <mergeCell ref="AH29:AH34"/>
    <mergeCell ref="AI29:AI34"/>
    <mergeCell ref="J37:J39"/>
    <mergeCell ref="K37:K39"/>
    <mergeCell ref="Z37:Z47"/>
    <mergeCell ref="AA37:AA47"/>
    <mergeCell ref="AI37:AI47"/>
    <mergeCell ref="AQ29:AQ34"/>
    <mergeCell ref="AC29:AC34"/>
    <mergeCell ref="AD29:AD34"/>
    <mergeCell ref="AE29:AE34"/>
    <mergeCell ref="AO37:AO47"/>
    <mergeCell ref="J29:J30"/>
    <mergeCell ref="K29:K30"/>
    <mergeCell ref="L29:L30"/>
    <mergeCell ref="M29:M30"/>
    <mergeCell ref="Q29:Q30"/>
    <mergeCell ref="U29:U30"/>
    <mergeCell ref="J31:J32"/>
    <mergeCell ref="K31:K32"/>
    <mergeCell ref="L31:L32"/>
    <mergeCell ref="M31:M32"/>
    <mergeCell ref="Q31:Q32"/>
    <mergeCell ref="U31:U32"/>
    <mergeCell ref="O29:O34"/>
    <mergeCell ref="P29:P34"/>
    <mergeCell ref="AJ37:AJ47"/>
    <mergeCell ref="L37:L39"/>
    <mergeCell ref="M37:M39"/>
    <mergeCell ref="O37:O47"/>
    <mergeCell ref="P37:P4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showGridLines="0" zoomScale="65" zoomScaleNormal="65" workbookViewId="0">
      <pane ySplit="8" topLeftCell="A9" activePane="bottomLeft" state="frozen"/>
      <selection pane="bottomLeft" activeCell="A5" sqref="A5:J6"/>
    </sheetView>
  </sheetViews>
  <sheetFormatPr baseColWidth="10" defaultColWidth="11.42578125" defaultRowHeight="15" x14ac:dyDescent="0.25"/>
  <cols>
    <col min="1" max="7" width="23.85546875" customWidth="1"/>
    <col min="8" max="8" width="28.7109375" customWidth="1"/>
    <col min="9" max="9" width="15.140625" customWidth="1"/>
    <col min="10" max="10" width="18.5703125" customWidth="1"/>
    <col min="11" max="11" width="18.42578125" customWidth="1"/>
    <col min="12" max="12" width="13" customWidth="1"/>
    <col min="13" max="13" width="24" customWidth="1"/>
    <col min="14" max="14" width="17.5703125" customWidth="1"/>
    <col min="15" max="15" width="25.7109375" customWidth="1"/>
    <col min="16" max="16" width="23.7109375" customWidth="1"/>
    <col min="17" max="17" width="30.85546875" customWidth="1"/>
    <col min="18" max="18" width="23.85546875" customWidth="1"/>
    <col min="19" max="19" width="24" customWidth="1"/>
    <col min="21" max="21" width="22.7109375" customWidth="1"/>
    <col min="26" max="26" width="13" customWidth="1"/>
    <col min="28" max="28" width="4.85546875" customWidth="1"/>
    <col min="29" max="29" width="5.28515625" customWidth="1"/>
    <col min="30" max="30" width="4.28515625" customWidth="1"/>
    <col min="31" max="31" width="3.7109375" customWidth="1"/>
    <col min="32" max="32" width="4.140625" customWidth="1"/>
    <col min="33" max="33" width="5.42578125" customWidth="1"/>
    <col min="34" max="34" width="6.5703125" customWidth="1"/>
    <col min="35" max="35" width="5.140625" customWidth="1"/>
    <col min="36" max="36" width="4.85546875" customWidth="1"/>
    <col min="37" max="37" width="8.42578125" customWidth="1"/>
    <col min="39" max="39" width="13.7109375" customWidth="1"/>
    <col min="40" max="40" width="22.42578125" customWidth="1"/>
  </cols>
  <sheetData>
    <row r="1" spans="1:40" x14ac:dyDescent="0.25">
      <c r="A1" s="4217" t="s">
        <v>1760</v>
      </c>
      <c r="B1" s="4217"/>
      <c r="C1" s="4217"/>
      <c r="D1" s="4217"/>
      <c r="E1" s="4217"/>
      <c r="F1" s="4217"/>
      <c r="G1" s="4217"/>
      <c r="H1" s="4217"/>
      <c r="I1" s="4217"/>
      <c r="J1" s="4217"/>
      <c r="K1" s="4217"/>
      <c r="L1" s="4217"/>
      <c r="M1" s="4217"/>
      <c r="N1" s="4217"/>
      <c r="O1" s="4217"/>
      <c r="P1" s="4217"/>
      <c r="Q1" s="4217"/>
      <c r="R1" s="4217"/>
      <c r="S1" s="4217"/>
      <c r="T1" s="4217"/>
      <c r="U1" s="4217"/>
      <c r="V1" s="4217"/>
      <c r="W1" s="4217"/>
      <c r="X1" s="4217"/>
      <c r="Y1" s="4217"/>
      <c r="Z1" s="4217"/>
      <c r="AA1" s="4217"/>
      <c r="AB1" s="4217"/>
      <c r="AC1" s="4217"/>
      <c r="AD1" s="4217"/>
      <c r="AE1" s="4217"/>
      <c r="AF1" s="4217"/>
      <c r="AG1" s="4217"/>
      <c r="AH1" s="4217"/>
      <c r="AI1" s="4217"/>
      <c r="AJ1" s="4217"/>
      <c r="AK1" s="4217"/>
      <c r="AL1" s="4217"/>
      <c r="AM1" s="710" t="s">
        <v>0</v>
      </c>
      <c r="AN1" s="710" t="s">
        <v>346</v>
      </c>
    </row>
    <row r="2" spans="1:40" x14ac:dyDescent="0.25">
      <c r="A2" s="4217"/>
      <c r="B2" s="4217"/>
      <c r="C2" s="4217"/>
      <c r="D2" s="4217"/>
      <c r="E2" s="4217"/>
      <c r="F2" s="4217"/>
      <c r="G2" s="4217"/>
      <c r="H2" s="4217"/>
      <c r="I2" s="4217"/>
      <c r="J2" s="4217"/>
      <c r="K2" s="4217"/>
      <c r="L2" s="4217"/>
      <c r="M2" s="4217"/>
      <c r="N2" s="4217"/>
      <c r="O2" s="4217"/>
      <c r="P2" s="4217"/>
      <c r="Q2" s="4217"/>
      <c r="R2" s="4217"/>
      <c r="S2" s="4217"/>
      <c r="T2" s="4217"/>
      <c r="U2" s="4217"/>
      <c r="V2" s="4217"/>
      <c r="W2" s="4217"/>
      <c r="X2" s="4217"/>
      <c r="Y2" s="4217"/>
      <c r="Z2" s="4217"/>
      <c r="AA2" s="4217"/>
      <c r="AB2" s="4217"/>
      <c r="AC2" s="4217"/>
      <c r="AD2" s="4217"/>
      <c r="AE2" s="4217"/>
      <c r="AF2" s="4217"/>
      <c r="AG2" s="4217"/>
      <c r="AH2" s="4217"/>
      <c r="AI2" s="4217"/>
      <c r="AJ2" s="4217"/>
      <c r="AK2" s="4217"/>
      <c r="AL2" s="4217"/>
      <c r="AM2" s="726" t="s">
        <v>2</v>
      </c>
      <c r="AN2" s="710" t="s">
        <v>114</v>
      </c>
    </row>
    <row r="3" spans="1:40" x14ac:dyDescent="0.25">
      <c r="A3" s="4217"/>
      <c r="B3" s="4217"/>
      <c r="C3" s="4217"/>
      <c r="D3" s="4217"/>
      <c r="E3" s="4217"/>
      <c r="F3" s="4217"/>
      <c r="G3" s="4217"/>
      <c r="H3" s="4217"/>
      <c r="I3" s="4217"/>
      <c r="J3" s="4217"/>
      <c r="K3" s="4217"/>
      <c r="L3" s="4217"/>
      <c r="M3" s="4217"/>
      <c r="N3" s="4217"/>
      <c r="O3" s="4217"/>
      <c r="P3" s="4217"/>
      <c r="Q3" s="4217"/>
      <c r="R3" s="4217"/>
      <c r="S3" s="4217"/>
      <c r="T3" s="4217"/>
      <c r="U3" s="4217"/>
      <c r="V3" s="4217"/>
      <c r="W3" s="4217"/>
      <c r="X3" s="4217"/>
      <c r="Y3" s="4217"/>
      <c r="Z3" s="4217"/>
      <c r="AA3" s="4217"/>
      <c r="AB3" s="4217"/>
      <c r="AC3" s="4217"/>
      <c r="AD3" s="4217"/>
      <c r="AE3" s="4217"/>
      <c r="AF3" s="4217"/>
      <c r="AG3" s="4217"/>
      <c r="AH3" s="4217"/>
      <c r="AI3" s="4217"/>
      <c r="AJ3" s="4217"/>
      <c r="AK3" s="4217"/>
      <c r="AL3" s="4217"/>
      <c r="AM3" s="710" t="s">
        <v>4</v>
      </c>
      <c r="AN3" s="727" t="s">
        <v>5</v>
      </c>
    </row>
    <row r="4" spans="1:40" x14ac:dyDescent="0.25">
      <c r="A4" s="4217"/>
      <c r="B4" s="4217"/>
      <c r="C4" s="4217"/>
      <c r="D4" s="4217"/>
      <c r="E4" s="4217"/>
      <c r="F4" s="4217"/>
      <c r="G4" s="4217"/>
      <c r="H4" s="4217"/>
      <c r="I4" s="4217"/>
      <c r="J4" s="4217"/>
      <c r="K4" s="4217"/>
      <c r="L4" s="4217"/>
      <c r="M4" s="4217"/>
      <c r="N4" s="4217"/>
      <c r="O4" s="4217"/>
      <c r="P4" s="4217"/>
      <c r="Q4" s="4217"/>
      <c r="R4" s="4217"/>
      <c r="S4" s="4217"/>
      <c r="T4" s="4217"/>
      <c r="U4" s="4217"/>
      <c r="V4" s="4217"/>
      <c r="W4" s="4217"/>
      <c r="X4" s="4217"/>
      <c r="Y4" s="4217"/>
      <c r="Z4" s="4217"/>
      <c r="AA4" s="4217"/>
      <c r="AB4" s="4217"/>
      <c r="AC4" s="4217"/>
      <c r="AD4" s="4217"/>
      <c r="AE4" s="4217"/>
      <c r="AF4" s="4217"/>
      <c r="AG4" s="4217"/>
      <c r="AH4" s="4217"/>
      <c r="AI4" s="4217"/>
      <c r="AJ4" s="4217"/>
      <c r="AK4" s="4217"/>
      <c r="AL4" s="4217"/>
      <c r="AM4" s="1106" t="s">
        <v>6</v>
      </c>
      <c r="AN4" s="728" t="s">
        <v>7</v>
      </c>
    </row>
    <row r="5" spans="1:40" ht="15.75" x14ac:dyDescent="0.25">
      <c r="A5" s="4216" t="s">
        <v>8</v>
      </c>
      <c r="B5" s="4216"/>
      <c r="C5" s="4216"/>
      <c r="D5" s="4216"/>
      <c r="E5" s="4216"/>
      <c r="F5" s="4216"/>
      <c r="G5" s="4216"/>
      <c r="H5" s="4216"/>
      <c r="I5" s="4216"/>
      <c r="J5" s="4216"/>
      <c r="K5" s="4216" t="s">
        <v>9</v>
      </c>
      <c r="L5" s="4216"/>
      <c r="M5" s="4216"/>
      <c r="N5" s="4216"/>
      <c r="O5" s="4216"/>
      <c r="P5" s="4216"/>
      <c r="Q5" s="4216"/>
      <c r="R5" s="4216"/>
      <c r="S5" s="4216"/>
      <c r="T5" s="4216"/>
      <c r="U5" s="4216"/>
      <c r="V5" s="4216"/>
      <c r="W5" s="4216"/>
      <c r="X5" s="4216"/>
      <c r="Y5" s="4216"/>
      <c r="Z5" s="4216"/>
      <c r="AA5" s="4216"/>
      <c r="AB5" s="4216"/>
      <c r="AC5" s="4216"/>
      <c r="AD5" s="4216"/>
      <c r="AE5" s="4216"/>
      <c r="AF5" s="4216"/>
      <c r="AG5" s="4216"/>
      <c r="AH5" s="4216"/>
      <c r="AI5" s="4216"/>
      <c r="AJ5" s="4216"/>
      <c r="AK5" s="4216"/>
      <c r="AL5" s="4218"/>
      <c r="AM5" s="4218"/>
      <c r="AN5" s="4218"/>
    </row>
    <row r="6" spans="1:40" ht="15.75" x14ac:dyDescent="0.25">
      <c r="A6" s="4216"/>
      <c r="B6" s="4216"/>
      <c r="C6" s="4216"/>
      <c r="D6" s="4216"/>
      <c r="E6" s="4216"/>
      <c r="F6" s="4216"/>
      <c r="G6" s="4216"/>
      <c r="H6" s="4216"/>
      <c r="I6" s="4216"/>
      <c r="J6" s="4216"/>
      <c r="K6" s="4216"/>
      <c r="L6" s="4216"/>
      <c r="M6" s="4216"/>
      <c r="N6" s="4216"/>
      <c r="O6" s="4216"/>
      <c r="P6" s="4216"/>
      <c r="Q6" s="4216"/>
      <c r="R6" s="4216"/>
      <c r="S6" s="4216"/>
      <c r="T6" s="4216"/>
      <c r="U6" s="4216"/>
      <c r="V6" s="4216" t="s">
        <v>1692</v>
      </c>
      <c r="W6" s="4216"/>
      <c r="X6" s="4216"/>
      <c r="Y6" s="4216"/>
      <c r="Z6" s="4216"/>
      <c r="AA6" s="4216"/>
      <c r="AB6" s="4216"/>
      <c r="AC6" s="4216"/>
      <c r="AD6" s="4216"/>
      <c r="AE6" s="4216"/>
      <c r="AF6" s="4216"/>
      <c r="AG6" s="4216"/>
      <c r="AH6" s="4216"/>
      <c r="AI6" s="4216"/>
      <c r="AJ6" s="4216"/>
      <c r="AK6" s="4216"/>
      <c r="AL6" s="4219" t="s">
        <v>31</v>
      </c>
      <c r="AM6" s="4219" t="s">
        <v>32</v>
      </c>
      <c r="AN6" s="4220" t="s">
        <v>33</v>
      </c>
    </row>
    <row r="7" spans="1:40" ht="25.5" customHeight="1" x14ac:dyDescent="0.25">
      <c r="A7" s="4213" t="s">
        <v>11</v>
      </c>
      <c r="B7" s="4213" t="s">
        <v>1693</v>
      </c>
      <c r="C7" s="4213" t="s">
        <v>11</v>
      </c>
      <c r="D7" s="4213" t="s">
        <v>1694</v>
      </c>
      <c r="E7" s="4213" t="s">
        <v>11</v>
      </c>
      <c r="F7" s="4213" t="s">
        <v>1695</v>
      </c>
      <c r="G7" s="4213" t="s">
        <v>11</v>
      </c>
      <c r="H7" s="4221" t="s">
        <v>1696</v>
      </c>
      <c r="I7" s="4221" t="s">
        <v>16</v>
      </c>
      <c r="J7" s="4221" t="s">
        <v>17</v>
      </c>
      <c r="K7" s="4221" t="s">
        <v>18</v>
      </c>
      <c r="L7" s="4221" t="s">
        <v>1697</v>
      </c>
      <c r="M7" s="4221" t="s">
        <v>9</v>
      </c>
      <c r="N7" s="4221" t="s">
        <v>20</v>
      </c>
      <c r="O7" s="4221" t="s">
        <v>1698</v>
      </c>
      <c r="P7" s="4221" t="s">
        <v>22</v>
      </c>
      <c r="Q7" s="4221" t="s">
        <v>23</v>
      </c>
      <c r="R7" s="4221" t="s">
        <v>24</v>
      </c>
      <c r="S7" s="4224" t="s">
        <v>21</v>
      </c>
      <c r="T7" s="4221" t="s">
        <v>11</v>
      </c>
      <c r="U7" s="4221" t="s">
        <v>25</v>
      </c>
      <c r="V7" s="2838" t="s">
        <v>26</v>
      </c>
      <c r="W7" s="2838"/>
      <c r="X7" s="2839" t="s">
        <v>27</v>
      </c>
      <c r="Y7" s="2839"/>
      <c r="Z7" s="2839"/>
      <c r="AA7" s="2839"/>
      <c r="AB7" s="2860" t="s">
        <v>28</v>
      </c>
      <c r="AC7" s="2861"/>
      <c r="AD7" s="2861"/>
      <c r="AE7" s="2861"/>
      <c r="AF7" s="2861"/>
      <c r="AG7" s="2862"/>
      <c r="AH7" s="2839" t="s">
        <v>29</v>
      </c>
      <c r="AI7" s="2839"/>
      <c r="AJ7" s="2839"/>
      <c r="AK7" s="1107" t="s">
        <v>30</v>
      </c>
      <c r="AL7" s="4219"/>
      <c r="AM7" s="4219"/>
      <c r="AN7" s="4220"/>
    </row>
    <row r="8" spans="1:40" ht="96.75" x14ac:dyDescent="0.25">
      <c r="A8" s="4214"/>
      <c r="B8" s="4215"/>
      <c r="C8" s="4215"/>
      <c r="D8" s="4215"/>
      <c r="E8" s="4215"/>
      <c r="F8" s="4215"/>
      <c r="G8" s="4215"/>
      <c r="H8" s="4222"/>
      <c r="I8" s="4222"/>
      <c r="J8" s="4223"/>
      <c r="K8" s="4222"/>
      <c r="L8" s="4222"/>
      <c r="M8" s="4222"/>
      <c r="N8" s="4222"/>
      <c r="O8" s="4222"/>
      <c r="P8" s="4222"/>
      <c r="Q8" s="4222"/>
      <c r="R8" s="4222"/>
      <c r="S8" s="4225"/>
      <c r="T8" s="4222"/>
      <c r="U8" s="4222"/>
      <c r="V8" s="1108" t="s">
        <v>34</v>
      </c>
      <c r="W8" s="1109" t="s">
        <v>35</v>
      </c>
      <c r="X8" s="1110" t="s">
        <v>36</v>
      </c>
      <c r="Y8" s="1110" t="s">
        <v>115</v>
      </c>
      <c r="Z8" s="1110" t="s">
        <v>384</v>
      </c>
      <c r="AA8" s="1110" t="s">
        <v>117</v>
      </c>
      <c r="AB8" s="1110" t="s">
        <v>40</v>
      </c>
      <c r="AC8" s="1110" t="s">
        <v>41</v>
      </c>
      <c r="AD8" s="1110" t="s">
        <v>42</v>
      </c>
      <c r="AE8" s="1110" t="s">
        <v>43</v>
      </c>
      <c r="AF8" s="1110" t="s">
        <v>44</v>
      </c>
      <c r="AG8" s="1110" t="s">
        <v>45</v>
      </c>
      <c r="AH8" s="1110" t="s">
        <v>46</v>
      </c>
      <c r="AI8" s="1110" t="s">
        <v>47</v>
      </c>
      <c r="AJ8" s="1110" t="s">
        <v>48</v>
      </c>
      <c r="AK8" s="1110" t="s">
        <v>30</v>
      </c>
      <c r="AL8" s="4219"/>
      <c r="AM8" s="4219"/>
      <c r="AN8" s="4220"/>
    </row>
    <row r="9" spans="1:40" ht="28.5" customHeight="1" x14ac:dyDescent="0.25">
      <c r="A9" s="1111">
        <v>2</v>
      </c>
      <c r="B9" s="4226" t="s">
        <v>634</v>
      </c>
      <c r="C9" s="4227"/>
      <c r="D9" s="4227"/>
      <c r="E9" s="1112"/>
      <c r="F9" s="1112"/>
      <c r="G9" s="1112"/>
      <c r="H9" s="1112"/>
      <c r="I9" s="1112"/>
      <c r="J9" s="1112"/>
      <c r="K9" s="1112"/>
      <c r="L9" s="1112"/>
      <c r="M9" s="1112"/>
      <c r="N9" s="1112"/>
      <c r="O9" s="1112"/>
      <c r="P9" s="1112"/>
      <c r="Q9" s="1112"/>
      <c r="R9" s="1112"/>
      <c r="S9" s="1112"/>
      <c r="T9" s="1112"/>
      <c r="U9" s="1112"/>
      <c r="V9" s="1112"/>
      <c r="W9" s="1112"/>
      <c r="X9" s="1112"/>
      <c r="Y9" s="1112"/>
      <c r="Z9" s="1112"/>
      <c r="AA9" s="1112"/>
      <c r="AB9" s="1112"/>
      <c r="AC9" s="1112"/>
      <c r="AD9" s="1112"/>
      <c r="AE9" s="1112"/>
      <c r="AF9" s="1112"/>
      <c r="AG9" s="1112"/>
      <c r="AH9" s="1112"/>
      <c r="AI9" s="1112"/>
      <c r="AJ9" s="1112"/>
      <c r="AK9" s="1112"/>
      <c r="AL9" s="1113"/>
      <c r="AM9" s="1113"/>
      <c r="AN9" s="1114"/>
    </row>
    <row r="10" spans="1:40" ht="24.75" customHeight="1" x14ac:dyDescent="0.25">
      <c r="A10" s="1115"/>
      <c r="B10" s="1116"/>
      <c r="C10" s="1117">
        <v>4</v>
      </c>
      <c r="D10" s="4228" t="s">
        <v>1699</v>
      </c>
      <c r="E10" s="4229"/>
      <c r="F10" s="4229"/>
      <c r="G10" s="4229"/>
      <c r="H10" s="4229"/>
      <c r="I10" s="4229"/>
      <c r="J10" s="4229"/>
      <c r="K10" s="4229"/>
      <c r="L10" s="4229"/>
      <c r="M10" s="4229"/>
      <c r="N10" s="4229"/>
      <c r="O10" s="4229"/>
      <c r="P10" s="4229"/>
      <c r="Q10" s="4229"/>
      <c r="R10" s="4229"/>
      <c r="S10" s="4229"/>
      <c r="T10" s="4229"/>
      <c r="U10" s="4229"/>
      <c r="V10" s="4229"/>
      <c r="W10" s="4229"/>
      <c r="X10" s="4229"/>
      <c r="Y10" s="4229"/>
      <c r="Z10" s="4229"/>
      <c r="AA10" s="4229"/>
      <c r="AB10" s="4229"/>
      <c r="AC10" s="4229"/>
      <c r="AD10" s="4229"/>
      <c r="AE10" s="4229"/>
      <c r="AF10" s="4229"/>
      <c r="AG10" s="4229"/>
      <c r="AH10" s="4229"/>
      <c r="AI10" s="4229"/>
      <c r="AJ10" s="4229"/>
      <c r="AK10" s="4229"/>
      <c r="AL10" s="4229"/>
      <c r="AM10" s="4229"/>
      <c r="AN10" s="4230"/>
    </row>
    <row r="11" spans="1:40" ht="25.5" customHeight="1" x14ac:dyDescent="0.25">
      <c r="A11" s="1118"/>
      <c r="B11" s="1119"/>
      <c r="C11" s="1116"/>
      <c r="D11" s="1115"/>
      <c r="E11" s="1120">
        <v>14</v>
      </c>
      <c r="F11" s="4231" t="s">
        <v>1700</v>
      </c>
      <c r="G11" s="4231"/>
      <c r="H11" s="4231"/>
      <c r="I11" s="4231"/>
      <c r="J11" s="4231"/>
      <c r="K11" s="4231"/>
      <c r="L11" s="4231"/>
      <c r="M11" s="4231"/>
      <c r="N11" s="4231"/>
      <c r="O11" s="4231"/>
      <c r="P11" s="4231"/>
      <c r="Q11" s="4231"/>
      <c r="R11" s="4232"/>
      <c r="S11" s="4232"/>
      <c r="T11" s="4232"/>
      <c r="U11" s="4232"/>
      <c r="V11" s="4231"/>
      <c r="W11" s="4231"/>
      <c r="X11" s="4231"/>
      <c r="Y11" s="4231"/>
      <c r="Z11" s="4231"/>
      <c r="AA11" s="4231"/>
      <c r="AB11" s="4231"/>
      <c r="AC11" s="4231"/>
      <c r="AD11" s="4231"/>
      <c r="AE11" s="4231"/>
      <c r="AF11" s="4231"/>
      <c r="AG11" s="4231"/>
      <c r="AH11" s="4231"/>
      <c r="AI11" s="4231"/>
      <c r="AJ11" s="4231"/>
      <c r="AK11" s="4231"/>
      <c r="AL11" s="4231"/>
      <c r="AM11" s="4231"/>
      <c r="AN11" s="4231"/>
    </row>
    <row r="12" spans="1:40" ht="43.5" customHeight="1" x14ac:dyDescent="0.25">
      <c r="A12" s="1121"/>
      <c r="B12" s="1122"/>
      <c r="C12" s="1121"/>
      <c r="D12" s="1122"/>
      <c r="E12" s="4196"/>
      <c r="F12" s="4120"/>
      <c r="G12" s="4234">
        <v>54</v>
      </c>
      <c r="H12" s="2535" t="s">
        <v>446</v>
      </c>
      <c r="I12" s="2533" t="s">
        <v>447</v>
      </c>
      <c r="J12" s="2533">
        <v>130</v>
      </c>
      <c r="K12" s="2533" t="s">
        <v>1701</v>
      </c>
      <c r="L12" s="2533" t="s">
        <v>1702</v>
      </c>
      <c r="M12" s="2535" t="s">
        <v>1703</v>
      </c>
      <c r="N12" s="3892">
        <f>+SUM(S12:S14)/O12</f>
        <v>1</v>
      </c>
      <c r="O12" s="4181">
        <f>+SUM(S12:S14)</f>
        <v>313916293</v>
      </c>
      <c r="P12" s="2535" t="s">
        <v>1704</v>
      </c>
      <c r="Q12" s="3436" t="s">
        <v>1705</v>
      </c>
      <c r="R12" s="4207" t="s">
        <v>1706</v>
      </c>
      <c r="S12" s="1305">
        <v>290660277</v>
      </c>
      <c r="T12" s="1306">
        <v>53</v>
      </c>
      <c r="U12" s="1305" t="s">
        <v>1707</v>
      </c>
      <c r="V12" s="4208">
        <v>1382.4</v>
      </c>
      <c r="W12" s="4203">
        <v>1317.6</v>
      </c>
      <c r="X12" s="4203">
        <v>459</v>
      </c>
      <c r="Y12" s="4203">
        <v>248</v>
      </c>
      <c r="Z12" s="4203">
        <v>1615</v>
      </c>
      <c r="AA12" s="4203">
        <v>378</v>
      </c>
      <c r="AB12" s="4203"/>
      <c r="AC12" s="4203"/>
      <c r="AD12" s="4203"/>
      <c r="AE12" s="4203"/>
      <c r="AF12" s="4203"/>
      <c r="AG12" s="4203"/>
      <c r="AH12" s="4203"/>
      <c r="AI12" s="4203"/>
      <c r="AJ12" s="4203"/>
      <c r="AK12" s="4203">
        <f>+X12+Y12+Z12+AA12</f>
        <v>2700</v>
      </c>
      <c r="AL12" s="4183">
        <v>43466</v>
      </c>
      <c r="AM12" s="4183">
        <v>43829</v>
      </c>
      <c r="AN12" s="2533" t="s">
        <v>1708</v>
      </c>
    </row>
    <row r="13" spans="1:40" ht="43.5" customHeight="1" x14ac:dyDescent="0.25">
      <c r="A13" s="1121"/>
      <c r="B13" s="1122"/>
      <c r="C13" s="1121"/>
      <c r="D13" s="1122"/>
      <c r="E13" s="4233"/>
      <c r="F13" s="4202"/>
      <c r="G13" s="4235"/>
      <c r="H13" s="2530"/>
      <c r="I13" s="2528"/>
      <c r="J13" s="2528"/>
      <c r="K13" s="2528"/>
      <c r="L13" s="2528"/>
      <c r="M13" s="2530"/>
      <c r="N13" s="3893"/>
      <c r="O13" s="4237"/>
      <c r="P13" s="2530"/>
      <c r="Q13" s="2713"/>
      <c r="R13" s="4207"/>
      <c r="S13" s="4211">
        <v>23256016</v>
      </c>
      <c r="T13" s="4212">
        <v>129</v>
      </c>
      <c r="U13" s="4211" t="s">
        <v>1709</v>
      </c>
      <c r="V13" s="4209"/>
      <c r="W13" s="4204"/>
      <c r="X13" s="4204"/>
      <c r="Y13" s="4204"/>
      <c r="Z13" s="4204"/>
      <c r="AA13" s="4204"/>
      <c r="AB13" s="4204"/>
      <c r="AC13" s="4204"/>
      <c r="AD13" s="4204"/>
      <c r="AE13" s="4204"/>
      <c r="AF13" s="4204"/>
      <c r="AG13" s="4204"/>
      <c r="AH13" s="4204"/>
      <c r="AI13" s="4204"/>
      <c r="AJ13" s="4204"/>
      <c r="AK13" s="4204"/>
      <c r="AL13" s="4184"/>
      <c r="AM13" s="4184"/>
      <c r="AN13" s="2528"/>
    </row>
    <row r="14" spans="1:40" ht="104.25" customHeight="1" x14ac:dyDescent="0.25">
      <c r="A14" s="1121"/>
      <c r="B14" s="1122"/>
      <c r="C14" s="1121"/>
      <c r="D14" s="1122"/>
      <c r="E14" s="4197"/>
      <c r="F14" s="4121"/>
      <c r="G14" s="4236"/>
      <c r="H14" s="2536"/>
      <c r="I14" s="2534"/>
      <c r="J14" s="2534"/>
      <c r="K14" s="2534"/>
      <c r="L14" s="2534"/>
      <c r="M14" s="2536"/>
      <c r="N14" s="3894"/>
      <c r="O14" s="4182"/>
      <c r="P14" s="2536"/>
      <c r="Q14" s="4206"/>
      <c r="R14" s="4207"/>
      <c r="S14" s="4211"/>
      <c r="T14" s="4212"/>
      <c r="U14" s="4211"/>
      <c r="V14" s="4210"/>
      <c r="W14" s="4205"/>
      <c r="X14" s="4205"/>
      <c r="Y14" s="4205"/>
      <c r="Z14" s="4205"/>
      <c r="AA14" s="4205"/>
      <c r="AB14" s="4205"/>
      <c r="AC14" s="4205"/>
      <c r="AD14" s="4205"/>
      <c r="AE14" s="4205"/>
      <c r="AF14" s="4205"/>
      <c r="AG14" s="4205"/>
      <c r="AH14" s="4205"/>
      <c r="AI14" s="4205"/>
      <c r="AJ14" s="4205"/>
      <c r="AK14" s="4205"/>
      <c r="AL14" s="4185"/>
      <c r="AM14" s="4185"/>
      <c r="AN14" s="2534"/>
    </row>
    <row r="15" spans="1:40" ht="21" customHeight="1" x14ac:dyDescent="0.25">
      <c r="A15" s="1118"/>
      <c r="B15" s="1119"/>
      <c r="C15" s="1119"/>
      <c r="D15" s="1118"/>
      <c r="E15" s="1123">
        <v>15</v>
      </c>
      <c r="F15" s="4201" t="s">
        <v>1710</v>
      </c>
      <c r="G15" s="4201"/>
      <c r="H15" s="4201"/>
      <c r="I15" s="4201"/>
      <c r="J15" s="4201"/>
      <c r="K15" s="1670"/>
      <c r="L15" s="1670"/>
      <c r="M15" s="1124"/>
      <c r="N15" s="1670"/>
      <c r="O15" s="1670"/>
      <c r="P15" s="1124"/>
      <c r="Q15" s="1124"/>
      <c r="R15" s="1307"/>
      <c r="S15" s="1308"/>
      <c r="T15" s="1309"/>
      <c r="U15" s="1309"/>
      <c r="V15" s="1670"/>
      <c r="W15" s="1670"/>
      <c r="X15" s="1670"/>
      <c r="Y15" s="1670"/>
      <c r="Z15" s="1670"/>
      <c r="AA15" s="1670"/>
      <c r="AB15" s="1670"/>
      <c r="AC15" s="1670"/>
      <c r="AD15" s="1670"/>
      <c r="AE15" s="1670"/>
      <c r="AF15" s="1670"/>
      <c r="AG15" s="1670"/>
      <c r="AH15" s="1670"/>
      <c r="AI15" s="1670"/>
      <c r="AJ15" s="1670"/>
      <c r="AK15" s="1670"/>
      <c r="AL15" s="1125"/>
      <c r="AM15" s="1125"/>
      <c r="AN15" s="1670"/>
    </row>
    <row r="16" spans="1:40" ht="43.5" customHeight="1" x14ac:dyDescent="0.25">
      <c r="A16" s="1118"/>
      <c r="B16" s="1119"/>
      <c r="C16" s="1119"/>
      <c r="D16" s="1118"/>
      <c r="E16" s="4191"/>
      <c r="F16" s="4191"/>
      <c r="G16" s="4120">
        <v>59</v>
      </c>
      <c r="H16" s="3809" t="s">
        <v>492</v>
      </c>
      <c r="I16" s="4120" t="s">
        <v>493</v>
      </c>
      <c r="J16" s="4120">
        <v>12</v>
      </c>
      <c r="K16" s="4120" t="s">
        <v>1701</v>
      </c>
      <c r="L16" s="4120" t="s">
        <v>1702</v>
      </c>
      <c r="M16" s="3809" t="s">
        <v>1703</v>
      </c>
      <c r="N16" s="3869">
        <f>+S16/O16</f>
        <v>1</v>
      </c>
      <c r="O16" s="4181">
        <f>+S16</f>
        <v>573181075</v>
      </c>
      <c r="P16" s="3809" t="s">
        <v>1704</v>
      </c>
      <c r="Q16" s="3809" t="s">
        <v>1711</v>
      </c>
      <c r="R16" s="3809" t="s">
        <v>1712</v>
      </c>
      <c r="S16" s="4194">
        <v>573181075</v>
      </c>
      <c r="T16" s="4196" t="s">
        <v>396</v>
      </c>
      <c r="U16" s="4198" t="s">
        <v>1713</v>
      </c>
      <c r="V16" s="4188">
        <f>+[1]Hoja1!$E$12</f>
        <v>284400.12800000003</v>
      </c>
      <c r="W16" s="4188">
        <f>+[1]Hoja1!$D$12</f>
        <v>271068.87199999997</v>
      </c>
      <c r="X16" s="4188">
        <f>+X12</f>
        <v>459</v>
      </c>
      <c r="Y16" s="4188">
        <f>+Y12</f>
        <v>248</v>
      </c>
      <c r="Z16" s="4188">
        <f>+Z12</f>
        <v>1615</v>
      </c>
      <c r="AA16" s="4188">
        <f>+AA12</f>
        <v>378</v>
      </c>
      <c r="AB16" s="4191"/>
      <c r="AC16" s="4191"/>
      <c r="AD16" s="4191"/>
      <c r="AE16" s="4191"/>
      <c r="AF16" s="4191"/>
      <c r="AG16" s="4191"/>
      <c r="AH16" s="4191"/>
      <c r="AI16" s="4191"/>
      <c r="AJ16" s="4191"/>
      <c r="AK16" s="4203">
        <f>+X16+Y16+Z16+AA16</f>
        <v>2700</v>
      </c>
      <c r="AL16" s="4183">
        <v>43466</v>
      </c>
      <c r="AM16" s="4183">
        <v>43829</v>
      </c>
      <c r="AN16" s="2533" t="s">
        <v>1714</v>
      </c>
    </row>
    <row r="17" spans="1:40" ht="58.5" customHeight="1" x14ac:dyDescent="0.25">
      <c r="A17" s="1126"/>
      <c r="B17" s="1122"/>
      <c r="C17" s="1121"/>
      <c r="D17" s="1122"/>
      <c r="E17" s="4192"/>
      <c r="F17" s="4192"/>
      <c r="G17" s="4121"/>
      <c r="H17" s="3371"/>
      <c r="I17" s="4121"/>
      <c r="J17" s="4121"/>
      <c r="K17" s="4121"/>
      <c r="L17" s="4202"/>
      <c r="M17" s="3370"/>
      <c r="N17" s="3871"/>
      <c r="O17" s="4182"/>
      <c r="P17" s="3370"/>
      <c r="Q17" s="3370"/>
      <c r="R17" s="3371"/>
      <c r="S17" s="4195"/>
      <c r="T17" s="4197"/>
      <c r="U17" s="4199"/>
      <c r="V17" s="4189"/>
      <c r="W17" s="4189"/>
      <c r="X17" s="4189"/>
      <c r="Y17" s="4189"/>
      <c r="Z17" s="4189"/>
      <c r="AA17" s="4189"/>
      <c r="AB17" s="4192"/>
      <c r="AC17" s="4192"/>
      <c r="AD17" s="4192"/>
      <c r="AE17" s="4192"/>
      <c r="AF17" s="4192"/>
      <c r="AG17" s="4192"/>
      <c r="AH17" s="4192"/>
      <c r="AI17" s="4192"/>
      <c r="AJ17" s="4192"/>
      <c r="AK17" s="4204"/>
      <c r="AL17" s="4184"/>
      <c r="AM17" s="4184"/>
      <c r="AN17" s="2528"/>
    </row>
    <row r="18" spans="1:40" ht="85.5" x14ac:dyDescent="0.25">
      <c r="A18" s="1126"/>
      <c r="B18" s="1122"/>
      <c r="C18" s="1121"/>
      <c r="D18" s="1122"/>
      <c r="E18" s="4192"/>
      <c r="F18" s="4192"/>
      <c r="G18" s="1660">
        <v>57</v>
      </c>
      <c r="H18" s="1634" t="s">
        <v>475</v>
      </c>
      <c r="I18" s="1660" t="s">
        <v>476</v>
      </c>
      <c r="J18" s="1660">
        <v>12</v>
      </c>
      <c r="K18" s="1660" t="s">
        <v>1701</v>
      </c>
      <c r="L18" s="4202"/>
      <c r="M18" s="3370"/>
      <c r="N18" s="1671">
        <f>+S18/O18</f>
        <v>1</v>
      </c>
      <c r="O18" s="1665">
        <f>+S18</f>
        <v>573181075</v>
      </c>
      <c r="P18" s="3370"/>
      <c r="Q18" s="3370"/>
      <c r="R18" s="1634" t="s">
        <v>1715</v>
      </c>
      <c r="S18" s="1667">
        <v>573181075</v>
      </c>
      <c r="T18" s="1663" t="s">
        <v>396</v>
      </c>
      <c r="U18" s="1668" t="s">
        <v>1713</v>
      </c>
      <c r="V18" s="4189"/>
      <c r="W18" s="4189"/>
      <c r="X18" s="4189"/>
      <c r="Y18" s="4189"/>
      <c r="Z18" s="4189"/>
      <c r="AA18" s="4189"/>
      <c r="AB18" s="4192"/>
      <c r="AC18" s="4192"/>
      <c r="AD18" s="4192"/>
      <c r="AE18" s="4192"/>
      <c r="AF18" s="4192"/>
      <c r="AG18" s="4192"/>
      <c r="AH18" s="4192"/>
      <c r="AI18" s="4192"/>
      <c r="AJ18" s="4192"/>
      <c r="AK18" s="4204"/>
      <c r="AL18" s="4184"/>
      <c r="AM18" s="4184"/>
      <c r="AN18" s="2528"/>
    </row>
    <row r="19" spans="1:40" ht="60" customHeight="1" x14ac:dyDescent="0.25">
      <c r="A19" s="1126"/>
      <c r="B19" s="1122"/>
      <c r="C19" s="1121"/>
      <c r="D19" s="1122"/>
      <c r="E19" s="4192"/>
      <c r="F19" s="4192"/>
      <c r="G19" s="4120">
        <v>60</v>
      </c>
      <c r="H19" s="3809" t="s">
        <v>1716</v>
      </c>
      <c r="I19" s="4120" t="s">
        <v>1717</v>
      </c>
      <c r="J19" s="4120">
        <v>12</v>
      </c>
      <c r="K19" s="4120" t="s">
        <v>1701</v>
      </c>
      <c r="L19" s="4202"/>
      <c r="M19" s="3370"/>
      <c r="N19" s="4179">
        <f>+S19/O19</f>
        <v>0.96136535195579809</v>
      </c>
      <c r="O19" s="4181">
        <f>+S19+S20</f>
        <v>595320552</v>
      </c>
      <c r="P19" s="3370"/>
      <c r="Q19" s="3370"/>
      <c r="R19" s="4186" t="s">
        <v>1718</v>
      </c>
      <c r="S19" s="1802">
        <f>290660276+281660276</f>
        <v>572320552</v>
      </c>
      <c r="T19" s="1310" t="s">
        <v>1719</v>
      </c>
      <c r="U19" s="1311" t="s">
        <v>1707</v>
      </c>
      <c r="V19" s="4200"/>
      <c r="W19" s="4189"/>
      <c r="X19" s="4189"/>
      <c r="Y19" s="4189"/>
      <c r="Z19" s="4189"/>
      <c r="AA19" s="4189"/>
      <c r="AB19" s="4192"/>
      <c r="AC19" s="4192"/>
      <c r="AD19" s="4192"/>
      <c r="AE19" s="4192"/>
      <c r="AF19" s="4192"/>
      <c r="AG19" s="4192"/>
      <c r="AH19" s="4192"/>
      <c r="AI19" s="4192"/>
      <c r="AJ19" s="4192"/>
      <c r="AK19" s="4204"/>
      <c r="AL19" s="4184"/>
      <c r="AM19" s="4184"/>
      <c r="AN19" s="2528"/>
    </row>
    <row r="20" spans="1:40" ht="60" customHeight="1" x14ac:dyDescent="0.25">
      <c r="A20" s="1126"/>
      <c r="B20" s="1130"/>
      <c r="C20" s="1126"/>
      <c r="D20" s="1131"/>
      <c r="E20" s="4192"/>
      <c r="F20" s="4192"/>
      <c r="G20" s="4121"/>
      <c r="H20" s="3371"/>
      <c r="I20" s="4121"/>
      <c r="J20" s="4121"/>
      <c r="K20" s="4121"/>
      <c r="L20" s="4202"/>
      <c r="M20" s="3370"/>
      <c r="N20" s="4180"/>
      <c r="O20" s="4182"/>
      <c r="P20" s="3370"/>
      <c r="Q20" s="3370"/>
      <c r="R20" s="4187"/>
      <c r="S20" s="1305">
        <v>23000000</v>
      </c>
      <c r="T20" s="1310" t="s">
        <v>1720</v>
      </c>
      <c r="U20" s="1311" t="s">
        <v>1721</v>
      </c>
      <c r="V20" s="4200"/>
      <c r="W20" s="4189"/>
      <c r="X20" s="4189"/>
      <c r="Y20" s="4189"/>
      <c r="Z20" s="4189"/>
      <c r="AA20" s="4189"/>
      <c r="AB20" s="4192"/>
      <c r="AC20" s="4192"/>
      <c r="AD20" s="4192"/>
      <c r="AE20" s="4192"/>
      <c r="AF20" s="4192"/>
      <c r="AG20" s="4192"/>
      <c r="AH20" s="4192"/>
      <c r="AI20" s="4192"/>
      <c r="AJ20" s="4192"/>
      <c r="AK20" s="4204"/>
      <c r="AL20" s="4184"/>
      <c r="AM20" s="4184"/>
      <c r="AN20" s="2528"/>
    </row>
    <row r="21" spans="1:40" ht="37.5" customHeight="1" x14ac:dyDescent="0.25">
      <c r="A21" s="1126"/>
      <c r="B21" s="1130"/>
      <c r="C21" s="1126"/>
      <c r="D21" s="1131"/>
      <c r="E21" s="4192"/>
      <c r="F21" s="4192"/>
      <c r="G21" s="4120">
        <v>63</v>
      </c>
      <c r="H21" s="3809" t="s">
        <v>510</v>
      </c>
      <c r="I21" s="4120" t="s">
        <v>511</v>
      </c>
      <c r="J21" s="4120">
        <v>250</v>
      </c>
      <c r="K21" s="4120" t="s">
        <v>1701</v>
      </c>
      <c r="L21" s="4202"/>
      <c r="M21" s="3370"/>
      <c r="N21" s="4179">
        <f>+SUM(S21:S22)/O21</f>
        <v>1</v>
      </c>
      <c r="O21" s="4181">
        <f>+S21+S22</f>
        <v>582181075</v>
      </c>
      <c r="P21" s="3370"/>
      <c r="Q21" s="3370"/>
      <c r="R21" s="3809" t="s">
        <v>1722</v>
      </c>
      <c r="S21" s="1877">
        <v>573181075</v>
      </c>
      <c r="T21" s="1664" t="s">
        <v>396</v>
      </c>
      <c r="U21" s="1669" t="s">
        <v>1713</v>
      </c>
      <c r="V21" s="4189"/>
      <c r="W21" s="4189"/>
      <c r="X21" s="4189"/>
      <c r="Y21" s="4189"/>
      <c r="Z21" s="4189"/>
      <c r="AA21" s="4189"/>
      <c r="AB21" s="4192"/>
      <c r="AC21" s="4192"/>
      <c r="AD21" s="4192"/>
      <c r="AE21" s="4192"/>
      <c r="AF21" s="4192"/>
      <c r="AG21" s="4192"/>
      <c r="AH21" s="4192"/>
      <c r="AI21" s="4192"/>
      <c r="AJ21" s="4192"/>
      <c r="AK21" s="4204"/>
      <c r="AL21" s="4184"/>
      <c r="AM21" s="4184"/>
      <c r="AN21" s="2528"/>
    </row>
    <row r="22" spans="1:40" ht="39" customHeight="1" x14ac:dyDescent="0.25">
      <c r="A22" s="1132"/>
      <c r="B22" s="1133"/>
      <c r="C22" s="1132"/>
      <c r="D22" s="1134"/>
      <c r="E22" s="4193"/>
      <c r="F22" s="4193"/>
      <c r="G22" s="4121"/>
      <c r="H22" s="3371"/>
      <c r="I22" s="4121"/>
      <c r="J22" s="4121"/>
      <c r="K22" s="4121"/>
      <c r="L22" s="4121"/>
      <c r="M22" s="3371"/>
      <c r="N22" s="4180"/>
      <c r="O22" s="4182"/>
      <c r="P22" s="3371"/>
      <c r="Q22" s="3371"/>
      <c r="R22" s="3371"/>
      <c r="S22" s="1127">
        <f>290660276-281660276</f>
        <v>9000000</v>
      </c>
      <c r="T22" s="1128"/>
      <c r="U22" s="1129" t="s">
        <v>1707</v>
      </c>
      <c r="V22" s="4190"/>
      <c r="W22" s="4190"/>
      <c r="X22" s="4190"/>
      <c r="Y22" s="4190"/>
      <c r="Z22" s="4190"/>
      <c r="AA22" s="4190"/>
      <c r="AB22" s="4193"/>
      <c r="AC22" s="4193"/>
      <c r="AD22" s="4193"/>
      <c r="AE22" s="4193"/>
      <c r="AF22" s="4193"/>
      <c r="AG22" s="4193"/>
      <c r="AH22" s="4193"/>
      <c r="AI22" s="4193"/>
      <c r="AJ22" s="4193"/>
      <c r="AK22" s="4205"/>
      <c r="AL22" s="4185"/>
      <c r="AM22" s="4185"/>
      <c r="AN22" s="2534"/>
    </row>
    <row r="23" spans="1:40" ht="28.5" customHeight="1" x14ac:dyDescent="0.25">
      <c r="A23" s="4178" t="s">
        <v>525</v>
      </c>
      <c r="B23" s="4178"/>
      <c r="C23" s="4178"/>
      <c r="D23" s="4178"/>
      <c r="E23" s="4178"/>
      <c r="F23" s="4178"/>
      <c r="G23" s="4178"/>
      <c r="H23" s="4178"/>
      <c r="I23" s="4178"/>
      <c r="J23" s="4178"/>
      <c r="K23" s="4178"/>
      <c r="L23" s="4178"/>
      <c r="M23" s="4178"/>
      <c r="N23" s="4178"/>
      <c r="O23" s="1232">
        <f>SUM(O12:O22)</f>
        <v>2637780070</v>
      </c>
      <c r="P23" s="1200"/>
      <c r="Q23" s="1208"/>
      <c r="R23" s="1208"/>
      <c r="S23" s="1233">
        <f>SUM(S12:S22)</f>
        <v>2637780070</v>
      </c>
      <c r="T23" s="1234"/>
      <c r="U23" s="1234"/>
      <c r="V23" s="1235"/>
      <c r="W23" s="1235"/>
      <c r="X23" s="1235"/>
      <c r="Y23" s="1235"/>
      <c r="Z23" s="1235"/>
      <c r="AA23" s="1235"/>
      <c r="AB23" s="1235"/>
      <c r="AC23" s="1235"/>
      <c r="AD23" s="1235"/>
      <c r="AE23" s="1235"/>
      <c r="AF23" s="1235"/>
      <c r="AG23" s="1235"/>
      <c r="AH23" s="1235"/>
      <c r="AI23" s="1235"/>
      <c r="AJ23" s="1235"/>
      <c r="AK23" s="1235"/>
      <c r="AL23" s="1236"/>
      <c r="AM23" s="1237"/>
      <c r="AN23" s="1238"/>
    </row>
    <row r="24" spans="1:40" ht="15.75" x14ac:dyDescent="0.25">
      <c r="A24" s="1135"/>
      <c r="B24" s="1135"/>
      <c r="C24" s="1135"/>
      <c r="D24" s="1135"/>
      <c r="E24" s="1136"/>
      <c r="F24" s="1135"/>
      <c r="G24" s="1136"/>
      <c r="H24" s="1135"/>
      <c r="I24" s="1135"/>
      <c r="J24" s="1135"/>
      <c r="K24" s="1135"/>
      <c r="L24" s="1135"/>
      <c r="M24" s="1135"/>
      <c r="N24" s="1137"/>
      <c r="O24" s="1135"/>
      <c r="P24" s="1135"/>
      <c r="Q24" s="1135"/>
      <c r="R24" s="1138"/>
      <c r="S24" s="1138"/>
      <c r="T24" s="1138"/>
      <c r="U24" s="1138"/>
      <c r="V24" s="1135"/>
      <c r="W24" s="1135"/>
      <c r="X24" s="1135"/>
      <c r="Y24" s="1135"/>
      <c r="Z24" s="1135"/>
      <c r="AA24" s="1135"/>
      <c r="AB24" s="1135"/>
      <c r="AC24" s="1135"/>
      <c r="AD24" s="1135"/>
      <c r="AE24" s="1135"/>
      <c r="AF24" s="1135"/>
      <c r="AG24" s="1135"/>
      <c r="AH24" s="1135"/>
      <c r="AI24" s="1135"/>
      <c r="AJ24" s="1135"/>
      <c r="AK24" s="1135"/>
      <c r="AL24" s="1139"/>
      <c r="AM24" s="1140"/>
      <c r="AN24" s="1135"/>
    </row>
    <row r="25" spans="1:40" ht="15.75" x14ac:dyDescent="0.25">
      <c r="A25" s="1135"/>
      <c r="B25" s="1135"/>
      <c r="C25" s="1135"/>
      <c r="D25" s="1135"/>
      <c r="E25" s="1136"/>
      <c r="F25" s="1135"/>
      <c r="G25" s="1136"/>
      <c r="H25" s="1135"/>
      <c r="I25" s="1135"/>
      <c r="J25" s="1135"/>
      <c r="K25" s="1135"/>
      <c r="L25" s="1135"/>
      <c r="M25" s="1135"/>
      <c r="N25" s="1137"/>
      <c r="O25" s="1135"/>
      <c r="P25" s="1135"/>
      <c r="Q25" s="1135"/>
      <c r="R25" s="1138"/>
      <c r="S25" s="1138"/>
      <c r="T25" s="1138"/>
      <c r="U25" s="1138"/>
      <c r="V25" s="1135"/>
      <c r="W25" s="1135"/>
      <c r="X25" s="1135"/>
      <c r="Y25" s="1135"/>
      <c r="Z25" s="1135"/>
      <c r="AA25" s="1135"/>
      <c r="AB25" s="1135"/>
      <c r="AC25" s="1135"/>
      <c r="AD25" s="1135"/>
      <c r="AE25" s="1135"/>
      <c r="AF25" s="1135"/>
      <c r="AG25" s="1135"/>
      <c r="AH25" s="1135"/>
      <c r="AI25" s="1135"/>
      <c r="AJ25" s="1135"/>
      <c r="AK25" s="1135"/>
      <c r="AL25" s="1139"/>
      <c r="AM25" s="1140"/>
      <c r="AN25" s="1135"/>
    </row>
    <row r="26" spans="1:40" ht="15.75" x14ac:dyDescent="0.25">
      <c r="A26" s="1135"/>
      <c r="B26" s="1135"/>
      <c r="C26" s="1135"/>
      <c r="D26" s="1135"/>
      <c r="E26" s="1136"/>
      <c r="F26" s="1135"/>
      <c r="G26" s="1136"/>
      <c r="H26" s="1135"/>
      <c r="I26" s="1135"/>
      <c r="J26" s="1135"/>
      <c r="K26" s="1135"/>
      <c r="L26" s="1135"/>
      <c r="M26" s="1135"/>
      <c r="N26" s="1137"/>
      <c r="O26" s="1135"/>
      <c r="P26" s="1135"/>
      <c r="Q26" s="1135"/>
      <c r="R26" s="1138"/>
      <c r="S26" s="1138"/>
      <c r="T26" s="1138"/>
      <c r="U26" s="1138"/>
      <c r="V26" s="1135"/>
      <c r="W26" s="1135"/>
      <c r="X26" s="1135"/>
      <c r="Y26" s="1135"/>
      <c r="Z26" s="1135"/>
      <c r="AA26" s="1135"/>
      <c r="AB26" s="1135"/>
      <c r="AC26" s="1135"/>
      <c r="AD26" s="1135"/>
      <c r="AE26" s="1135"/>
      <c r="AF26" s="1135"/>
      <c r="AG26" s="1135"/>
      <c r="AH26" s="1135"/>
      <c r="AI26" s="1135"/>
      <c r="AJ26" s="1135"/>
      <c r="AK26" s="1135"/>
      <c r="AL26" s="1139"/>
      <c r="AM26" s="1140"/>
      <c r="AN26" s="1135"/>
    </row>
    <row r="27" spans="1:40" ht="15.75" x14ac:dyDescent="0.25">
      <c r="A27" s="1135"/>
      <c r="B27" s="1135"/>
      <c r="C27" s="1135"/>
      <c r="D27" s="1135"/>
      <c r="E27" s="1136"/>
      <c r="F27" s="1135"/>
      <c r="G27" s="1136"/>
      <c r="H27" s="1135"/>
      <c r="I27" s="1135"/>
      <c r="J27" s="1135"/>
      <c r="K27" s="1135"/>
      <c r="L27" s="1135"/>
      <c r="M27" s="1135"/>
      <c r="N27" s="1137"/>
      <c r="O27" s="1135"/>
      <c r="P27" s="1135"/>
      <c r="Q27" s="1135"/>
      <c r="R27" s="1138"/>
      <c r="S27" s="1138"/>
      <c r="T27" s="1138"/>
      <c r="U27" s="1138"/>
      <c r="V27" s="1135"/>
      <c r="W27" s="1135"/>
      <c r="X27" s="1135"/>
      <c r="Y27" s="1135"/>
      <c r="Z27" s="1135"/>
      <c r="AA27" s="1135"/>
      <c r="AB27" s="1135"/>
      <c r="AC27" s="1135"/>
      <c r="AD27" s="1135"/>
      <c r="AE27" s="1135"/>
      <c r="AF27" s="1135"/>
      <c r="AG27" s="1135"/>
      <c r="AH27" s="1135"/>
      <c r="AI27" s="1135"/>
      <c r="AJ27" s="1135"/>
      <c r="AK27" s="1135"/>
      <c r="AL27" s="1139"/>
      <c r="AM27" s="1140"/>
      <c r="AN27" s="1135"/>
    </row>
    <row r="28" spans="1:40" ht="15.75" x14ac:dyDescent="0.25">
      <c r="A28" s="1135"/>
      <c r="B28" s="1135"/>
      <c r="C28" s="1135"/>
      <c r="D28" s="1135"/>
      <c r="E28" s="1136"/>
      <c r="F28" s="1135"/>
      <c r="G28" s="1136"/>
      <c r="H28" s="1135"/>
      <c r="I28" s="1135"/>
      <c r="J28" s="1135"/>
      <c r="K28" s="1135"/>
      <c r="L28" s="1135"/>
      <c r="M28" s="1135"/>
      <c r="N28" s="1137"/>
      <c r="O28" s="1135"/>
      <c r="P28" s="1135"/>
      <c r="Q28" s="1135"/>
      <c r="R28" s="1138"/>
      <c r="S28" s="1138"/>
      <c r="T28" s="1138"/>
      <c r="U28" s="1138"/>
      <c r="V28" s="1135"/>
      <c r="W28" s="1135"/>
      <c r="X28" s="1135"/>
      <c r="Y28" s="1135"/>
      <c r="Z28" s="1135"/>
      <c r="AA28" s="1135"/>
      <c r="AB28" s="1135"/>
      <c r="AC28" s="1135"/>
      <c r="AD28" s="1135"/>
      <c r="AE28" s="1135"/>
      <c r="AF28" s="1135"/>
      <c r="AG28" s="1135"/>
      <c r="AH28" s="1135"/>
      <c r="AI28" s="1135"/>
      <c r="AJ28" s="1135"/>
      <c r="AK28" s="1135"/>
      <c r="AL28" s="1139"/>
      <c r="AM28" s="1140"/>
      <c r="AN28" s="1135"/>
    </row>
    <row r="29" spans="1:40" ht="15.75" x14ac:dyDescent="0.25">
      <c r="A29" s="1135"/>
      <c r="B29" s="1135"/>
      <c r="C29" s="1135"/>
      <c r="D29" s="1135"/>
      <c r="E29" s="1136"/>
      <c r="F29" s="1135"/>
      <c r="G29" s="1136"/>
      <c r="H29" s="1135"/>
      <c r="I29" s="1135"/>
      <c r="J29" s="1135"/>
      <c r="K29" s="1135"/>
      <c r="L29" s="1135"/>
      <c r="M29" s="1135"/>
      <c r="N29" s="1137"/>
      <c r="O29" s="1135"/>
      <c r="P29" s="1135"/>
      <c r="Q29" s="1135"/>
      <c r="R29" s="1138"/>
      <c r="S29" s="1138"/>
      <c r="T29" s="1138"/>
      <c r="U29" s="1138"/>
      <c r="V29" s="1135"/>
      <c r="W29" s="1135"/>
      <c r="X29" s="1135"/>
      <c r="Y29" s="1135"/>
      <c r="Z29" s="1135"/>
      <c r="AA29" s="1135"/>
      <c r="AB29" s="1135"/>
      <c r="AC29" s="1135"/>
      <c r="AD29" s="1135"/>
      <c r="AE29" s="1135"/>
      <c r="AF29" s="1135"/>
      <c r="AG29" s="1135"/>
      <c r="AH29" s="1135"/>
      <c r="AI29" s="1135"/>
      <c r="AJ29" s="1135"/>
      <c r="AK29" s="1135"/>
      <c r="AL29" s="1139"/>
      <c r="AM29" s="1140"/>
      <c r="AN29" s="1135"/>
    </row>
    <row r="30" spans="1:40" ht="15.75" x14ac:dyDescent="0.25">
      <c r="A30" s="1135"/>
      <c r="B30" s="1135"/>
      <c r="C30" s="1135"/>
      <c r="D30" s="1135"/>
      <c r="E30" s="1136"/>
      <c r="F30" s="1135"/>
      <c r="G30" s="1136"/>
      <c r="H30" s="1135"/>
      <c r="I30" s="1135"/>
      <c r="J30" s="1135"/>
      <c r="K30" s="1135"/>
      <c r="L30" s="1135"/>
      <c r="M30" s="1135"/>
      <c r="N30" s="1137"/>
      <c r="O30" s="1135"/>
      <c r="P30" s="1135"/>
      <c r="Q30" s="1135"/>
      <c r="R30" s="1138"/>
      <c r="S30" s="1138"/>
      <c r="T30" s="1138"/>
      <c r="U30" s="1138"/>
      <c r="V30" s="1135"/>
      <c r="W30" s="1135"/>
      <c r="X30" s="1135"/>
      <c r="Y30" s="1135"/>
      <c r="Z30" s="1135"/>
      <c r="AA30" s="1135"/>
      <c r="AB30" s="1135"/>
      <c r="AC30" s="1135"/>
      <c r="AD30" s="1135"/>
      <c r="AE30" s="1135"/>
      <c r="AF30" s="1135"/>
      <c r="AG30" s="1135"/>
      <c r="AH30" s="1135"/>
      <c r="AI30" s="1135"/>
      <c r="AJ30" s="1135"/>
      <c r="AK30" s="1135"/>
      <c r="AL30" s="1139"/>
      <c r="AM30" s="1140"/>
      <c r="AN30" s="1135"/>
    </row>
    <row r="31" spans="1:40" ht="15.75" x14ac:dyDescent="0.25">
      <c r="A31" s="1135"/>
      <c r="B31" s="1135"/>
      <c r="C31" s="1135"/>
      <c r="D31" s="1135"/>
      <c r="E31" s="1136"/>
      <c r="F31" s="1135"/>
      <c r="G31" s="1136"/>
      <c r="H31" s="1135"/>
      <c r="I31" s="1135"/>
      <c r="J31" s="1135"/>
      <c r="K31" s="1135"/>
      <c r="L31" s="1135"/>
      <c r="M31" s="1135"/>
      <c r="N31" s="1137"/>
      <c r="O31" s="1135"/>
      <c r="P31" s="1135"/>
      <c r="Q31" s="1135"/>
      <c r="R31" s="1138"/>
      <c r="S31" s="1138"/>
      <c r="T31" s="1138"/>
      <c r="U31" s="1138"/>
      <c r="V31" s="1135"/>
      <c r="W31" s="1135"/>
      <c r="X31" s="1135"/>
      <c r="Y31" s="1135"/>
      <c r="Z31" s="1135"/>
      <c r="AA31" s="1135"/>
      <c r="AB31" s="1135"/>
      <c r="AC31" s="1135"/>
      <c r="AD31" s="1135"/>
      <c r="AE31" s="1135"/>
      <c r="AF31" s="1135"/>
      <c r="AG31" s="1135"/>
      <c r="AH31" s="1135"/>
      <c r="AI31" s="1135"/>
      <c r="AJ31" s="1135"/>
      <c r="AK31" s="1135"/>
      <c r="AL31" s="1139"/>
      <c r="AM31" s="1140"/>
      <c r="AN31" s="1135"/>
    </row>
    <row r="32" spans="1:40" ht="15.75" x14ac:dyDescent="0.25">
      <c r="A32" s="1135"/>
      <c r="B32" s="1135"/>
      <c r="C32" s="1135"/>
      <c r="D32" s="1135"/>
      <c r="E32" s="1136"/>
      <c r="F32" s="1135"/>
      <c r="G32" s="1136"/>
      <c r="H32" s="1135"/>
      <c r="I32" s="1135"/>
      <c r="J32" s="1135"/>
      <c r="K32" s="1135"/>
      <c r="L32" s="1135"/>
      <c r="M32" s="1135"/>
      <c r="N32" s="1137"/>
      <c r="O32" s="1135"/>
      <c r="P32" s="1135"/>
      <c r="Q32" s="1135"/>
      <c r="R32" s="1138"/>
      <c r="S32" s="1138"/>
      <c r="T32" s="1138"/>
      <c r="U32" s="1138"/>
      <c r="V32" s="1135"/>
      <c r="W32" s="1135"/>
      <c r="X32" s="1135"/>
      <c r="Y32" s="1135"/>
      <c r="Z32" s="1135"/>
      <c r="AA32" s="1135"/>
      <c r="AB32" s="1135"/>
      <c r="AC32" s="1135"/>
      <c r="AD32" s="1135"/>
      <c r="AE32" s="1135"/>
      <c r="AF32" s="1135"/>
      <c r="AG32" s="1135"/>
      <c r="AH32" s="1135"/>
      <c r="AI32" s="1135"/>
      <c r="AJ32" s="1135"/>
      <c r="AK32" s="1135"/>
      <c r="AL32" s="1139"/>
      <c r="AM32" s="1140"/>
      <c r="AN32" s="1135"/>
    </row>
    <row r="33" spans="1:40" ht="15.75" x14ac:dyDescent="0.25">
      <c r="A33" s="1135"/>
      <c r="B33" s="1135"/>
      <c r="C33" s="1135"/>
      <c r="D33" s="1135"/>
      <c r="E33" s="1136"/>
      <c r="F33" s="1135"/>
      <c r="G33" s="1136"/>
      <c r="H33" s="1135"/>
      <c r="I33" s="1135"/>
      <c r="J33" s="1135"/>
      <c r="K33" s="1135"/>
      <c r="L33" s="1135"/>
      <c r="M33" s="1135"/>
      <c r="N33" s="1137"/>
      <c r="O33" s="1135"/>
      <c r="P33" s="1135"/>
      <c r="Q33" s="1135"/>
      <c r="R33" s="1138"/>
      <c r="S33" s="1138"/>
      <c r="T33" s="1138"/>
      <c r="U33" s="1138"/>
      <c r="V33" s="1135"/>
      <c r="W33" s="1135"/>
      <c r="X33" s="1135"/>
      <c r="Y33" s="1135"/>
      <c r="Z33" s="1135"/>
      <c r="AA33" s="1135"/>
      <c r="AB33" s="1135"/>
      <c r="AC33" s="1135"/>
      <c r="AD33" s="1135"/>
      <c r="AE33" s="1135"/>
      <c r="AF33" s="1135"/>
      <c r="AG33" s="1135"/>
      <c r="AH33" s="1135"/>
      <c r="AI33" s="1135"/>
      <c r="AJ33" s="1135"/>
      <c r="AK33" s="1135"/>
      <c r="AL33" s="1139"/>
      <c r="AM33" s="1140"/>
      <c r="AN33" s="1135"/>
    </row>
    <row r="34" spans="1:40" ht="15.75" x14ac:dyDescent="0.25">
      <c r="A34" s="1135"/>
      <c r="B34" s="1135"/>
      <c r="C34" s="1135"/>
      <c r="D34" s="1135"/>
      <c r="E34" s="1136"/>
      <c r="F34" s="1135"/>
      <c r="G34" s="1136"/>
      <c r="H34" s="1135"/>
      <c r="I34" s="1135"/>
      <c r="J34" s="1135"/>
      <c r="K34" s="1135"/>
      <c r="L34" s="1135"/>
      <c r="M34" s="1135"/>
      <c r="N34" s="1137"/>
      <c r="O34" s="1135"/>
      <c r="P34" s="1135"/>
      <c r="Q34" s="1135"/>
      <c r="R34" s="1138"/>
      <c r="S34" s="1138"/>
      <c r="T34" s="1138"/>
      <c r="U34" s="1138"/>
      <c r="V34" s="1135"/>
      <c r="W34" s="1135"/>
      <c r="X34" s="1135"/>
      <c r="Y34" s="1135"/>
      <c r="Z34" s="1135"/>
      <c r="AA34" s="1135"/>
      <c r="AB34" s="1135"/>
      <c r="AC34" s="1135"/>
      <c r="AD34" s="1135"/>
      <c r="AE34" s="1135"/>
      <c r="AF34" s="1135"/>
      <c r="AG34" s="1135"/>
      <c r="AH34" s="1135"/>
      <c r="AI34" s="1135"/>
      <c r="AJ34" s="1135"/>
      <c r="AK34" s="1135"/>
      <c r="AL34" s="1139"/>
      <c r="AM34" s="1140"/>
      <c r="AN34" s="1135"/>
    </row>
    <row r="35" spans="1:40" ht="15.75" x14ac:dyDescent="0.25">
      <c r="A35" s="1135"/>
      <c r="B35" s="1135"/>
      <c r="C35" s="1135"/>
      <c r="D35" s="1135"/>
      <c r="E35" s="1136"/>
      <c r="F35" s="1135"/>
      <c r="G35" s="1136"/>
      <c r="H35" s="1135"/>
      <c r="I35" s="1135"/>
      <c r="J35" s="1135"/>
      <c r="K35" s="1135"/>
      <c r="L35" s="1135"/>
      <c r="M35" s="1135"/>
      <c r="N35" s="1137"/>
      <c r="O35" s="1135"/>
      <c r="P35" s="1135"/>
      <c r="Q35" s="1135"/>
      <c r="R35" s="1138"/>
      <c r="S35" s="1138"/>
      <c r="T35" s="1138"/>
      <c r="U35" s="1138"/>
      <c r="V35" s="1135"/>
      <c r="W35" s="1135"/>
      <c r="X35" s="1135"/>
      <c r="Y35" s="1135"/>
      <c r="Z35" s="1135"/>
      <c r="AA35" s="1135"/>
      <c r="AB35" s="1135"/>
      <c r="AC35" s="1135"/>
      <c r="AD35" s="1135"/>
      <c r="AE35" s="1135"/>
      <c r="AF35" s="1135"/>
      <c r="AG35" s="1135"/>
      <c r="AH35" s="1135"/>
      <c r="AI35" s="1135"/>
      <c r="AJ35" s="1135"/>
      <c r="AK35" s="1135"/>
      <c r="AL35" s="1139"/>
      <c r="AM35" s="1140"/>
      <c r="AN35" s="1135"/>
    </row>
    <row r="36" spans="1:40" ht="15.75" x14ac:dyDescent="0.25">
      <c r="A36" s="1135"/>
      <c r="B36" s="1135"/>
      <c r="C36" s="1135"/>
      <c r="D36" s="1135"/>
      <c r="E36" s="1136"/>
      <c r="F36" s="1135"/>
      <c r="G36" s="1136"/>
      <c r="H36" s="1135"/>
      <c r="I36" s="1135"/>
      <c r="J36" s="1135"/>
      <c r="K36" s="1135"/>
      <c r="L36" s="1135"/>
      <c r="M36" s="1135"/>
      <c r="N36" s="1137"/>
      <c r="O36" s="1135"/>
      <c r="P36" s="1135"/>
      <c r="Q36" s="1135"/>
      <c r="R36" s="1138"/>
      <c r="S36" s="1138"/>
      <c r="T36" s="1138"/>
      <c r="U36" s="1138"/>
      <c r="V36" s="1135"/>
      <c r="W36" s="1135"/>
      <c r="X36" s="1135"/>
      <c r="Y36" s="1135"/>
      <c r="Z36" s="1135"/>
      <c r="AA36" s="1135"/>
      <c r="AB36" s="1135"/>
      <c r="AC36" s="1135"/>
      <c r="AD36" s="1135"/>
      <c r="AE36" s="1135"/>
      <c r="AF36" s="1135"/>
      <c r="AG36" s="1135"/>
      <c r="AH36" s="1135"/>
      <c r="AI36" s="1135"/>
      <c r="AJ36" s="1135"/>
      <c r="AK36" s="1135"/>
      <c r="AL36" s="1139"/>
      <c r="AM36" s="1140"/>
      <c r="AN36" s="1135"/>
    </row>
    <row r="37" spans="1:40" ht="15.75" x14ac:dyDescent="0.25">
      <c r="A37" s="1135"/>
      <c r="B37" s="1135"/>
      <c r="C37" s="1135"/>
      <c r="D37" s="1135"/>
      <c r="E37" s="1136"/>
      <c r="F37" s="1135"/>
      <c r="G37" s="1136"/>
      <c r="H37" s="1135"/>
      <c r="I37" s="1135"/>
      <c r="J37" s="1135"/>
      <c r="K37" s="1135"/>
      <c r="L37" s="1135"/>
      <c r="M37" s="1135"/>
      <c r="N37" s="1137"/>
      <c r="O37" s="1135"/>
      <c r="P37" s="1135"/>
      <c r="Q37" s="1135"/>
      <c r="R37" s="1138"/>
      <c r="S37" s="1138"/>
      <c r="T37" s="1138"/>
      <c r="U37" s="1138"/>
      <c r="V37" s="1135"/>
      <c r="W37" s="1135"/>
      <c r="X37" s="1135"/>
      <c r="Y37" s="1135"/>
      <c r="Z37" s="1135"/>
      <c r="AA37" s="1135"/>
      <c r="AB37" s="1135"/>
      <c r="AC37" s="1135"/>
      <c r="AD37" s="1135"/>
      <c r="AE37" s="1135"/>
      <c r="AF37" s="1135"/>
      <c r="AG37" s="1135"/>
      <c r="AH37" s="1135"/>
      <c r="AI37" s="1135"/>
      <c r="AJ37" s="1135"/>
      <c r="AK37" s="1135"/>
      <c r="AL37" s="1139"/>
      <c r="AM37" s="1140"/>
      <c r="AN37" s="1135"/>
    </row>
    <row r="38" spans="1:40" ht="16.5" x14ac:dyDescent="0.25">
      <c r="A38" s="1141"/>
      <c r="B38" s="1141"/>
      <c r="C38" s="1141"/>
      <c r="D38" s="1141"/>
      <c r="E38" s="1142"/>
      <c r="F38" s="1141"/>
      <c r="G38" s="1142"/>
      <c r="H38" s="1141"/>
      <c r="I38" s="1141"/>
      <c r="J38" s="1141"/>
      <c r="K38" s="1141"/>
      <c r="L38" s="1141"/>
      <c r="M38" s="1143"/>
      <c r="N38" s="1141"/>
      <c r="O38" s="1141"/>
      <c r="P38" s="1141"/>
      <c r="Q38" s="1144"/>
      <c r="R38" s="1144"/>
      <c r="S38" s="1144"/>
      <c r="T38" s="1141"/>
      <c r="U38" s="1141"/>
      <c r="V38" s="1141"/>
      <c r="W38" s="1141"/>
      <c r="X38" s="1141"/>
      <c r="Y38" s="1141"/>
      <c r="Z38" s="1141"/>
      <c r="AA38" s="1141"/>
      <c r="AB38" s="1141"/>
      <c r="AC38" s="1141"/>
      <c r="AD38" s="1141"/>
      <c r="AE38" s="1141"/>
      <c r="AF38" s="1145"/>
      <c r="AG38" s="1146"/>
      <c r="AH38" s="1147"/>
      <c r="AI38" s="1141"/>
      <c r="AJ38" s="1141"/>
      <c r="AK38" s="1141"/>
      <c r="AL38" s="1141"/>
      <c r="AM38" s="1141"/>
      <c r="AN38" s="1141"/>
    </row>
    <row r="39" spans="1:40" ht="25.5" x14ac:dyDescent="0.35">
      <c r="A39" s="1239" t="s">
        <v>1723</v>
      </c>
      <c r="B39" s="1240"/>
      <c r="C39" s="1240"/>
      <c r="D39" s="1240"/>
      <c r="E39" s="1241"/>
      <c r="F39" s="1240"/>
      <c r="G39" s="1241"/>
      <c r="H39" s="1240"/>
      <c r="I39" s="1240"/>
      <c r="J39" s="1141"/>
      <c r="K39" s="1141"/>
      <c r="L39" s="1141"/>
      <c r="M39" s="1143"/>
      <c r="N39" s="1141"/>
      <c r="O39" s="1141"/>
      <c r="P39" s="1141"/>
      <c r="Q39" s="1144"/>
      <c r="R39" s="1144"/>
      <c r="S39" s="1144"/>
      <c r="T39" s="1141"/>
      <c r="U39" s="1141"/>
      <c r="V39" s="1141"/>
      <c r="W39" s="1141"/>
      <c r="X39" s="1141"/>
      <c r="Y39" s="1141"/>
      <c r="Z39" s="1141"/>
      <c r="AA39" s="1141"/>
      <c r="AB39" s="1141"/>
      <c r="AC39" s="1141"/>
      <c r="AD39" s="1141"/>
      <c r="AE39" s="1141"/>
      <c r="AF39" s="1145"/>
      <c r="AG39" s="1146"/>
      <c r="AH39" s="1147"/>
      <c r="AI39" s="1141"/>
      <c r="AJ39" s="1141"/>
      <c r="AK39" s="1141"/>
      <c r="AL39" s="1141"/>
      <c r="AM39" s="1141"/>
      <c r="AN39" s="1141"/>
    </row>
    <row r="40" spans="1:40" ht="25.5" x14ac:dyDescent="0.35">
      <c r="A40" s="1239" t="s">
        <v>1724</v>
      </c>
      <c r="B40" s="1240"/>
      <c r="C40" s="1240"/>
      <c r="D40" s="1240"/>
      <c r="E40" s="1241"/>
      <c r="F40" s="1240"/>
      <c r="G40" s="1241"/>
      <c r="H40" s="1240"/>
      <c r="I40" s="1240"/>
      <c r="J40" s="1141"/>
      <c r="K40" s="1141"/>
      <c r="L40" s="1141"/>
      <c r="M40" s="1143"/>
      <c r="N40" s="1141"/>
      <c r="O40" s="1141"/>
      <c r="P40" s="1141"/>
      <c r="Q40" s="1144"/>
      <c r="R40" s="1144"/>
      <c r="S40" s="1144"/>
      <c r="T40" s="1141"/>
      <c r="U40" s="1141"/>
      <c r="V40" s="1141"/>
      <c r="W40" s="1141"/>
      <c r="X40" s="1141"/>
      <c r="Y40" s="1141"/>
      <c r="Z40" s="1141"/>
      <c r="AA40" s="1141"/>
      <c r="AB40" s="1141"/>
      <c r="AC40" s="1141"/>
      <c r="AD40" s="1141"/>
      <c r="AE40" s="1141"/>
      <c r="AF40" s="1145"/>
      <c r="AG40" s="1146"/>
      <c r="AH40" s="1147"/>
      <c r="AI40" s="1141"/>
      <c r="AJ40" s="1141"/>
      <c r="AK40" s="1141"/>
      <c r="AL40" s="1141"/>
      <c r="AM40" s="1141"/>
      <c r="AN40" s="1141"/>
    </row>
    <row r="41" spans="1:40" ht="16.5" x14ac:dyDescent="0.25">
      <c r="A41" s="1141"/>
      <c r="B41" s="1141"/>
      <c r="C41" s="1141"/>
      <c r="D41" s="1141"/>
      <c r="E41" s="1142"/>
      <c r="F41" s="1141"/>
      <c r="G41" s="1142"/>
      <c r="H41" s="1141"/>
      <c r="I41" s="1141"/>
      <c r="J41" s="1141"/>
      <c r="K41" s="1141"/>
      <c r="L41" s="1141"/>
      <c r="M41" s="1143"/>
      <c r="N41" s="1141"/>
      <c r="O41" s="1141"/>
      <c r="P41" s="1141"/>
      <c r="Q41" s="1144"/>
      <c r="R41" s="1144"/>
      <c r="S41" s="1144"/>
      <c r="T41" s="1141"/>
      <c r="U41" s="1141"/>
      <c r="V41" s="1141"/>
      <c r="W41" s="1141"/>
      <c r="X41" s="1141"/>
      <c r="Y41" s="1141"/>
      <c r="Z41" s="1141"/>
      <c r="AA41" s="1141"/>
      <c r="AB41" s="1141"/>
      <c r="AC41" s="1141"/>
      <c r="AD41" s="1141"/>
      <c r="AE41" s="1141"/>
      <c r="AF41" s="1145"/>
      <c r="AG41" s="1146"/>
      <c r="AH41" s="1147"/>
      <c r="AI41" s="1141"/>
      <c r="AJ41" s="1141"/>
      <c r="AK41" s="1141"/>
      <c r="AL41" s="1141"/>
      <c r="AM41" s="1141"/>
      <c r="AN41" s="1141"/>
    </row>
    <row r="42" spans="1:40" ht="16.5" x14ac:dyDescent="0.25">
      <c r="A42" s="1141"/>
      <c r="B42" s="1141"/>
      <c r="C42" s="1141"/>
      <c r="D42" s="1141"/>
      <c r="E42" s="1142"/>
      <c r="F42" s="1141"/>
      <c r="G42" s="1142"/>
      <c r="H42" s="1141"/>
      <c r="I42" s="1141"/>
      <c r="J42" s="1141"/>
      <c r="K42" s="1141"/>
      <c r="L42" s="1141"/>
      <c r="M42" s="1143"/>
      <c r="N42" s="1141"/>
      <c r="O42" s="1141"/>
      <c r="P42" s="1141"/>
      <c r="Q42" s="1144"/>
      <c r="R42" s="1144"/>
      <c r="S42" s="1144"/>
      <c r="T42" s="1141"/>
      <c r="U42" s="1141"/>
      <c r="V42" s="1141"/>
      <c r="W42" s="1141"/>
      <c r="X42" s="1141"/>
      <c r="Y42" s="1141"/>
      <c r="Z42" s="1141"/>
      <c r="AA42" s="1141"/>
      <c r="AB42" s="1141"/>
      <c r="AC42" s="1141"/>
      <c r="AD42" s="1141"/>
      <c r="AE42" s="1141"/>
      <c r="AF42" s="1145"/>
      <c r="AG42" s="1146"/>
      <c r="AH42" s="1147"/>
      <c r="AI42" s="1141"/>
      <c r="AJ42" s="1141"/>
      <c r="AK42" s="1141"/>
      <c r="AL42" s="1141"/>
      <c r="AM42" s="1141"/>
      <c r="AN42" s="1141"/>
    </row>
    <row r="43" spans="1:40" ht="18" x14ac:dyDescent="0.25">
      <c r="A43" s="1242" t="s">
        <v>1725</v>
      </c>
      <c r="B43" s="1243"/>
      <c r="C43" s="1243"/>
      <c r="D43" s="1243"/>
      <c r="E43" s="1244"/>
      <c r="F43" s="1243"/>
      <c r="G43" s="1244"/>
      <c r="H43" s="1141"/>
      <c r="I43" s="1141"/>
      <c r="J43" s="1141"/>
      <c r="K43" s="1141"/>
      <c r="L43" s="1141"/>
      <c r="M43" s="1143"/>
      <c r="N43" s="1141"/>
      <c r="O43" s="1141"/>
      <c r="P43" s="1141"/>
      <c r="Q43" s="1144"/>
      <c r="R43" s="1144"/>
      <c r="S43" s="1144"/>
      <c r="T43" s="1141"/>
      <c r="U43" s="1141"/>
      <c r="V43" s="1141"/>
      <c r="W43" s="1141"/>
      <c r="X43" s="1141"/>
      <c r="Y43" s="1141"/>
      <c r="Z43" s="1141"/>
      <c r="AA43" s="1141"/>
      <c r="AB43" s="1141"/>
      <c r="AC43" s="1141"/>
      <c r="AD43" s="1141"/>
      <c r="AE43" s="1141"/>
      <c r="AF43" s="1145"/>
      <c r="AG43" s="1146"/>
      <c r="AH43" s="1147"/>
      <c r="AI43" s="1141"/>
      <c r="AJ43" s="1141"/>
      <c r="AK43" s="1141"/>
      <c r="AL43" s="1141"/>
      <c r="AM43" s="1141"/>
      <c r="AN43" s="1141"/>
    </row>
    <row r="44" spans="1:40" ht="18" x14ac:dyDescent="0.25">
      <c r="A44" s="1242" t="s">
        <v>1726</v>
      </c>
      <c r="B44" s="1243"/>
      <c r="C44" s="1243"/>
      <c r="D44" s="1243"/>
      <c r="E44" s="1244"/>
      <c r="F44" s="1243"/>
      <c r="G44" s="1244"/>
      <c r="H44" s="1141"/>
      <c r="I44" s="1141"/>
      <c r="J44" s="1141"/>
      <c r="K44" s="1141"/>
      <c r="L44" s="1141"/>
      <c r="M44" s="1143"/>
      <c r="N44" s="1141"/>
      <c r="O44" s="1141"/>
      <c r="P44" s="1141"/>
      <c r="Q44" s="1144"/>
      <c r="R44" s="1144"/>
      <c r="S44" s="1144"/>
      <c r="T44" s="1141"/>
      <c r="U44" s="1141"/>
      <c r="V44" s="1141"/>
      <c r="W44" s="1141"/>
      <c r="X44" s="1141"/>
      <c r="Y44" s="1141"/>
      <c r="Z44" s="1141"/>
      <c r="AA44" s="1141"/>
      <c r="AB44" s="1141"/>
      <c r="AC44" s="1141"/>
      <c r="AD44" s="1141"/>
      <c r="AE44" s="1141"/>
      <c r="AF44" s="1145"/>
      <c r="AG44" s="1146"/>
      <c r="AH44" s="1147"/>
      <c r="AI44" s="1141"/>
      <c r="AJ44" s="1141"/>
      <c r="AK44" s="1141"/>
      <c r="AL44" s="1141"/>
      <c r="AM44" s="1141"/>
      <c r="AN44" s="1141"/>
    </row>
  </sheetData>
  <sheetProtection password="A60F" sheet="1" objects="1" scenarios="1"/>
  <mergeCells count="127">
    <mergeCell ref="AH7:AJ7"/>
    <mergeCell ref="B9:D9"/>
    <mergeCell ref="D10:AN10"/>
    <mergeCell ref="AC16:AC22"/>
    <mergeCell ref="AD16:AD22"/>
    <mergeCell ref="AE16:AE22"/>
    <mergeCell ref="AF16:AF22"/>
    <mergeCell ref="AG16:AG22"/>
    <mergeCell ref="AH16:AH22"/>
    <mergeCell ref="AI16:AI22"/>
    <mergeCell ref="AJ16:AJ22"/>
    <mergeCell ref="AK16:AK22"/>
    <mergeCell ref="F11:AN11"/>
    <mergeCell ref="E12:E14"/>
    <mergeCell ref="F12:F14"/>
    <mergeCell ref="G12:G14"/>
    <mergeCell ref="H12:H14"/>
    <mergeCell ref="I12:I14"/>
    <mergeCell ref="J12:J14"/>
    <mergeCell ref="K12:K14"/>
    <mergeCell ref="L12:L14"/>
    <mergeCell ref="M12:M14"/>
    <mergeCell ref="N12:N14"/>
    <mergeCell ref="O12:O14"/>
    <mergeCell ref="A1:AL4"/>
    <mergeCell ref="K5:AK5"/>
    <mergeCell ref="AL5:AN5"/>
    <mergeCell ref="V6:AK6"/>
    <mergeCell ref="AL6:AL8"/>
    <mergeCell ref="AM6:AM8"/>
    <mergeCell ref="AN6:AN8"/>
    <mergeCell ref="H7:H8"/>
    <mergeCell ref="I7:I8"/>
    <mergeCell ref="V7:W7"/>
    <mergeCell ref="X7:AA7"/>
    <mergeCell ref="T7:T8"/>
    <mergeCell ref="J7:J8"/>
    <mergeCell ref="K7:K8"/>
    <mergeCell ref="L7:L8"/>
    <mergeCell ref="M7:M8"/>
    <mergeCell ref="N7:N8"/>
    <mergeCell ref="O7:O8"/>
    <mergeCell ref="P7:P8"/>
    <mergeCell ref="Q7:Q8"/>
    <mergeCell ref="R7:R8"/>
    <mergeCell ref="S7:S8"/>
    <mergeCell ref="U7:U8"/>
    <mergeCell ref="AB7:AG7"/>
    <mergeCell ref="A7:A8"/>
    <mergeCell ref="D7:D8"/>
    <mergeCell ref="G7:G8"/>
    <mergeCell ref="B7:B8"/>
    <mergeCell ref="C7:C8"/>
    <mergeCell ref="E7:E8"/>
    <mergeCell ref="F7:F8"/>
    <mergeCell ref="A5:J6"/>
    <mergeCell ref="K6:U6"/>
    <mergeCell ref="AK12:AK14"/>
    <mergeCell ref="AL12:AL14"/>
    <mergeCell ref="AM12:AM14"/>
    <mergeCell ref="AD12:AD14"/>
    <mergeCell ref="AE12:AE14"/>
    <mergeCell ref="AF12:AF14"/>
    <mergeCell ref="P12:P14"/>
    <mergeCell ref="Q12:Q14"/>
    <mergeCell ref="R12:R14"/>
    <mergeCell ref="AG12:AG14"/>
    <mergeCell ref="AH12:AH14"/>
    <mergeCell ref="Y12:Y14"/>
    <mergeCell ref="Z12:Z14"/>
    <mergeCell ref="AA12:AA14"/>
    <mergeCell ref="AB12:AB14"/>
    <mergeCell ref="AC12:AC14"/>
    <mergeCell ref="V12:V14"/>
    <mergeCell ref="W12:W14"/>
    <mergeCell ref="X12:X14"/>
    <mergeCell ref="S13:S14"/>
    <mergeCell ref="T13:T14"/>
    <mergeCell ref="U13:U14"/>
    <mergeCell ref="S16:S17"/>
    <mergeCell ref="T16:T17"/>
    <mergeCell ref="U16:U17"/>
    <mergeCell ref="V16:V22"/>
    <mergeCell ref="W16:W22"/>
    <mergeCell ref="R21:R22"/>
    <mergeCell ref="AN12:AN14"/>
    <mergeCell ref="F15:J15"/>
    <mergeCell ref="E16:E22"/>
    <mergeCell ref="F16:F22"/>
    <mergeCell ref="G16:G17"/>
    <mergeCell ref="H16:H17"/>
    <mergeCell ref="I16:I17"/>
    <mergeCell ref="J16:J17"/>
    <mergeCell ref="K16:K17"/>
    <mergeCell ref="L16:L22"/>
    <mergeCell ref="M16:M22"/>
    <mergeCell ref="N16:N17"/>
    <mergeCell ref="O16:O17"/>
    <mergeCell ref="P16:P22"/>
    <mergeCell ref="Q16:Q22"/>
    <mergeCell ref="R16:R17"/>
    <mergeCell ref="AI12:AI14"/>
    <mergeCell ref="AJ12:AJ14"/>
    <mergeCell ref="A23:N23"/>
    <mergeCell ref="I21:I22"/>
    <mergeCell ref="J21:J22"/>
    <mergeCell ref="K21:K22"/>
    <mergeCell ref="N21:N22"/>
    <mergeCell ref="O21:O22"/>
    <mergeCell ref="AL16:AL22"/>
    <mergeCell ref="AM16:AM22"/>
    <mergeCell ref="AN16:AN22"/>
    <mergeCell ref="G19:G20"/>
    <mergeCell ref="H19:H20"/>
    <mergeCell ref="I19:I20"/>
    <mergeCell ref="J19:J20"/>
    <mergeCell ref="K19:K20"/>
    <mergeCell ref="N19:N20"/>
    <mergeCell ref="O19:O20"/>
    <mergeCell ref="R19:R20"/>
    <mergeCell ref="G21:G22"/>
    <mergeCell ref="H21:H22"/>
    <mergeCell ref="X16:X22"/>
    <mergeCell ref="Y16:Y22"/>
    <mergeCell ref="Z16:Z22"/>
    <mergeCell ref="AA16:AA22"/>
    <mergeCell ref="AB16:AB2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Q29"/>
  <sheetViews>
    <sheetView showGridLines="0" zoomScale="60" zoomScaleNormal="60" workbookViewId="0">
      <pane ySplit="8" topLeftCell="A12" activePane="bottomLeft" state="frozen"/>
      <selection pane="bottomLeft" activeCell="J12" sqref="J12:J14"/>
    </sheetView>
  </sheetViews>
  <sheetFormatPr baseColWidth="10" defaultColWidth="11.42578125" defaultRowHeight="27" customHeight="1" x14ac:dyDescent="0.2"/>
  <cols>
    <col min="1" max="1" width="11.7109375" style="437" customWidth="1"/>
    <col min="2" max="2" width="7.140625" style="404" customWidth="1"/>
    <col min="3" max="3" width="12.85546875" style="404" customWidth="1"/>
    <col min="4" max="4" width="14.7109375" style="404" customWidth="1"/>
    <col min="5" max="5" width="10" style="404" customWidth="1"/>
    <col min="6" max="6" width="11.7109375" style="404" customWidth="1"/>
    <col min="7" max="7" width="12.28515625" style="404" customWidth="1"/>
    <col min="8" max="8" width="8.5703125" style="404" customWidth="1"/>
    <col min="9" max="9" width="13.7109375" style="404" customWidth="1"/>
    <col min="10" max="10" width="11.5703125" style="404" customWidth="1"/>
    <col min="11" max="11" width="25" style="438" customWidth="1"/>
    <col min="12" max="12" width="20.28515625" style="412" customWidth="1"/>
    <col min="13" max="13" width="14.85546875" style="412" customWidth="1"/>
    <col min="14" max="14" width="22.140625" style="412" customWidth="1"/>
    <col min="15" max="15" width="19.7109375" style="439" customWidth="1"/>
    <col min="16" max="16" width="19.42578125" style="438" customWidth="1"/>
    <col min="17" max="17" width="16.5703125" style="440" customWidth="1"/>
    <col min="18" max="18" width="24.85546875" style="444" bestFit="1" customWidth="1"/>
    <col min="19" max="19" width="29" style="438" customWidth="1"/>
    <col min="20" max="20" width="31.7109375" style="438" customWidth="1"/>
    <col min="21" max="21" width="25.85546875" style="438" customWidth="1"/>
    <col min="22" max="22" width="24.85546875" style="445" bestFit="1" customWidth="1"/>
    <col min="23" max="23" width="11.7109375" style="441" customWidth="1"/>
    <col min="24" max="24" width="18" style="442" customWidth="1"/>
    <col min="25" max="25" width="8.7109375" style="404" customWidth="1"/>
    <col min="26" max="26" width="8" style="404" customWidth="1"/>
    <col min="27" max="27" width="10.5703125" style="404" customWidth="1"/>
    <col min="28" max="28" width="7.28515625" style="404" customWidth="1"/>
    <col min="29" max="29" width="8.42578125" style="404" customWidth="1"/>
    <col min="30" max="30" width="9.5703125" style="404" customWidth="1"/>
    <col min="31" max="31" width="6.28515625" style="404" customWidth="1"/>
    <col min="32" max="32" width="5.85546875" style="404" customWidth="1"/>
    <col min="33" max="34" width="4.42578125" style="404" customWidth="1"/>
    <col min="35" max="35" width="5" style="404" customWidth="1"/>
    <col min="36" max="36" width="5.85546875" style="404" customWidth="1"/>
    <col min="37" max="37" width="6.140625" style="404" customWidth="1"/>
    <col min="38" max="38" width="10.140625" style="404" customWidth="1"/>
    <col min="39" max="39" width="4.85546875" style="404" customWidth="1"/>
    <col min="40" max="40" width="8.140625" style="404" customWidth="1"/>
    <col min="41" max="41" width="11.5703125" style="834" customWidth="1"/>
    <col min="42" max="42" width="13.7109375" style="443" customWidth="1"/>
    <col min="43" max="43" width="20.85546875" style="835" customWidth="1"/>
    <col min="44" max="16384" width="11.42578125" style="404"/>
  </cols>
  <sheetData>
    <row r="1" spans="1:43" ht="15" x14ac:dyDescent="0.2">
      <c r="A1" s="2678" t="s">
        <v>1761</v>
      </c>
      <c r="B1" s="3412"/>
      <c r="C1" s="3412"/>
      <c r="D1" s="3412"/>
      <c r="E1" s="3412"/>
      <c r="F1" s="3412"/>
      <c r="G1" s="3412"/>
      <c r="H1" s="3412"/>
      <c r="I1" s="3412"/>
      <c r="J1" s="3412"/>
      <c r="K1" s="3412"/>
      <c r="L1" s="3412"/>
      <c r="M1" s="3412"/>
      <c r="N1" s="3412"/>
      <c r="O1" s="3412"/>
      <c r="P1" s="3412"/>
      <c r="Q1" s="3412"/>
      <c r="R1" s="3412"/>
      <c r="S1" s="3412"/>
      <c r="T1" s="3412"/>
      <c r="U1" s="3412"/>
      <c r="V1" s="3412"/>
      <c r="W1" s="3412"/>
      <c r="X1" s="3412"/>
      <c r="Y1" s="3412"/>
      <c r="Z1" s="3412"/>
      <c r="AA1" s="3412"/>
      <c r="AB1" s="3412"/>
      <c r="AC1" s="3412"/>
      <c r="AD1" s="3412"/>
      <c r="AE1" s="3412"/>
      <c r="AF1" s="3412"/>
      <c r="AG1" s="3412"/>
      <c r="AH1" s="3412"/>
      <c r="AI1" s="3412"/>
      <c r="AJ1" s="3412"/>
      <c r="AK1" s="3412"/>
      <c r="AL1" s="3412"/>
      <c r="AM1" s="3412"/>
      <c r="AN1" s="3412"/>
      <c r="AO1" s="3413"/>
      <c r="AP1" s="710" t="s">
        <v>0</v>
      </c>
      <c r="AQ1" s="710" t="s">
        <v>346</v>
      </c>
    </row>
    <row r="2" spans="1:43" ht="15" x14ac:dyDescent="0.2">
      <c r="A2" s="3412"/>
      <c r="B2" s="3412"/>
      <c r="C2" s="3412"/>
      <c r="D2" s="3412"/>
      <c r="E2" s="3412"/>
      <c r="F2" s="3412"/>
      <c r="G2" s="3412"/>
      <c r="H2" s="3412"/>
      <c r="I2" s="3412"/>
      <c r="J2" s="3412"/>
      <c r="K2" s="3412"/>
      <c r="L2" s="3412"/>
      <c r="M2" s="3412"/>
      <c r="N2" s="3412"/>
      <c r="O2" s="3412"/>
      <c r="P2" s="3412"/>
      <c r="Q2" s="3412"/>
      <c r="R2" s="3412"/>
      <c r="S2" s="3412"/>
      <c r="T2" s="3412"/>
      <c r="U2" s="3412"/>
      <c r="V2" s="3412"/>
      <c r="W2" s="3412"/>
      <c r="X2" s="3412"/>
      <c r="Y2" s="3412"/>
      <c r="Z2" s="3412"/>
      <c r="AA2" s="3412"/>
      <c r="AB2" s="3412"/>
      <c r="AC2" s="3412"/>
      <c r="AD2" s="3412"/>
      <c r="AE2" s="3412"/>
      <c r="AF2" s="3412"/>
      <c r="AG2" s="3412"/>
      <c r="AH2" s="3412"/>
      <c r="AI2" s="3412"/>
      <c r="AJ2" s="3412"/>
      <c r="AK2" s="3412"/>
      <c r="AL2" s="3412"/>
      <c r="AM2" s="3412"/>
      <c r="AN2" s="3412"/>
      <c r="AO2" s="3413"/>
      <c r="AP2" s="726" t="s">
        <v>2</v>
      </c>
      <c r="AQ2" s="710" t="s">
        <v>114</v>
      </c>
    </row>
    <row r="3" spans="1:43" ht="15" x14ac:dyDescent="0.2">
      <c r="A3" s="3412"/>
      <c r="B3" s="3412"/>
      <c r="C3" s="3412"/>
      <c r="D3" s="3412"/>
      <c r="E3" s="3412"/>
      <c r="F3" s="3412"/>
      <c r="G3" s="3412"/>
      <c r="H3" s="3412"/>
      <c r="I3" s="3412"/>
      <c r="J3" s="3412"/>
      <c r="K3" s="3412"/>
      <c r="L3" s="3412"/>
      <c r="M3" s="3412"/>
      <c r="N3" s="3412"/>
      <c r="O3" s="3412"/>
      <c r="P3" s="3412"/>
      <c r="Q3" s="3412"/>
      <c r="R3" s="3412"/>
      <c r="S3" s="3412"/>
      <c r="T3" s="3412"/>
      <c r="U3" s="3412"/>
      <c r="V3" s="3412"/>
      <c r="W3" s="3412"/>
      <c r="X3" s="3412"/>
      <c r="Y3" s="3412"/>
      <c r="Z3" s="3412"/>
      <c r="AA3" s="3412"/>
      <c r="AB3" s="3412"/>
      <c r="AC3" s="3412"/>
      <c r="AD3" s="3412"/>
      <c r="AE3" s="3412"/>
      <c r="AF3" s="3412"/>
      <c r="AG3" s="3412"/>
      <c r="AH3" s="3412"/>
      <c r="AI3" s="3412"/>
      <c r="AJ3" s="3412"/>
      <c r="AK3" s="3412"/>
      <c r="AL3" s="3412"/>
      <c r="AM3" s="3412"/>
      <c r="AN3" s="3412"/>
      <c r="AO3" s="3413"/>
      <c r="AP3" s="710" t="s">
        <v>4</v>
      </c>
      <c r="AQ3" s="727" t="s">
        <v>5</v>
      </c>
    </row>
    <row r="4" spans="1:43" ht="15" x14ac:dyDescent="0.2">
      <c r="A4" s="3414"/>
      <c r="B4" s="3414"/>
      <c r="C4" s="3414"/>
      <c r="D4" s="3414"/>
      <c r="E4" s="3414"/>
      <c r="F4" s="3414"/>
      <c r="G4" s="3414"/>
      <c r="H4" s="3414"/>
      <c r="I4" s="3414"/>
      <c r="J4" s="3414"/>
      <c r="K4" s="3414"/>
      <c r="L4" s="3414"/>
      <c r="M4" s="3414"/>
      <c r="N4" s="3414"/>
      <c r="O4" s="3414"/>
      <c r="P4" s="3414"/>
      <c r="Q4" s="3414"/>
      <c r="R4" s="3414"/>
      <c r="S4" s="3414"/>
      <c r="T4" s="3414"/>
      <c r="U4" s="3414"/>
      <c r="V4" s="3414"/>
      <c r="W4" s="3414"/>
      <c r="X4" s="3414"/>
      <c r="Y4" s="3414"/>
      <c r="Z4" s="3414"/>
      <c r="AA4" s="3414"/>
      <c r="AB4" s="3414"/>
      <c r="AC4" s="3414"/>
      <c r="AD4" s="3414"/>
      <c r="AE4" s="3414"/>
      <c r="AF4" s="3414"/>
      <c r="AG4" s="3414"/>
      <c r="AH4" s="3414"/>
      <c r="AI4" s="3414"/>
      <c r="AJ4" s="3414"/>
      <c r="AK4" s="3414"/>
      <c r="AL4" s="3414"/>
      <c r="AM4" s="3414"/>
      <c r="AN4" s="3414"/>
      <c r="AO4" s="3415"/>
      <c r="AP4" s="710" t="s">
        <v>6</v>
      </c>
      <c r="AQ4" s="758" t="s">
        <v>7</v>
      </c>
    </row>
    <row r="5" spans="1:43" ht="15" x14ac:dyDescent="0.2">
      <c r="A5" s="2846" t="s">
        <v>8</v>
      </c>
      <c r="B5" s="2846"/>
      <c r="C5" s="2846"/>
      <c r="D5" s="2846"/>
      <c r="E5" s="2846"/>
      <c r="F5" s="2846"/>
      <c r="G5" s="2846"/>
      <c r="H5" s="2846"/>
      <c r="I5" s="2846"/>
      <c r="J5" s="2846"/>
      <c r="K5" s="2846"/>
      <c r="L5" s="2846"/>
      <c r="M5" s="2846"/>
      <c r="N5" s="2847" t="s">
        <v>9</v>
      </c>
      <c r="O5" s="2847"/>
      <c r="P5" s="2847"/>
      <c r="Q5" s="2847"/>
      <c r="R5" s="2847"/>
      <c r="S5" s="2847"/>
      <c r="T5" s="2847"/>
      <c r="U5" s="2847"/>
      <c r="V5" s="2847"/>
      <c r="W5" s="2847"/>
      <c r="X5" s="2847"/>
      <c r="Y5" s="2847"/>
      <c r="Z5" s="2847"/>
      <c r="AA5" s="2847"/>
      <c r="AB5" s="2847"/>
      <c r="AC5" s="2847"/>
      <c r="AD5" s="2847"/>
      <c r="AE5" s="2847"/>
      <c r="AF5" s="2847"/>
      <c r="AG5" s="2847"/>
      <c r="AH5" s="2847"/>
      <c r="AI5" s="2847"/>
      <c r="AJ5" s="2847"/>
      <c r="AK5" s="2847"/>
      <c r="AL5" s="2847"/>
      <c r="AM5" s="2847"/>
      <c r="AN5" s="2847"/>
      <c r="AO5" s="2847"/>
      <c r="AP5" s="2847"/>
      <c r="AQ5" s="2847"/>
    </row>
    <row r="6" spans="1:43" ht="15" x14ac:dyDescent="0.2">
      <c r="A6" s="2828"/>
      <c r="B6" s="2828"/>
      <c r="C6" s="2828"/>
      <c r="D6" s="2828"/>
      <c r="E6" s="2828"/>
      <c r="F6" s="2828"/>
      <c r="G6" s="2828"/>
      <c r="H6" s="2828"/>
      <c r="I6" s="2828"/>
      <c r="J6" s="2828"/>
      <c r="K6" s="2828"/>
      <c r="L6" s="2828"/>
      <c r="M6" s="2828"/>
      <c r="N6" s="759"/>
      <c r="O6" s="760"/>
      <c r="P6" s="760"/>
      <c r="Q6" s="760"/>
      <c r="R6" s="760"/>
      <c r="S6" s="760"/>
      <c r="T6" s="760"/>
      <c r="U6" s="760"/>
      <c r="V6" s="760"/>
      <c r="W6" s="760"/>
      <c r="X6" s="760"/>
      <c r="Y6" s="2827" t="s">
        <v>10</v>
      </c>
      <c r="Z6" s="2828"/>
      <c r="AA6" s="2828"/>
      <c r="AB6" s="2828"/>
      <c r="AC6" s="2828"/>
      <c r="AD6" s="2828"/>
      <c r="AE6" s="2828"/>
      <c r="AF6" s="2828"/>
      <c r="AG6" s="2828"/>
      <c r="AH6" s="2828"/>
      <c r="AI6" s="2828"/>
      <c r="AJ6" s="2828"/>
      <c r="AK6" s="2828"/>
      <c r="AL6" s="2828"/>
      <c r="AM6" s="2829"/>
      <c r="AN6" s="1500"/>
      <c r="AO6" s="760"/>
      <c r="AP6" s="760"/>
      <c r="AQ6" s="762"/>
    </row>
    <row r="7" spans="1:43" ht="32.25" customHeight="1" x14ac:dyDescent="0.2">
      <c r="A7" s="2848" t="s">
        <v>11</v>
      </c>
      <c r="B7" s="2850" t="s">
        <v>12</v>
      </c>
      <c r="C7" s="2851"/>
      <c r="D7" s="2851" t="s">
        <v>11</v>
      </c>
      <c r="E7" s="2850" t="s">
        <v>13</v>
      </c>
      <c r="F7" s="2851"/>
      <c r="G7" s="2851" t="s">
        <v>11</v>
      </c>
      <c r="H7" s="2850" t="s">
        <v>14</v>
      </c>
      <c r="I7" s="2851"/>
      <c r="J7" s="2851" t="s">
        <v>11</v>
      </c>
      <c r="K7" s="2858" t="s">
        <v>15</v>
      </c>
      <c r="L7" s="2834" t="s">
        <v>16</v>
      </c>
      <c r="M7" s="2834" t="s">
        <v>17</v>
      </c>
      <c r="N7" s="2834" t="s">
        <v>18</v>
      </c>
      <c r="O7" s="2834" t="s">
        <v>19</v>
      </c>
      <c r="P7" s="2834" t="s">
        <v>9</v>
      </c>
      <c r="Q7" s="2854" t="s">
        <v>20</v>
      </c>
      <c r="R7" s="2856" t="s">
        <v>21</v>
      </c>
      <c r="S7" s="2858" t="s">
        <v>22</v>
      </c>
      <c r="T7" s="2850" t="s">
        <v>23</v>
      </c>
      <c r="U7" s="2834" t="s">
        <v>24</v>
      </c>
      <c r="V7" s="3400" t="s">
        <v>21</v>
      </c>
      <c r="W7" s="1657"/>
      <c r="X7" s="2834" t="s">
        <v>25</v>
      </c>
      <c r="Y7" s="2838" t="s">
        <v>26</v>
      </c>
      <c r="Z7" s="2838"/>
      <c r="AA7" s="2839" t="s">
        <v>27</v>
      </c>
      <c r="AB7" s="2839"/>
      <c r="AC7" s="2839"/>
      <c r="AD7" s="2839"/>
      <c r="AE7" s="2860" t="s">
        <v>28</v>
      </c>
      <c r="AF7" s="2861"/>
      <c r="AG7" s="2861"/>
      <c r="AH7" s="2861"/>
      <c r="AI7" s="2861"/>
      <c r="AJ7" s="2862"/>
      <c r="AK7" s="2839" t="s">
        <v>29</v>
      </c>
      <c r="AL7" s="2839"/>
      <c r="AM7" s="2839"/>
      <c r="AN7" s="1502" t="s">
        <v>30</v>
      </c>
      <c r="AO7" s="2863" t="s">
        <v>31</v>
      </c>
      <c r="AP7" s="2863" t="s">
        <v>32</v>
      </c>
      <c r="AQ7" s="2832" t="s">
        <v>33</v>
      </c>
    </row>
    <row r="8" spans="1:43" ht="127.5" x14ac:dyDescent="0.2">
      <c r="A8" s="2849"/>
      <c r="B8" s="2852"/>
      <c r="C8" s="2853"/>
      <c r="D8" s="2853"/>
      <c r="E8" s="2852"/>
      <c r="F8" s="2853"/>
      <c r="G8" s="2853"/>
      <c r="H8" s="2852"/>
      <c r="I8" s="2853"/>
      <c r="J8" s="2853"/>
      <c r="K8" s="2859"/>
      <c r="L8" s="2835"/>
      <c r="M8" s="2835"/>
      <c r="N8" s="2835"/>
      <c r="O8" s="2835"/>
      <c r="P8" s="2835"/>
      <c r="Q8" s="2855"/>
      <c r="R8" s="2857"/>
      <c r="S8" s="2859"/>
      <c r="T8" s="2852"/>
      <c r="U8" s="2835"/>
      <c r="V8" s="3401"/>
      <c r="W8" s="763" t="s">
        <v>11</v>
      </c>
      <c r="X8" s="2835"/>
      <c r="Y8" s="764" t="s">
        <v>34</v>
      </c>
      <c r="Z8" s="765" t="s">
        <v>35</v>
      </c>
      <c r="AA8" s="766" t="s">
        <v>36</v>
      </c>
      <c r="AB8" s="766" t="s">
        <v>115</v>
      </c>
      <c r="AC8" s="766" t="s">
        <v>384</v>
      </c>
      <c r="AD8" s="766" t="s">
        <v>117</v>
      </c>
      <c r="AE8" s="766" t="s">
        <v>40</v>
      </c>
      <c r="AF8" s="766" t="s">
        <v>41</v>
      </c>
      <c r="AG8" s="766" t="s">
        <v>42</v>
      </c>
      <c r="AH8" s="766" t="s">
        <v>43</v>
      </c>
      <c r="AI8" s="766" t="s">
        <v>44</v>
      </c>
      <c r="AJ8" s="766" t="s">
        <v>45</v>
      </c>
      <c r="AK8" s="766" t="s">
        <v>46</v>
      </c>
      <c r="AL8" s="766" t="s">
        <v>47</v>
      </c>
      <c r="AM8" s="766" t="s">
        <v>48</v>
      </c>
      <c r="AN8" s="766" t="s">
        <v>30</v>
      </c>
      <c r="AO8" s="2864"/>
      <c r="AP8" s="2864"/>
      <c r="AQ8" s="2833"/>
    </row>
    <row r="9" spans="1:43" s="3" customFormat="1" ht="15.75" x14ac:dyDescent="0.2">
      <c r="A9" s="11">
        <v>4</v>
      </c>
      <c r="B9" s="12" t="s">
        <v>1727</v>
      </c>
      <c r="C9" s="13"/>
      <c r="D9" s="13"/>
      <c r="E9" s="13"/>
      <c r="F9" s="13"/>
      <c r="G9" s="13"/>
      <c r="H9" s="13"/>
      <c r="I9" s="13"/>
      <c r="J9" s="13"/>
      <c r="K9" s="14"/>
      <c r="L9" s="13"/>
      <c r="M9" s="13"/>
      <c r="N9" s="13"/>
      <c r="O9" s="13"/>
      <c r="P9" s="15"/>
      <c r="Q9" s="14"/>
      <c r="R9" s="16"/>
      <c r="S9" s="17"/>
      <c r="T9" s="14"/>
      <c r="U9" s="14"/>
      <c r="V9" s="14"/>
      <c r="W9" s="18"/>
      <c r="X9" s="18"/>
      <c r="Y9" s="18"/>
      <c r="Z9" s="19"/>
      <c r="AA9" s="15"/>
      <c r="AB9" s="13"/>
      <c r="AC9" s="13"/>
      <c r="AD9" s="13"/>
      <c r="AE9" s="13"/>
      <c r="AF9" s="13"/>
      <c r="AG9" s="13"/>
      <c r="AH9" s="13"/>
      <c r="AI9" s="13"/>
      <c r="AJ9" s="13"/>
      <c r="AK9" s="13"/>
      <c r="AL9" s="13"/>
      <c r="AM9" s="13"/>
      <c r="AN9" s="13"/>
      <c r="AO9" s="13"/>
      <c r="AP9" s="13"/>
      <c r="AQ9" s="13"/>
    </row>
    <row r="10" spans="1:43" s="412" customFormat="1" ht="15" x14ac:dyDescent="0.2">
      <c r="A10" s="1152"/>
      <c r="B10" s="1570"/>
      <c r="C10" s="1570"/>
      <c r="D10" s="780">
        <v>23</v>
      </c>
      <c r="E10" s="1011" t="s">
        <v>1728</v>
      </c>
      <c r="F10" s="1011"/>
      <c r="G10" s="1011"/>
      <c r="H10" s="1011"/>
      <c r="I10" s="1011"/>
      <c r="J10" s="1011"/>
      <c r="K10" s="1002"/>
      <c r="L10" s="1011"/>
      <c r="M10" s="1011"/>
      <c r="N10" s="1011"/>
      <c r="O10" s="1003"/>
      <c r="P10" s="1002"/>
      <c r="Q10" s="1153"/>
      <c r="R10" s="1154"/>
      <c r="S10" s="1002"/>
      <c r="T10" s="1002"/>
      <c r="U10" s="1002"/>
      <c r="V10" s="1155"/>
      <c r="W10" s="1043"/>
      <c r="X10" s="1003"/>
      <c r="Y10" s="1011"/>
      <c r="Z10" s="1011"/>
      <c r="AA10" s="1011"/>
      <c r="AB10" s="1011"/>
      <c r="AC10" s="1011"/>
      <c r="AD10" s="1011"/>
      <c r="AE10" s="1011"/>
      <c r="AF10" s="1011"/>
      <c r="AG10" s="1011"/>
      <c r="AH10" s="1011"/>
      <c r="AI10" s="1011"/>
      <c r="AJ10" s="1011"/>
      <c r="AK10" s="1011"/>
      <c r="AL10" s="1011"/>
      <c r="AM10" s="1011"/>
      <c r="AN10" s="1011"/>
      <c r="AO10" s="1156"/>
      <c r="AP10" s="1156"/>
      <c r="AQ10" s="1157"/>
    </row>
    <row r="11" spans="1:43" s="412" customFormat="1" ht="15" x14ac:dyDescent="0.2">
      <c r="A11" s="1158"/>
      <c r="B11" s="1571"/>
      <c r="C11" s="1571"/>
      <c r="D11" s="1044"/>
      <c r="E11" s="1571"/>
      <c r="F11" s="1571"/>
      <c r="G11" s="788">
        <v>77</v>
      </c>
      <c r="H11" s="864" t="s">
        <v>1729</v>
      </c>
      <c r="I11" s="866"/>
      <c r="J11" s="866"/>
      <c r="K11" s="866"/>
      <c r="L11" s="864"/>
      <c r="M11" s="864"/>
      <c r="N11" s="864"/>
      <c r="O11" s="865"/>
      <c r="P11" s="866"/>
      <c r="Q11" s="1159"/>
      <c r="R11" s="868"/>
      <c r="S11" s="866"/>
      <c r="T11" s="866"/>
      <c r="U11" s="866"/>
      <c r="V11" s="869"/>
      <c r="W11" s="870"/>
      <c r="X11" s="865"/>
      <c r="Y11" s="864"/>
      <c r="Z11" s="864"/>
      <c r="AA11" s="864"/>
      <c r="AB11" s="864"/>
      <c r="AC11" s="864"/>
      <c r="AD11" s="864"/>
      <c r="AE11" s="864"/>
      <c r="AF11" s="864"/>
      <c r="AG11" s="864"/>
      <c r="AH11" s="864"/>
      <c r="AI11" s="864"/>
      <c r="AJ11" s="864"/>
      <c r="AK11" s="864"/>
      <c r="AL11" s="864"/>
      <c r="AM11" s="864"/>
      <c r="AN11" s="864"/>
      <c r="AO11" s="871"/>
      <c r="AP11" s="871"/>
      <c r="AQ11" s="872"/>
    </row>
    <row r="12" spans="1:43" s="412" customFormat="1" ht="50.25" customHeight="1" x14ac:dyDescent="0.2">
      <c r="A12" s="1148"/>
      <c r="B12" s="1656"/>
      <c r="C12" s="1656"/>
      <c r="D12" s="1573"/>
      <c r="E12" s="1656"/>
      <c r="F12" s="1656"/>
      <c r="G12" s="1572"/>
      <c r="H12" s="1656"/>
      <c r="I12" s="1656"/>
      <c r="J12" s="2811">
        <v>223</v>
      </c>
      <c r="K12" s="2513" t="s">
        <v>1730</v>
      </c>
      <c r="L12" s="2808" t="s">
        <v>1731</v>
      </c>
      <c r="M12" s="2540">
        <v>1</v>
      </c>
      <c r="N12" s="2540">
        <v>2301010423</v>
      </c>
      <c r="O12" s="2823" t="s">
        <v>1732</v>
      </c>
      <c r="P12" s="2513" t="s">
        <v>1733</v>
      </c>
      <c r="Q12" s="4238">
        <f>SUM(V12:V14)/R$12</f>
        <v>0.94892915980230641</v>
      </c>
      <c r="R12" s="4244">
        <f>SUM(V12:V19)</f>
        <v>607000000</v>
      </c>
      <c r="S12" s="2808" t="s">
        <v>1734</v>
      </c>
      <c r="T12" s="3235" t="s">
        <v>1735</v>
      </c>
      <c r="U12" s="4241" t="s">
        <v>1736</v>
      </c>
      <c r="V12" s="1149">
        <v>290000000</v>
      </c>
      <c r="W12" s="1526">
        <v>20</v>
      </c>
      <c r="X12" s="873" t="s">
        <v>1737</v>
      </c>
      <c r="Y12" s="3290">
        <v>57041</v>
      </c>
      <c r="Z12" s="3290">
        <v>57731</v>
      </c>
      <c r="AA12" s="3290">
        <v>27907</v>
      </c>
      <c r="AB12" s="3290">
        <v>8963</v>
      </c>
      <c r="AC12" s="3290">
        <v>60564</v>
      </c>
      <c r="AD12" s="3290">
        <v>17338</v>
      </c>
      <c r="AE12" s="3290"/>
      <c r="AF12" s="3290"/>
      <c r="AG12" s="3290"/>
      <c r="AH12" s="1536"/>
      <c r="AI12" s="1536"/>
      <c r="AJ12" s="1536"/>
      <c r="AK12" s="3290"/>
      <c r="AL12" s="3290">
        <v>2944</v>
      </c>
      <c r="AM12" s="3290"/>
      <c r="AN12" s="3402">
        <f>Y12+Z12</f>
        <v>114772</v>
      </c>
      <c r="AO12" s="3379">
        <v>43466</v>
      </c>
      <c r="AP12" s="3379">
        <v>43830</v>
      </c>
      <c r="AQ12" s="4133" t="s">
        <v>1738</v>
      </c>
    </row>
    <row r="13" spans="1:43" s="412" customFormat="1" ht="50.25" customHeight="1" x14ac:dyDescent="0.2">
      <c r="A13" s="1148"/>
      <c r="B13" s="1656"/>
      <c r="C13" s="1656"/>
      <c r="D13" s="1573"/>
      <c r="E13" s="1656"/>
      <c r="F13" s="1656"/>
      <c r="G13" s="1573"/>
      <c r="H13" s="1656"/>
      <c r="I13" s="1656"/>
      <c r="J13" s="2811"/>
      <c r="K13" s="2513"/>
      <c r="L13" s="2808"/>
      <c r="M13" s="2597"/>
      <c r="N13" s="2597"/>
      <c r="O13" s="2824"/>
      <c r="P13" s="2513"/>
      <c r="Q13" s="4239"/>
      <c r="R13" s="4244"/>
      <c r="S13" s="2808"/>
      <c r="T13" s="2845"/>
      <c r="U13" s="4242"/>
      <c r="V13" s="1149">
        <v>100000000</v>
      </c>
      <c r="W13" s="1526">
        <v>23</v>
      </c>
      <c r="X13" s="873" t="s">
        <v>1739</v>
      </c>
      <c r="Y13" s="2844"/>
      <c r="Z13" s="2844"/>
      <c r="AA13" s="2844"/>
      <c r="AB13" s="2844"/>
      <c r="AC13" s="2844"/>
      <c r="AD13" s="2844"/>
      <c r="AE13" s="2844"/>
      <c r="AF13" s="2844"/>
      <c r="AG13" s="2844"/>
      <c r="AH13" s="1537"/>
      <c r="AI13" s="1537"/>
      <c r="AJ13" s="1537"/>
      <c r="AK13" s="2844"/>
      <c r="AL13" s="2844"/>
      <c r="AM13" s="2844"/>
      <c r="AN13" s="4245"/>
      <c r="AO13" s="3380"/>
      <c r="AP13" s="3380"/>
      <c r="AQ13" s="4134"/>
    </row>
    <row r="14" spans="1:43" s="412" customFormat="1" ht="50.25" customHeight="1" x14ac:dyDescent="0.2">
      <c r="A14" s="1148"/>
      <c r="B14" s="4151"/>
      <c r="C14" s="4151"/>
      <c r="D14" s="1573"/>
      <c r="E14" s="4151"/>
      <c r="F14" s="4151"/>
      <c r="G14" s="1573"/>
      <c r="H14" s="4151"/>
      <c r="I14" s="4151"/>
      <c r="J14" s="2811"/>
      <c r="K14" s="2513"/>
      <c r="L14" s="2808"/>
      <c r="M14" s="2597"/>
      <c r="N14" s="2597"/>
      <c r="O14" s="2824"/>
      <c r="P14" s="2513"/>
      <c r="Q14" s="4240"/>
      <c r="R14" s="4244"/>
      <c r="S14" s="2808"/>
      <c r="T14" s="2845"/>
      <c r="U14" s="4243"/>
      <c r="V14" s="1149">
        <v>186000000</v>
      </c>
      <c r="W14" s="1526">
        <v>88</v>
      </c>
      <c r="X14" s="873" t="s">
        <v>1740</v>
      </c>
      <c r="Y14" s="2844"/>
      <c r="Z14" s="2844"/>
      <c r="AA14" s="2844"/>
      <c r="AB14" s="2844"/>
      <c r="AC14" s="2844"/>
      <c r="AD14" s="2844"/>
      <c r="AE14" s="2844"/>
      <c r="AF14" s="2844"/>
      <c r="AG14" s="2844"/>
      <c r="AH14" s="1537"/>
      <c r="AI14" s="1537"/>
      <c r="AJ14" s="1537"/>
      <c r="AK14" s="2844"/>
      <c r="AL14" s="2844"/>
      <c r="AM14" s="2844"/>
      <c r="AN14" s="4245"/>
      <c r="AO14" s="3380"/>
      <c r="AP14" s="3380"/>
      <c r="AQ14" s="4134"/>
    </row>
    <row r="15" spans="1:43" s="412" customFormat="1" ht="40.5" customHeight="1" x14ac:dyDescent="0.2">
      <c r="A15" s="1148"/>
      <c r="B15" s="1656"/>
      <c r="C15" s="1656"/>
      <c r="D15" s="1573"/>
      <c r="E15" s="1656"/>
      <c r="F15" s="1656"/>
      <c r="G15" s="1573"/>
      <c r="H15" s="1656"/>
      <c r="I15" s="1656"/>
      <c r="J15" s="2811">
        <v>224</v>
      </c>
      <c r="K15" s="2513" t="s">
        <v>1741</v>
      </c>
      <c r="L15" s="2808" t="s">
        <v>1742</v>
      </c>
      <c r="M15" s="2597">
        <v>1</v>
      </c>
      <c r="N15" s="2597"/>
      <c r="O15" s="2824"/>
      <c r="P15" s="2513"/>
      <c r="Q15" s="3635">
        <f>SUM(V15:V17)/R12</f>
        <v>3.459637561779242E-2</v>
      </c>
      <c r="R15" s="4244"/>
      <c r="S15" s="2808"/>
      <c r="T15" s="2845"/>
      <c r="U15" s="4241" t="s">
        <v>1743</v>
      </c>
      <c r="V15" s="1176">
        <v>800000</v>
      </c>
      <c r="W15" s="1526">
        <v>20</v>
      </c>
      <c r="X15" s="873" t="s">
        <v>1737</v>
      </c>
      <c r="Y15" s="2844"/>
      <c r="Z15" s="2844"/>
      <c r="AA15" s="2844"/>
      <c r="AB15" s="2844"/>
      <c r="AC15" s="2844"/>
      <c r="AD15" s="2844"/>
      <c r="AE15" s="2844"/>
      <c r="AF15" s="2844"/>
      <c r="AG15" s="2844"/>
      <c r="AH15" s="1537"/>
      <c r="AI15" s="1537"/>
      <c r="AJ15" s="1537"/>
      <c r="AK15" s="2844"/>
      <c r="AL15" s="2844"/>
      <c r="AM15" s="2844"/>
      <c r="AN15" s="4245"/>
      <c r="AO15" s="3380"/>
      <c r="AP15" s="3380"/>
      <c r="AQ15" s="4134"/>
    </row>
    <row r="16" spans="1:43" s="412" customFormat="1" ht="40.5" customHeight="1" x14ac:dyDescent="0.2">
      <c r="A16" s="1148"/>
      <c r="B16" s="1656"/>
      <c r="C16" s="1656"/>
      <c r="D16" s="1573"/>
      <c r="E16" s="1656"/>
      <c r="F16" s="1656"/>
      <c r="G16" s="1573"/>
      <c r="H16" s="1656"/>
      <c r="I16" s="1656"/>
      <c r="J16" s="2811"/>
      <c r="K16" s="2513"/>
      <c r="L16" s="2808"/>
      <c r="M16" s="2597"/>
      <c r="N16" s="2597"/>
      <c r="O16" s="2824"/>
      <c r="P16" s="2513"/>
      <c r="Q16" s="3625"/>
      <c r="R16" s="4244"/>
      <c r="S16" s="2808"/>
      <c r="T16" s="2845"/>
      <c r="U16" s="4242"/>
      <c r="V16" s="1673">
        <v>6200000</v>
      </c>
      <c r="W16" s="1526">
        <v>23</v>
      </c>
      <c r="X16" s="873" t="s">
        <v>1744</v>
      </c>
      <c r="Y16" s="2844"/>
      <c r="Z16" s="2844"/>
      <c r="AA16" s="2844"/>
      <c r="AB16" s="2844"/>
      <c r="AC16" s="2844"/>
      <c r="AD16" s="2844"/>
      <c r="AE16" s="2844"/>
      <c r="AF16" s="2844"/>
      <c r="AG16" s="2844"/>
      <c r="AH16" s="1537"/>
      <c r="AI16" s="1537"/>
      <c r="AJ16" s="1537"/>
      <c r="AK16" s="2844"/>
      <c r="AL16" s="2844"/>
      <c r="AM16" s="2844"/>
      <c r="AN16" s="4245"/>
      <c r="AO16" s="3380"/>
      <c r="AP16" s="3380"/>
      <c r="AQ16" s="4134"/>
    </row>
    <row r="17" spans="1:43" s="412" customFormat="1" ht="62.25" customHeight="1" x14ac:dyDescent="0.2">
      <c r="A17" s="1148"/>
      <c r="B17" s="1656"/>
      <c r="C17" s="1656"/>
      <c r="D17" s="1573"/>
      <c r="E17" s="1656"/>
      <c r="F17" s="1656"/>
      <c r="G17" s="1573"/>
      <c r="H17" s="1656"/>
      <c r="I17" s="1656"/>
      <c r="J17" s="2811"/>
      <c r="K17" s="2513"/>
      <c r="L17" s="2808"/>
      <c r="M17" s="2519"/>
      <c r="N17" s="2597"/>
      <c r="O17" s="2824"/>
      <c r="P17" s="2513"/>
      <c r="Q17" s="3522"/>
      <c r="R17" s="4244"/>
      <c r="S17" s="2808"/>
      <c r="T17" s="3325"/>
      <c r="U17" s="4243"/>
      <c r="V17" s="1673">
        <v>14000000</v>
      </c>
      <c r="W17" s="1526">
        <v>88</v>
      </c>
      <c r="X17" s="873" t="s">
        <v>1740</v>
      </c>
      <c r="Y17" s="2844"/>
      <c r="Z17" s="2844"/>
      <c r="AA17" s="2844"/>
      <c r="AB17" s="2844"/>
      <c r="AC17" s="2844"/>
      <c r="AD17" s="2844"/>
      <c r="AE17" s="2844"/>
      <c r="AF17" s="2844"/>
      <c r="AG17" s="2844"/>
      <c r="AH17" s="1537"/>
      <c r="AI17" s="1537"/>
      <c r="AJ17" s="1537"/>
      <c r="AK17" s="2844"/>
      <c r="AL17" s="2844"/>
      <c r="AM17" s="2844"/>
      <c r="AN17" s="4245"/>
      <c r="AO17" s="3380"/>
      <c r="AP17" s="3380"/>
      <c r="AQ17" s="4134"/>
    </row>
    <row r="18" spans="1:43" s="412" customFormat="1" ht="55.5" customHeight="1" x14ac:dyDescent="0.2">
      <c r="A18" s="1148"/>
      <c r="B18" s="1656"/>
      <c r="C18" s="1656"/>
      <c r="D18" s="1573"/>
      <c r="E18" s="1656"/>
      <c r="F18" s="1656"/>
      <c r="G18" s="1573"/>
      <c r="H18" s="1656"/>
      <c r="I18" s="1656"/>
      <c r="J18" s="2811">
        <v>225</v>
      </c>
      <c r="K18" s="2513" t="s">
        <v>1745</v>
      </c>
      <c r="L18" s="2808" t="s">
        <v>1746</v>
      </c>
      <c r="M18" s="2540">
        <v>1</v>
      </c>
      <c r="N18" s="2597"/>
      <c r="O18" s="2824"/>
      <c r="P18" s="2513"/>
      <c r="Q18" s="3635">
        <f>(V18+V19)/R12</f>
        <v>1.6474464579901153E-2</v>
      </c>
      <c r="R18" s="4244"/>
      <c r="S18" s="2808"/>
      <c r="T18" s="3235" t="s">
        <v>1747</v>
      </c>
      <c r="U18" s="4246" t="s">
        <v>1748</v>
      </c>
      <c r="V18" s="1673">
        <v>9200000</v>
      </c>
      <c r="W18" s="1526">
        <v>20</v>
      </c>
      <c r="X18" s="873" t="s">
        <v>1737</v>
      </c>
      <c r="Y18" s="2844"/>
      <c r="Z18" s="2844"/>
      <c r="AA18" s="2844"/>
      <c r="AB18" s="2844"/>
      <c r="AC18" s="2844"/>
      <c r="AD18" s="2844"/>
      <c r="AE18" s="2844"/>
      <c r="AF18" s="2844"/>
      <c r="AG18" s="2844"/>
      <c r="AH18" s="1537"/>
      <c r="AI18" s="1537"/>
      <c r="AJ18" s="1537"/>
      <c r="AK18" s="2844"/>
      <c r="AL18" s="2844"/>
      <c r="AM18" s="2844"/>
      <c r="AN18" s="4245"/>
      <c r="AO18" s="3380"/>
      <c r="AP18" s="3380"/>
      <c r="AQ18" s="4134"/>
    </row>
    <row r="19" spans="1:43" s="412" customFormat="1" ht="54" customHeight="1" x14ac:dyDescent="0.2">
      <c r="A19" s="1150"/>
      <c r="B19" s="1151"/>
      <c r="C19" s="1151"/>
      <c r="D19" s="1574"/>
      <c r="E19" s="1151"/>
      <c r="F19" s="1151"/>
      <c r="G19" s="1574"/>
      <c r="H19" s="1151"/>
      <c r="I19" s="1151"/>
      <c r="J19" s="2811"/>
      <c r="K19" s="2513"/>
      <c r="L19" s="2808"/>
      <c r="M19" s="2519"/>
      <c r="N19" s="2519"/>
      <c r="O19" s="2825"/>
      <c r="P19" s="2513"/>
      <c r="Q19" s="3522"/>
      <c r="R19" s="4244"/>
      <c r="S19" s="2808"/>
      <c r="T19" s="3325"/>
      <c r="U19" s="4247"/>
      <c r="V19" s="1149">
        <v>800000</v>
      </c>
      <c r="W19" s="1569">
        <v>23</v>
      </c>
      <c r="X19" s="873" t="s">
        <v>1739</v>
      </c>
      <c r="Y19" s="3291"/>
      <c r="Z19" s="3291"/>
      <c r="AA19" s="3291"/>
      <c r="AB19" s="3291"/>
      <c r="AC19" s="3291"/>
      <c r="AD19" s="3291"/>
      <c r="AE19" s="3291"/>
      <c r="AF19" s="3291"/>
      <c r="AG19" s="3291"/>
      <c r="AH19" s="1538"/>
      <c r="AI19" s="1538"/>
      <c r="AJ19" s="1538"/>
      <c r="AK19" s="3291"/>
      <c r="AL19" s="3291"/>
      <c r="AM19" s="3291"/>
      <c r="AN19" s="3406"/>
      <c r="AO19" s="3381"/>
      <c r="AP19" s="3381"/>
      <c r="AQ19" s="4135"/>
    </row>
    <row r="20" spans="1:43" ht="35.25" customHeight="1" x14ac:dyDescent="0.25">
      <c r="A20" s="4248" t="s">
        <v>525</v>
      </c>
      <c r="B20" s="4248"/>
      <c r="C20" s="4248"/>
      <c r="D20" s="4248"/>
      <c r="E20" s="4248"/>
      <c r="F20" s="4248"/>
      <c r="G20" s="4248"/>
      <c r="H20" s="4248"/>
      <c r="I20" s="4248"/>
      <c r="J20" s="4248"/>
      <c r="K20" s="4248"/>
      <c r="L20" s="4248"/>
      <c r="M20" s="4248"/>
      <c r="N20" s="4248"/>
      <c r="O20" s="4248"/>
      <c r="P20" s="4248"/>
      <c r="Q20" s="4248"/>
      <c r="R20" s="1248">
        <f>SUM(R12)</f>
        <v>607000000</v>
      </c>
      <c r="S20" s="735"/>
      <c r="T20" s="735"/>
      <c r="U20" s="735"/>
      <c r="V20" s="1204">
        <f>SUM(V12:V19)</f>
        <v>607000000</v>
      </c>
      <c r="W20" s="1638"/>
      <c r="X20" s="1637"/>
      <c r="Y20" s="1194"/>
      <c r="Z20" s="1194"/>
      <c r="AA20" s="1194"/>
      <c r="AB20" s="1194"/>
      <c r="AC20" s="1194"/>
      <c r="AD20" s="1194"/>
      <c r="AE20" s="1194"/>
      <c r="AF20" s="1194"/>
      <c r="AG20" s="1194"/>
      <c r="AH20" s="1194"/>
      <c r="AI20" s="1194"/>
      <c r="AJ20" s="1194"/>
      <c r="AK20" s="1194"/>
      <c r="AL20" s="1194"/>
      <c r="AM20" s="1194"/>
      <c r="AN20" s="1194"/>
      <c r="AO20" s="1245"/>
      <c r="AP20" s="1246"/>
      <c r="AQ20" s="1247"/>
    </row>
    <row r="21" spans="1:43" ht="14.25" x14ac:dyDescent="0.2">
      <c r="X21" s="1534"/>
    </row>
    <row r="22" spans="1:43" ht="14.25" x14ac:dyDescent="0.2">
      <c r="X22" s="1534"/>
    </row>
    <row r="23" spans="1:43" ht="14.25" x14ac:dyDescent="0.2">
      <c r="X23" s="1534"/>
    </row>
    <row r="24" spans="1:43" ht="14.25" x14ac:dyDescent="0.2">
      <c r="X24" s="1534"/>
    </row>
    <row r="25" spans="1:43" ht="14.25" x14ac:dyDescent="0.2">
      <c r="X25" s="1534"/>
    </row>
    <row r="26" spans="1:43" ht="14.25" x14ac:dyDescent="0.2">
      <c r="X26" s="1534"/>
    </row>
    <row r="27" spans="1:43" ht="14.25" x14ac:dyDescent="0.2">
      <c r="X27" s="1534"/>
    </row>
    <row r="28" spans="1:43" ht="27" customHeight="1" x14ac:dyDescent="0.25">
      <c r="E28" s="836" t="s">
        <v>1749</v>
      </c>
      <c r="X28" s="1534"/>
    </row>
    <row r="29" spans="1:43" ht="27" customHeight="1" x14ac:dyDescent="0.2">
      <c r="E29" s="404" t="s">
        <v>1750</v>
      </c>
      <c r="X29" s="1534"/>
    </row>
  </sheetData>
  <sheetProtection password="A60F" sheet="1" objects="1" scenarios="1"/>
  <mergeCells count="76">
    <mergeCell ref="A20:Q20"/>
    <mergeCell ref="A1:AO4"/>
    <mergeCell ref="A5:M6"/>
    <mergeCell ref="N5:AQ5"/>
    <mergeCell ref="Y6:AM6"/>
    <mergeCell ref="A7:A8"/>
    <mergeCell ref="B7:C8"/>
    <mergeCell ref="D7:D8"/>
    <mergeCell ref="E7:F8"/>
    <mergeCell ref="G7:G8"/>
    <mergeCell ref="AO7:AO8"/>
    <mergeCell ref="AP7:AP8"/>
    <mergeCell ref="AQ7:AQ8"/>
    <mergeCell ref="U7:U8"/>
    <mergeCell ref="H7:I8"/>
    <mergeCell ref="J7:J8"/>
    <mergeCell ref="K7:K8"/>
    <mergeCell ref="L7:L8"/>
    <mergeCell ref="O7:O8"/>
    <mergeCell ref="P7:P8"/>
    <mergeCell ref="Q7:Q8"/>
    <mergeCell ref="R7:R8"/>
    <mergeCell ref="M7:M8"/>
    <mergeCell ref="N7:N8"/>
    <mergeCell ref="S7:S8"/>
    <mergeCell ref="T7:T8"/>
    <mergeCell ref="AE7:AJ7"/>
    <mergeCell ref="AK7:AM7"/>
    <mergeCell ref="V7:V8"/>
    <mergeCell ref="X7:X8"/>
    <mergeCell ref="Y7:Z7"/>
    <mergeCell ref="AA7:AD7"/>
    <mergeCell ref="K15:K17"/>
    <mergeCell ref="AQ12:AQ19"/>
    <mergeCell ref="AL12:AL19"/>
    <mergeCell ref="AM12:AM19"/>
    <mergeCell ref="AN12:AN19"/>
    <mergeCell ref="AO12:AO19"/>
    <mergeCell ref="AP12:AP19"/>
    <mergeCell ref="Y12:Y19"/>
    <mergeCell ref="Z12:Z19"/>
    <mergeCell ref="T12:T17"/>
    <mergeCell ref="U15:U17"/>
    <mergeCell ref="T18:T19"/>
    <mergeCell ref="U18:U19"/>
    <mergeCell ref="AK12:AK19"/>
    <mergeCell ref="Q15:Q17"/>
    <mergeCell ref="Q18:Q19"/>
    <mergeCell ref="B14:C14"/>
    <mergeCell ref="E14:F14"/>
    <mergeCell ref="H14:I14"/>
    <mergeCell ref="N12:N19"/>
    <mergeCell ref="O12:O19"/>
    <mergeCell ref="M12:M14"/>
    <mergeCell ref="M15:M17"/>
    <mergeCell ref="M18:M19"/>
    <mergeCell ref="J18:J19"/>
    <mergeCell ref="K18:K19"/>
    <mergeCell ref="L18:L19"/>
    <mergeCell ref="J12:J14"/>
    <mergeCell ref="L15:L17"/>
    <mergeCell ref="K12:K14"/>
    <mergeCell ref="L12:L14"/>
    <mergeCell ref="J15:J17"/>
    <mergeCell ref="AF12:AF19"/>
    <mergeCell ref="AG12:AG19"/>
    <mergeCell ref="Q12:Q14"/>
    <mergeCell ref="U12:U14"/>
    <mergeCell ref="P12:P19"/>
    <mergeCell ref="R12:R19"/>
    <mergeCell ref="S12:S19"/>
    <mergeCell ref="AA12:AA19"/>
    <mergeCell ref="AB12:AB19"/>
    <mergeCell ref="AC12:AC19"/>
    <mergeCell ref="AD12:AD19"/>
    <mergeCell ref="AE12:AE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K161"/>
  <sheetViews>
    <sheetView showGridLines="0" topLeftCell="A2" zoomScale="50" zoomScaleNormal="50" workbookViewId="0">
      <selection sqref="A1:AO4"/>
    </sheetView>
  </sheetViews>
  <sheetFormatPr baseColWidth="10" defaultColWidth="20.5703125" defaultRowHeight="39.75" customHeight="1" x14ac:dyDescent="0.2"/>
  <cols>
    <col min="1" max="1" width="14.28515625" style="248" customWidth="1"/>
    <col min="2" max="2" width="12.140625" style="180" customWidth="1"/>
    <col min="3" max="3" width="12.42578125" style="180" customWidth="1"/>
    <col min="4" max="4" width="15" style="180" customWidth="1"/>
    <col min="5" max="5" width="13.140625" style="180" customWidth="1"/>
    <col min="6" max="6" width="15.7109375" style="180" customWidth="1"/>
    <col min="7" max="7" width="17.5703125" style="180" customWidth="1"/>
    <col min="8" max="8" width="9.28515625" style="180" customWidth="1"/>
    <col min="9" max="9" width="14" style="180" customWidth="1"/>
    <col min="10" max="10" width="20" style="138" customWidth="1"/>
    <col min="11" max="11" width="37.7109375" style="249" customWidth="1"/>
    <col min="12" max="12" width="26.42578125" style="178" customWidth="1"/>
    <col min="13" max="13" width="15" style="178" customWidth="1"/>
    <col min="14" max="14" width="32.7109375" style="250" customWidth="1"/>
    <col min="15" max="15" width="15.85546875" style="250" customWidth="1"/>
    <col min="16" max="16" width="26.42578125" style="249" customWidth="1"/>
    <col min="17" max="17" width="10.85546875" style="251" customWidth="1"/>
    <col min="18" max="18" width="27.5703125" style="252" customWidth="1"/>
    <col min="19" max="19" width="41.7109375" style="249" customWidth="1"/>
    <col min="20" max="20" width="49.5703125" style="249" customWidth="1"/>
    <col min="21" max="21" width="57.7109375" style="249" customWidth="1"/>
    <col min="22" max="22" width="27.7109375" style="1261" customWidth="1"/>
    <col min="23" max="23" width="15.5703125" style="253" customWidth="1"/>
    <col min="24" max="24" width="23.28515625" style="137" customWidth="1"/>
    <col min="25" max="25" width="10.140625" style="3" bestFit="1" customWidth="1"/>
    <col min="26" max="26" width="13.7109375" style="3" bestFit="1" customWidth="1"/>
    <col min="27" max="27" width="10.140625" style="3" bestFit="1" customWidth="1"/>
    <col min="28" max="28" width="8.7109375" style="3" bestFit="1" customWidth="1"/>
    <col min="29" max="30" width="14" style="3" bestFit="1" customWidth="1"/>
    <col min="31" max="31" width="7.28515625" style="3" bestFit="1" customWidth="1"/>
    <col min="32" max="32" width="8.7109375" style="3" bestFit="1" customWidth="1"/>
    <col min="33" max="36" width="4.7109375" style="3" bestFit="1" customWidth="1"/>
    <col min="37" max="37" width="8.7109375" style="3" bestFit="1" customWidth="1"/>
    <col min="38" max="38" width="10.42578125" style="3" bestFit="1" customWidth="1"/>
    <col min="39" max="39" width="8.7109375" style="3" bestFit="1" customWidth="1"/>
    <col min="40" max="40" width="17" style="3" bestFit="1" customWidth="1"/>
    <col min="41" max="41" width="15.5703125" style="254" customWidth="1"/>
    <col min="42" max="42" width="14.7109375" style="255" customWidth="1"/>
    <col min="43" max="43" width="24.42578125" style="205" customWidth="1"/>
    <col min="44" max="45" width="20.5703125" style="1721"/>
    <col min="46" max="16384" width="20.5703125" style="3"/>
  </cols>
  <sheetData>
    <row r="1" spans="1:63" ht="16.5" hidden="1" customHeight="1" x14ac:dyDescent="0.2">
      <c r="A1" s="2678" t="s">
        <v>2537</v>
      </c>
      <c r="B1" s="2678"/>
      <c r="C1" s="2678"/>
      <c r="D1" s="2678"/>
      <c r="E1" s="2678"/>
      <c r="F1" s="2678"/>
      <c r="G1" s="2678"/>
      <c r="H1" s="2678"/>
      <c r="I1" s="2678"/>
      <c r="J1" s="2678"/>
      <c r="K1" s="2678"/>
      <c r="L1" s="2678"/>
      <c r="M1" s="2678"/>
      <c r="N1" s="2678"/>
      <c r="O1" s="2678"/>
      <c r="P1" s="2678"/>
      <c r="Q1" s="2678"/>
      <c r="R1" s="2678"/>
      <c r="S1" s="2678"/>
      <c r="T1" s="2678"/>
      <c r="U1" s="2678"/>
      <c r="V1" s="2678"/>
      <c r="W1" s="2678"/>
      <c r="X1" s="2678"/>
      <c r="Y1" s="2678"/>
      <c r="Z1" s="2678"/>
      <c r="AA1" s="2678"/>
      <c r="AB1" s="2678"/>
      <c r="AC1" s="2678"/>
      <c r="AD1" s="2678"/>
      <c r="AE1" s="2678"/>
      <c r="AF1" s="2678"/>
      <c r="AG1" s="2678"/>
      <c r="AH1" s="2678"/>
      <c r="AI1" s="2678"/>
      <c r="AJ1" s="2678"/>
      <c r="AK1" s="2678"/>
      <c r="AL1" s="2678"/>
      <c r="AM1" s="2678"/>
      <c r="AN1" s="2678"/>
      <c r="AO1" s="2678"/>
      <c r="AP1" s="8" t="s">
        <v>0</v>
      </c>
      <c r="AQ1" s="8" t="s">
        <v>1</v>
      </c>
      <c r="AT1" s="131"/>
      <c r="AU1" s="131"/>
      <c r="AV1" s="131"/>
      <c r="AW1" s="131"/>
      <c r="AX1" s="131"/>
      <c r="AY1" s="131"/>
      <c r="AZ1" s="131"/>
      <c r="BA1" s="131"/>
      <c r="BB1" s="131"/>
      <c r="BC1" s="131"/>
      <c r="BD1" s="131"/>
      <c r="BE1" s="131"/>
      <c r="BF1" s="131"/>
      <c r="BG1" s="131"/>
      <c r="BH1" s="131"/>
      <c r="BI1" s="131"/>
      <c r="BJ1" s="131"/>
      <c r="BK1" s="131"/>
    </row>
    <row r="2" spans="1:63" ht="28.5" customHeight="1" x14ac:dyDescent="0.2">
      <c r="A2" s="2678"/>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2678"/>
      <c r="AO2" s="2678"/>
      <c r="AP2" s="132" t="s">
        <v>2</v>
      </c>
      <c r="AQ2" s="8" t="s">
        <v>114</v>
      </c>
      <c r="AT2" s="131"/>
      <c r="AU2" s="131"/>
      <c r="AV2" s="131"/>
      <c r="AW2" s="131"/>
      <c r="AX2" s="131"/>
      <c r="AY2" s="131"/>
      <c r="AZ2" s="131"/>
      <c r="BA2" s="131"/>
      <c r="BB2" s="131"/>
      <c r="BC2" s="131"/>
      <c r="BD2" s="131"/>
      <c r="BE2" s="131"/>
      <c r="BF2" s="131"/>
      <c r="BG2" s="131"/>
      <c r="BH2" s="131"/>
      <c r="BI2" s="131"/>
      <c r="BJ2" s="131"/>
      <c r="BK2" s="131"/>
    </row>
    <row r="3" spans="1:63" ht="30" customHeight="1" x14ac:dyDescent="0.2">
      <c r="A3" s="2678"/>
      <c r="B3" s="2678"/>
      <c r="C3" s="2678"/>
      <c r="D3" s="2678"/>
      <c r="E3" s="2678"/>
      <c r="F3" s="2678"/>
      <c r="G3" s="2678"/>
      <c r="H3" s="2678"/>
      <c r="I3" s="2678"/>
      <c r="J3" s="2678"/>
      <c r="K3" s="2678"/>
      <c r="L3" s="2678"/>
      <c r="M3" s="2678"/>
      <c r="N3" s="2678"/>
      <c r="O3" s="2678"/>
      <c r="P3" s="2678"/>
      <c r="Q3" s="2678"/>
      <c r="R3" s="2678"/>
      <c r="S3" s="2678"/>
      <c r="T3" s="2678"/>
      <c r="U3" s="2678"/>
      <c r="V3" s="2678"/>
      <c r="W3" s="2678"/>
      <c r="X3" s="2678"/>
      <c r="Y3" s="2678"/>
      <c r="Z3" s="2678"/>
      <c r="AA3" s="2678"/>
      <c r="AB3" s="2678"/>
      <c r="AC3" s="2678"/>
      <c r="AD3" s="2678"/>
      <c r="AE3" s="2678"/>
      <c r="AF3" s="2678"/>
      <c r="AG3" s="2678"/>
      <c r="AH3" s="2678"/>
      <c r="AI3" s="2678"/>
      <c r="AJ3" s="2678"/>
      <c r="AK3" s="2678"/>
      <c r="AL3" s="2678"/>
      <c r="AM3" s="2678"/>
      <c r="AN3" s="2678"/>
      <c r="AO3" s="2678"/>
      <c r="AP3" s="8" t="s">
        <v>4</v>
      </c>
      <c r="AQ3" s="133" t="s">
        <v>5</v>
      </c>
      <c r="AT3" s="131"/>
      <c r="AU3" s="131"/>
      <c r="AV3" s="131"/>
      <c r="AW3" s="131"/>
      <c r="AX3" s="131"/>
      <c r="AY3" s="131"/>
      <c r="AZ3" s="131"/>
      <c r="BA3" s="131"/>
      <c r="BB3" s="131"/>
      <c r="BC3" s="131"/>
      <c r="BD3" s="131"/>
      <c r="BE3" s="131"/>
      <c r="BF3" s="131"/>
      <c r="BG3" s="131"/>
      <c r="BH3" s="131"/>
      <c r="BI3" s="131"/>
      <c r="BJ3" s="131"/>
      <c r="BK3" s="131"/>
    </row>
    <row r="4" spans="1:63" ht="30" customHeight="1" x14ac:dyDescent="0.2">
      <c r="A4" s="2679"/>
      <c r="B4" s="2679"/>
      <c r="C4" s="2679"/>
      <c r="D4" s="2679"/>
      <c r="E4" s="2679"/>
      <c r="F4" s="2679"/>
      <c r="G4" s="2679"/>
      <c r="H4" s="2679"/>
      <c r="I4" s="2679"/>
      <c r="J4" s="2679"/>
      <c r="K4" s="2679"/>
      <c r="L4" s="2679"/>
      <c r="M4" s="2679"/>
      <c r="N4" s="2679"/>
      <c r="O4" s="2679"/>
      <c r="P4" s="2679"/>
      <c r="Q4" s="2679"/>
      <c r="R4" s="2679"/>
      <c r="S4" s="2679"/>
      <c r="T4" s="2679"/>
      <c r="U4" s="2679"/>
      <c r="V4" s="2679"/>
      <c r="W4" s="2679"/>
      <c r="X4" s="2679"/>
      <c r="Y4" s="2679"/>
      <c r="Z4" s="2679"/>
      <c r="AA4" s="2679"/>
      <c r="AB4" s="2679"/>
      <c r="AC4" s="2679"/>
      <c r="AD4" s="2679"/>
      <c r="AE4" s="2679"/>
      <c r="AF4" s="2679"/>
      <c r="AG4" s="2679"/>
      <c r="AH4" s="2679"/>
      <c r="AI4" s="2679"/>
      <c r="AJ4" s="2679"/>
      <c r="AK4" s="2679"/>
      <c r="AL4" s="2679"/>
      <c r="AM4" s="2679"/>
      <c r="AN4" s="2679"/>
      <c r="AO4" s="2679"/>
      <c r="AP4" s="8" t="s">
        <v>6</v>
      </c>
      <c r="AQ4" s="33" t="s">
        <v>7</v>
      </c>
      <c r="AT4" s="131"/>
      <c r="AU4" s="131"/>
      <c r="AV4" s="131"/>
      <c r="AW4" s="131"/>
      <c r="AX4" s="131"/>
      <c r="AY4" s="131"/>
      <c r="AZ4" s="131"/>
      <c r="BA4" s="131"/>
      <c r="BB4" s="131"/>
      <c r="BC4" s="131"/>
      <c r="BD4" s="131"/>
      <c r="BE4" s="131"/>
      <c r="BF4" s="131"/>
      <c r="BG4" s="131"/>
      <c r="BH4" s="131"/>
      <c r="BI4" s="131"/>
      <c r="BJ4" s="131"/>
      <c r="BK4" s="131"/>
    </row>
    <row r="5" spans="1:63" ht="31.5" customHeight="1" x14ac:dyDescent="0.2">
      <c r="A5" s="2680" t="s">
        <v>8</v>
      </c>
      <c r="B5" s="2680"/>
      <c r="C5" s="2680"/>
      <c r="D5" s="2680"/>
      <c r="E5" s="2680"/>
      <c r="F5" s="2680"/>
      <c r="G5" s="2680"/>
      <c r="H5" s="2680"/>
      <c r="I5" s="2680"/>
      <c r="J5" s="2680"/>
      <c r="K5" s="2680"/>
      <c r="L5" s="2680"/>
      <c r="M5" s="2680"/>
      <c r="N5" s="2681" t="s">
        <v>9</v>
      </c>
      <c r="O5" s="2681"/>
      <c r="P5" s="2681"/>
      <c r="Q5" s="2681"/>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c r="AP5" s="2681"/>
      <c r="AQ5" s="2681"/>
      <c r="AT5" s="131"/>
      <c r="AU5" s="131"/>
      <c r="AV5" s="131"/>
      <c r="AW5" s="131"/>
      <c r="AX5" s="131"/>
      <c r="AY5" s="131"/>
      <c r="AZ5" s="131"/>
      <c r="BA5" s="131"/>
      <c r="BB5" s="131"/>
      <c r="BC5" s="131"/>
      <c r="BD5" s="131"/>
      <c r="BE5" s="131"/>
      <c r="BF5" s="131"/>
      <c r="BG5" s="131"/>
      <c r="BH5" s="131"/>
      <c r="BI5" s="131"/>
      <c r="BJ5" s="131"/>
      <c r="BK5" s="131"/>
    </row>
    <row r="6" spans="1:63" ht="27.75" customHeight="1" x14ac:dyDescent="0.2">
      <c r="A6" s="2682" t="s">
        <v>11</v>
      </c>
      <c r="B6" s="2684" t="s">
        <v>12</v>
      </c>
      <c r="C6" s="2685"/>
      <c r="D6" s="2688" t="s">
        <v>11</v>
      </c>
      <c r="E6" s="2684" t="s">
        <v>13</v>
      </c>
      <c r="F6" s="2685"/>
      <c r="G6" s="2688" t="s">
        <v>11</v>
      </c>
      <c r="H6" s="2684" t="s">
        <v>14</v>
      </c>
      <c r="I6" s="2685"/>
      <c r="J6" s="2688" t="s">
        <v>11</v>
      </c>
      <c r="K6" s="2688" t="s">
        <v>15</v>
      </c>
      <c r="L6" s="2688" t="s">
        <v>16</v>
      </c>
      <c r="M6" s="2684" t="s">
        <v>17</v>
      </c>
      <c r="N6" s="2688" t="s">
        <v>18</v>
      </c>
      <c r="O6" s="2688" t="s">
        <v>19</v>
      </c>
      <c r="P6" s="2688" t="s">
        <v>9</v>
      </c>
      <c r="Q6" s="2704" t="s">
        <v>20</v>
      </c>
      <c r="R6" s="2706" t="s">
        <v>21</v>
      </c>
      <c r="S6" s="2688" t="s">
        <v>22</v>
      </c>
      <c r="T6" s="2688" t="s">
        <v>23</v>
      </c>
      <c r="U6" s="2688" t="s">
        <v>24</v>
      </c>
      <c r="V6" s="2709" t="s">
        <v>21</v>
      </c>
      <c r="W6" s="2682" t="s">
        <v>11</v>
      </c>
      <c r="X6" s="2688" t="s">
        <v>25</v>
      </c>
      <c r="Y6" s="2696" t="s">
        <v>26</v>
      </c>
      <c r="Z6" s="2697"/>
      <c r="AA6" s="2698" t="s">
        <v>27</v>
      </c>
      <c r="AB6" s="2699"/>
      <c r="AC6" s="2699"/>
      <c r="AD6" s="2699"/>
      <c r="AE6" s="2700" t="s">
        <v>28</v>
      </c>
      <c r="AF6" s="2701"/>
      <c r="AG6" s="2701"/>
      <c r="AH6" s="2701"/>
      <c r="AI6" s="2701"/>
      <c r="AJ6" s="2701"/>
      <c r="AK6" s="2702" t="s">
        <v>29</v>
      </c>
      <c r="AL6" s="2703"/>
      <c r="AM6" s="2703"/>
      <c r="AN6" s="2692" t="s">
        <v>30</v>
      </c>
      <c r="AO6" s="2694" t="s">
        <v>31</v>
      </c>
      <c r="AP6" s="2694" t="s">
        <v>32</v>
      </c>
      <c r="AQ6" s="2690" t="s">
        <v>33</v>
      </c>
      <c r="AT6" s="131"/>
      <c r="AU6" s="131"/>
      <c r="AV6" s="131"/>
      <c r="AW6" s="131"/>
      <c r="AX6" s="131"/>
      <c r="AY6" s="131"/>
      <c r="AZ6" s="131"/>
      <c r="BA6" s="131"/>
      <c r="BB6" s="131"/>
      <c r="BC6" s="131"/>
      <c r="BD6" s="131"/>
      <c r="BE6" s="131"/>
      <c r="BF6" s="131"/>
      <c r="BG6" s="131"/>
      <c r="BH6" s="131"/>
      <c r="BI6" s="131"/>
      <c r="BJ6" s="131"/>
      <c r="BK6" s="131"/>
    </row>
    <row r="7" spans="1:63" s="138" customFormat="1" ht="115.5" customHeight="1" x14ac:dyDescent="0.25">
      <c r="A7" s="2683"/>
      <c r="B7" s="2686"/>
      <c r="C7" s="2687"/>
      <c r="D7" s="2689"/>
      <c r="E7" s="2686"/>
      <c r="F7" s="2687"/>
      <c r="G7" s="2689"/>
      <c r="H7" s="2686"/>
      <c r="I7" s="2687"/>
      <c r="J7" s="2689"/>
      <c r="K7" s="2689"/>
      <c r="L7" s="2689"/>
      <c r="M7" s="2708"/>
      <c r="N7" s="2689"/>
      <c r="O7" s="2689"/>
      <c r="P7" s="2689"/>
      <c r="Q7" s="2705"/>
      <c r="R7" s="2707"/>
      <c r="S7" s="2689"/>
      <c r="T7" s="2689"/>
      <c r="U7" s="2689"/>
      <c r="V7" s="2710"/>
      <c r="W7" s="2683"/>
      <c r="X7" s="2689"/>
      <c r="Y7" s="134" t="s">
        <v>34</v>
      </c>
      <c r="Z7" s="135" t="s">
        <v>35</v>
      </c>
      <c r="AA7" s="134" t="s">
        <v>36</v>
      </c>
      <c r="AB7" s="134" t="s">
        <v>115</v>
      </c>
      <c r="AC7" s="134" t="s">
        <v>116</v>
      </c>
      <c r="AD7" s="134" t="s">
        <v>117</v>
      </c>
      <c r="AE7" s="134" t="s">
        <v>40</v>
      </c>
      <c r="AF7" s="134" t="s">
        <v>41</v>
      </c>
      <c r="AG7" s="134" t="s">
        <v>42</v>
      </c>
      <c r="AH7" s="134" t="s">
        <v>43</v>
      </c>
      <c r="AI7" s="134" t="s">
        <v>44</v>
      </c>
      <c r="AJ7" s="134" t="s">
        <v>118</v>
      </c>
      <c r="AK7" s="136" t="s">
        <v>46</v>
      </c>
      <c r="AL7" s="136" t="s">
        <v>47</v>
      </c>
      <c r="AM7" s="136" t="s">
        <v>48</v>
      </c>
      <c r="AN7" s="2693"/>
      <c r="AO7" s="2695"/>
      <c r="AP7" s="2695"/>
      <c r="AQ7" s="2691"/>
      <c r="AR7" s="1781"/>
      <c r="AS7" s="1781"/>
      <c r="AT7" s="1599"/>
      <c r="AU7" s="1599"/>
      <c r="AV7" s="1599"/>
      <c r="AW7" s="1599"/>
      <c r="AX7" s="1599"/>
      <c r="AY7" s="1599"/>
      <c r="AZ7" s="1599"/>
      <c r="BA7" s="1599"/>
      <c r="BB7" s="1599"/>
      <c r="BC7" s="1599"/>
      <c r="BD7" s="1599"/>
      <c r="BE7" s="1599"/>
      <c r="BF7" s="1599"/>
      <c r="BG7" s="1599"/>
      <c r="BH7" s="1599"/>
      <c r="BI7" s="1599"/>
      <c r="BJ7" s="1599"/>
      <c r="BK7" s="1599"/>
    </row>
    <row r="8" spans="1:63" ht="15.75" customHeight="1" x14ac:dyDescent="0.2">
      <c r="A8" s="139">
        <v>5</v>
      </c>
      <c r="B8" s="2675" t="s">
        <v>49</v>
      </c>
      <c r="C8" s="2675"/>
      <c r="D8" s="2675"/>
      <c r="E8" s="2675"/>
      <c r="F8" s="2675"/>
      <c r="G8" s="2675"/>
      <c r="H8" s="2675"/>
      <c r="I8" s="2675"/>
      <c r="J8" s="2675"/>
      <c r="K8" s="2675"/>
      <c r="L8" s="140"/>
      <c r="M8" s="140"/>
      <c r="N8" s="141"/>
      <c r="O8" s="141"/>
      <c r="P8" s="140"/>
      <c r="Q8" s="142"/>
      <c r="R8" s="143"/>
      <c r="S8" s="140"/>
      <c r="T8" s="140"/>
      <c r="U8" s="144"/>
      <c r="V8" s="1256"/>
      <c r="W8" s="145"/>
      <c r="X8" s="141"/>
      <c r="Y8" s="146"/>
      <c r="Z8" s="146"/>
      <c r="AA8" s="146"/>
      <c r="AB8" s="146"/>
      <c r="AC8" s="146"/>
      <c r="AD8" s="146"/>
      <c r="AE8" s="146"/>
      <c r="AF8" s="146"/>
      <c r="AG8" s="146"/>
      <c r="AH8" s="146"/>
      <c r="AI8" s="146"/>
      <c r="AJ8" s="146"/>
      <c r="AK8" s="146"/>
      <c r="AL8" s="146"/>
      <c r="AM8" s="146"/>
      <c r="AN8" s="146"/>
      <c r="AO8" s="147"/>
      <c r="AP8" s="147"/>
      <c r="AQ8" s="148"/>
      <c r="AT8" s="131"/>
      <c r="AU8" s="131"/>
      <c r="AV8" s="131"/>
      <c r="AW8" s="131"/>
      <c r="AX8" s="131"/>
      <c r="AY8" s="131"/>
      <c r="AZ8" s="131"/>
      <c r="BA8" s="131"/>
      <c r="BB8" s="131"/>
      <c r="BC8" s="131"/>
      <c r="BD8" s="131"/>
      <c r="BE8" s="131"/>
      <c r="BF8" s="131"/>
      <c r="BG8" s="131"/>
      <c r="BH8" s="131"/>
      <c r="BI8" s="131"/>
      <c r="BJ8" s="131"/>
      <c r="BK8" s="131"/>
    </row>
    <row r="9" spans="1:63" s="131" customFormat="1" ht="23.25" customHeight="1" x14ac:dyDescent="0.2">
      <c r="A9" s="149"/>
      <c r="B9" s="150"/>
      <c r="C9" s="151"/>
      <c r="D9" s="152">
        <v>26</v>
      </c>
      <c r="E9" s="2676" t="s">
        <v>119</v>
      </c>
      <c r="F9" s="2676"/>
      <c r="G9" s="2676"/>
      <c r="H9" s="2676"/>
      <c r="I9" s="2676"/>
      <c r="J9" s="2676"/>
      <c r="K9" s="2676"/>
      <c r="L9" s="153"/>
      <c r="M9" s="153"/>
      <c r="N9" s="154"/>
      <c r="O9" s="154"/>
      <c r="P9" s="153"/>
      <c r="Q9" s="155"/>
      <c r="R9" s="156"/>
      <c r="S9" s="153"/>
      <c r="T9" s="153"/>
      <c r="U9" s="157"/>
      <c r="V9" s="1257"/>
      <c r="W9" s="158"/>
      <c r="X9" s="154"/>
      <c r="Y9" s="159"/>
      <c r="Z9" s="159"/>
      <c r="AA9" s="159"/>
      <c r="AB9" s="159"/>
      <c r="AC9" s="159"/>
      <c r="AD9" s="159"/>
      <c r="AE9" s="159"/>
      <c r="AF9" s="159"/>
      <c r="AG9" s="159"/>
      <c r="AH9" s="159"/>
      <c r="AI9" s="159"/>
      <c r="AJ9" s="159"/>
      <c r="AK9" s="159"/>
      <c r="AL9" s="159"/>
      <c r="AM9" s="159"/>
      <c r="AN9" s="159"/>
      <c r="AO9" s="160"/>
      <c r="AP9" s="160"/>
      <c r="AQ9" s="161"/>
      <c r="AR9" s="1721"/>
      <c r="AS9" s="1721"/>
    </row>
    <row r="10" spans="1:63" s="131" customFormat="1" ht="25.5" customHeight="1" x14ac:dyDescent="0.2">
      <c r="A10" s="162"/>
      <c r="B10" s="163"/>
      <c r="C10" s="163"/>
      <c r="D10" s="164"/>
      <c r="E10" s="150"/>
      <c r="F10" s="151"/>
      <c r="G10" s="165">
        <v>83</v>
      </c>
      <c r="H10" s="2672" t="s">
        <v>120</v>
      </c>
      <c r="I10" s="2672"/>
      <c r="J10" s="2672"/>
      <c r="K10" s="2672"/>
      <c r="L10" s="166"/>
      <c r="M10" s="166"/>
      <c r="N10" s="167"/>
      <c r="O10" s="167"/>
      <c r="P10" s="166"/>
      <c r="Q10" s="168"/>
      <c r="R10" s="169"/>
      <c r="S10" s="166"/>
      <c r="T10" s="166"/>
      <c r="U10" s="170"/>
      <c r="V10" s="732"/>
      <c r="W10" s="171"/>
      <c r="X10" s="167"/>
      <c r="Y10" s="172"/>
      <c r="Z10" s="172"/>
      <c r="AA10" s="172"/>
      <c r="AB10" s="172"/>
      <c r="AC10" s="172"/>
      <c r="AD10" s="172"/>
      <c r="AE10" s="172"/>
      <c r="AF10" s="172"/>
      <c r="AG10" s="172"/>
      <c r="AH10" s="172"/>
      <c r="AI10" s="172"/>
      <c r="AJ10" s="172"/>
      <c r="AK10" s="172"/>
      <c r="AL10" s="172"/>
      <c r="AM10" s="172"/>
      <c r="AN10" s="172"/>
      <c r="AO10" s="173"/>
      <c r="AP10" s="173"/>
      <c r="AQ10" s="174"/>
      <c r="AR10" s="1721"/>
      <c r="AS10" s="1721"/>
    </row>
    <row r="11" spans="1:63" ht="230.25" customHeight="1" x14ac:dyDescent="0.2">
      <c r="A11" s="175"/>
      <c r="B11" s="1436"/>
      <c r="C11" s="1436"/>
      <c r="D11" s="1437"/>
      <c r="E11" s="1436"/>
      <c r="F11" s="1452"/>
      <c r="G11" s="1376"/>
      <c r="H11" s="1436"/>
      <c r="I11" s="1436"/>
      <c r="J11" s="2520">
        <v>246</v>
      </c>
      <c r="K11" s="2513" t="s">
        <v>121</v>
      </c>
      <c r="L11" s="2513" t="s">
        <v>122</v>
      </c>
      <c r="M11" s="2520">
        <v>13</v>
      </c>
      <c r="N11" s="2520" t="s">
        <v>123</v>
      </c>
      <c r="O11" s="2520" t="s">
        <v>124</v>
      </c>
      <c r="P11" s="2513" t="s">
        <v>125</v>
      </c>
      <c r="Q11" s="2711">
        <v>1</v>
      </c>
      <c r="R11" s="2677">
        <f>SUM(V11:V32)</f>
        <v>17500000</v>
      </c>
      <c r="S11" s="2514" t="s">
        <v>126</v>
      </c>
      <c r="T11" s="1187" t="s">
        <v>127</v>
      </c>
      <c r="U11" s="1443" t="s">
        <v>128</v>
      </c>
      <c r="V11" s="730">
        <v>1200000</v>
      </c>
      <c r="W11" s="1449">
        <v>20</v>
      </c>
      <c r="X11" s="1450" t="s">
        <v>129</v>
      </c>
      <c r="Y11" s="2649">
        <v>294321</v>
      </c>
      <c r="Z11" s="2670">
        <v>283947</v>
      </c>
      <c r="AA11" s="2649">
        <v>135754</v>
      </c>
      <c r="AB11" s="2649">
        <v>44640</v>
      </c>
      <c r="AC11" s="2649">
        <v>308178</v>
      </c>
      <c r="AD11" s="2649">
        <v>89696</v>
      </c>
      <c r="AE11" s="2649">
        <v>2145</v>
      </c>
      <c r="AF11" s="2649">
        <v>12718</v>
      </c>
      <c r="AG11" s="2649">
        <v>26</v>
      </c>
      <c r="AH11" s="2649">
        <v>37</v>
      </c>
      <c r="AI11" s="2649"/>
      <c r="AJ11" s="2649"/>
      <c r="AK11" s="2649">
        <v>54612</v>
      </c>
      <c r="AL11" s="2649">
        <v>21944</v>
      </c>
      <c r="AM11" s="2649">
        <v>1010</v>
      </c>
      <c r="AN11" s="2649">
        <f>+Y11+Z11</f>
        <v>578268</v>
      </c>
      <c r="AO11" s="2563">
        <v>43102</v>
      </c>
      <c r="AP11" s="2563">
        <v>43465</v>
      </c>
      <c r="AQ11" s="2510" t="s">
        <v>130</v>
      </c>
    </row>
    <row r="12" spans="1:63" ht="28.5" x14ac:dyDescent="0.2">
      <c r="A12" s="175"/>
      <c r="B12" s="1436"/>
      <c r="C12" s="1436"/>
      <c r="D12" s="1437"/>
      <c r="E12" s="1436"/>
      <c r="F12" s="1452"/>
      <c r="G12" s="1437"/>
      <c r="H12" s="1436"/>
      <c r="I12" s="1436"/>
      <c r="J12" s="2520"/>
      <c r="K12" s="2513"/>
      <c r="L12" s="2513"/>
      <c r="M12" s="2520"/>
      <c r="N12" s="2520"/>
      <c r="O12" s="2520"/>
      <c r="P12" s="2513"/>
      <c r="Q12" s="2711"/>
      <c r="R12" s="2677"/>
      <c r="S12" s="2645"/>
      <c r="T12" s="2674" t="s">
        <v>131</v>
      </c>
      <c r="U12" s="1188" t="s">
        <v>132</v>
      </c>
      <c r="V12" s="730">
        <v>360000</v>
      </c>
      <c r="W12" s="1449">
        <v>20</v>
      </c>
      <c r="X12" s="1450" t="s">
        <v>129</v>
      </c>
      <c r="Y12" s="2649"/>
      <c r="Z12" s="2670"/>
      <c r="AA12" s="2649"/>
      <c r="AB12" s="2649"/>
      <c r="AC12" s="2649"/>
      <c r="AD12" s="2649"/>
      <c r="AE12" s="2649"/>
      <c r="AF12" s="2649"/>
      <c r="AG12" s="2649"/>
      <c r="AH12" s="2649"/>
      <c r="AI12" s="2649"/>
      <c r="AJ12" s="2649"/>
      <c r="AK12" s="2649"/>
      <c r="AL12" s="2649"/>
      <c r="AM12" s="2649"/>
      <c r="AN12" s="2649"/>
      <c r="AO12" s="2563"/>
      <c r="AP12" s="2563"/>
      <c r="AQ12" s="2510"/>
    </row>
    <row r="13" spans="1:63" ht="42.75" x14ac:dyDescent="0.2">
      <c r="A13" s="175"/>
      <c r="B13" s="1436"/>
      <c r="C13" s="1436"/>
      <c r="D13" s="1437"/>
      <c r="E13" s="1436"/>
      <c r="F13" s="1452"/>
      <c r="G13" s="1437"/>
      <c r="H13" s="1436"/>
      <c r="I13" s="1436"/>
      <c r="J13" s="2520"/>
      <c r="K13" s="2513"/>
      <c r="L13" s="2513"/>
      <c r="M13" s="2520"/>
      <c r="N13" s="2520"/>
      <c r="O13" s="2520"/>
      <c r="P13" s="2513"/>
      <c r="Q13" s="2711"/>
      <c r="R13" s="2677"/>
      <c r="S13" s="2645"/>
      <c r="T13" s="2674"/>
      <c r="U13" s="1188" t="s">
        <v>133</v>
      </c>
      <c r="V13" s="730">
        <v>300000</v>
      </c>
      <c r="W13" s="1449">
        <v>20</v>
      </c>
      <c r="X13" s="1450" t="s">
        <v>129</v>
      </c>
      <c r="Y13" s="2649"/>
      <c r="Z13" s="2670"/>
      <c r="AA13" s="2649"/>
      <c r="AB13" s="2649"/>
      <c r="AC13" s="2649"/>
      <c r="AD13" s="2649"/>
      <c r="AE13" s="2649"/>
      <c r="AF13" s="2649"/>
      <c r="AG13" s="2649"/>
      <c r="AH13" s="2649"/>
      <c r="AI13" s="2649"/>
      <c r="AJ13" s="2649"/>
      <c r="AK13" s="2649"/>
      <c r="AL13" s="2649"/>
      <c r="AM13" s="2649"/>
      <c r="AN13" s="2649"/>
      <c r="AO13" s="2563"/>
      <c r="AP13" s="2563"/>
      <c r="AQ13" s="2510"/>
    </row>
    <row r="14" spans="1:63" ht="129.75" customHeight="1" x14ac:dyDescent="0.2">
      <c r="A14" s="175"/>
      <c r="B14" s="1436"/>
      <c r="C14" s="1436"/>
      <c r="D14" s="1437"/>
      <c r="E14" s="1436"/>
      <c r="F14" s="1452"/>
      <c r="G14" s="1437"/>
      <c r="H14" s="1436"/>
      <c r="I14" s="1436"/>
      <c r="J14" s="2520"/>
      <c r="K14" s="2513"/>
      <c r="L14" s="2513"/>
      <c r="M14" s="2520"/>
      <c r="N14" s="2520"/>
      <c r="O14" s="2520"/>
      <c r="P14" s="2513"/>
      <c r="Q14" s="2711"/>
      <c r="R14" s="2677"/>
      <c r="S14" s="2645"/>
      <c r="T14" s="2674"/>
      <c r="U14" s="729" t="s">
        <v>134</v>
      </c>
      <c r="V14" s="730">
        <v>360000</v>
      </c>
      <c r="W14" s="1449">
        <v>20</v>
      </c>
      <c r="X14" s="1450" t="s">
        <v>129</v>
      </c>
      <c r="Y14" s="2649"/>
      <c r="Z14" s="2670"/>
      <c r="AA14" s="2649"/>
      <c r="AB14" s="2649"/>
      <c r="AC14" s="2649"/>
      <c r="AD14" s="2649"/>
      <c r="AE14" s="2649"/>
      <c r="AF14" s="2649"/>
      <c r="AG14" s="2649"/>
      <c r="AH14" s="2649"/>
      <c r="AI14" s="2649"/>
      <c r="AJ14" s="2649"/>
      <c r="AK14" s="2649"/>
      <c r="AL14" s="2649"/>
      <c r="AM14" s="2649"/>
      <c r="AN14" s="2649"/>
      <c r="AO14" s="2563"/>
      <c r="AP14" s="2563"/>
      <c r="AQ14" s="2510"/>
    </row>
    <row r="15" spans="1:63" ht="67.5" customHeight="1" x14ac:dyDescent="0.2">
      <c r="A15" s="175"/>
      <c r="B15" s="1436"/>
      <c r="C15" s="1436"/>
      <c r="D15" s="1437"/>
      <c r="E15" s="1436"/>
      <c r="F15" s="1452"/>
      <c r="G15" s="1437"/>
      <c r="H15" s="1436"/>
      <c r="I15" s="1436"/>
      <c r="J15" s="2520"/>
      <c r="K15" s="2513"/>
      <c r="L15" s="2513"/>
      <c r="M15" s="2520"/>
      <c r="N15" s="2520"/>
      <c r="O15" s="2520"/>
      <c r="P15" s="2513"/>
      <c r="Q15" s="2711"/>
      <c r="R15" s="2677"/>
      <c r="S15" s="2645"/>
      <c r="T15" s="2674"/>
      <c r="U15" s="729" t="s">
        <v>135</v>
      </c>
      <c r="V15" s="730">
        <v>360000</v>
      </c>
      <c r="W15" s="1449">
        <v>20</v>
      </c>
      <c r="X15" s="1450" t="s">
        <v>129</v>
      </c>
      <c r="Y15" s="2649"/>
      <c r="Z15" s="2670"/>
      <c r="AA15" s="2649"/>
      <c r="AB15" s="2649"/>
      <c r="AC15" s="2649"/>
      <c r="AD15" s="2649"/>
      <c r="AE15" s="2649"/>
      <c r="AF15" s="2649"/>
      <c r="AG15" s="2649"/>
      <c r="AH15" s="2649"/>
      <c r="AI15" s="2649"/>
      <c r="AJ15" s="2649"/>
      <c r="AK15" s="2649"/>
      <c r="AL15" s="2649"/>
      <c r="AM15" s="2649"/>
      <c r="AN15" s="2649"/>
      <c r="AO15" s="2563"/>
      <c r="AP15" s="2563"/>
      <c r="AQ15" s="2510"/>
    </row>
    <row r="16" spans="1:63" ht="208.5" customHeight="1" x14ac:dyDescent="0.2">
      <c r="A16" s="175"/>
      <c r="B16" s="1436"/>
      <c r="C16" s="1436"/>
      <c r="D16" s="1437"/>
      <c r="E16" s="1436"/>
      <c r="F16" s="1452"/>
      <c r="G16" s="1437"/>
      <c r="H16" s="1436"/>
      <c r="I16" s="1436"/>
      <c r="J16" s="2520"/>
      <c r="K16" s="2513"/>
      <c r="L16" s="2513"/>
      <c r="M16" s="2520"/>
      <c r="N16" s="2520"/>
      <c r="O16" s="2520"/>
      <c r="P16" s="2513"/>
      <c r="Q16" s="2711"/>
      <c r="R16" s="2677"/>
      <c r="S16" s="2645"/>
      <c r="T16" s="2674"/>
      <c r="U16" s="729" t="s">
        <v>136</v>
      </c>
      <c r="V16" s="730">
        <v>360000</v>
      </c>
      <c r="W16" s="1449">
        <v>20</v>
      </c>
      <c r="X16" s="1450" t="s">
        <v>129</v>
      </c>
      <c r="Y16" s="2649"/>
      <c r="Z16" s="2670"/>
      <c r="AA16" s="2649"/>
      <c r="AB16" s="2649"/>
      <c r="AC16" s="2649"/>
      <c r="AD16" s="2649"/>
      <c r="AE16" s="2649"/>
      <c r="AF16" s="2649"/>
      <c r="AG16" s="2649"/>
      <c r="AH16" s="2649"/>
      <c r="AI16" s="2649"/>
      <c r="AJ16" s="2649"/>
      <c r="AK16" s="2649"/>
      <c r="AL16" s="2649"/>
      <c r="AM16" s="2649"/>
      <c r="AN16" s="2649"/>
      <c r="AO16" s="2563"/>
      <c r="AP16" s="2563"/>
      <c r="AQ16" s="2510"/>
    </row>
    <row r="17" spans="1:43" ht="36" customHeight="1" x14ac:dyDescent="0.2">
      <c r="A17" s="175"/>
      <c r="B17" s="1436"/>
      <c r="C17" s="1436"/>
      <c r="D17" s="1437"/>
      <c r="E17" s="1436"/>
      <c r="F17" s="1452"/>
      <c r="G17" s="1437"/>
      <c r="H17" s="1436"/>
      <c r="I17" s="1436"/>
      <c r="J17" s="2520"/>
      <c r="K17" s="2513"/>
      <c r="L17" s="2513"/>
      <c r="M17" s="2520"/>
      <c r="N17" s="2520"/>
      <c r="O17" s="2520"/>
      <c r="P17" s="2513"/>
      <c r="Q17" s="2711"/>
      <c r="R17" s="2677"/>
      <c r="S17" s="2645"/>
      <c r="T17" s="2674"/>
      <c r="U17" s="729" t="s">
        <v>137</v>
      </c>
      <c r="V17" s="730">
        <v>360000</v>
      </c>
      <c r="W17" s="1449">
        <v>20</v>
      </c>
      <c r="X17" s="1450" t="s">
        <v>129</v>
      </c>
      <c r="Y17" s="2649"/>
      <c r="Z17" s="2670"/>
      <c r="AA17" s="2649"/>
      <c r="AB17" s="2649"/>
      <c r="AC17" s="2649"/>
      <c r="AD17" s="2649"/>
      <c r="AE17" s="2649"/>
      <c r="AF17" s="2649"/>
      <c r="AG17" s="2649"/>
      <c r="AH17" s="2649"/>
      <c r="AI17" s="2649"/>
      <c r="AJ17" s="2649"/>
      <c r="AK17" s="2649"/>
      <c r="AL17" s="2649"/>
      <c r="AM17" s="2649"/>
      <c r="AN17" s="2649"/>
      <c r="AO17" s="2563"/>
      <c r="AP17" s="2563"/>
      <c r="AQ17" s="2510"/>
    </row>
    <row r="18" spans="1:43" ht="36" customHeight="1" x14ac:dyDescent="0.2">
      <c r="A18" s="175"/>
      <c r="B18" s="1436"/>
      <c r="C18" s="1436"/>
      <c r="D18" s="1437"/>
      <c r="E18" s="1436"/>
      <c r="F18" s="1452"/>
      <c r="G18" s="1437"/>
      <c r="H18" s="1436"/>
      <c r="I18" s="1436"/>
      <c r="J18" s="2520"/>
      <c r="K18" s="2513"/>
      <c r="L18" s="2513"/>
      <c r="M18" s="2520"/>
      <c r="N18" s="2520"/>
      <c r="O18" s="2520"/>
      <c r="P18" s="2513"/>
      <c r="Q18" s="2711"/>
      <c r="R18" s="2677"/>
      <c r="S18" s="2645"/>
      <c r="T18" s="2674"/>
      <c r="U18" s="729" t="s">
        <v>138</v>
      </c>
      <c r="V18" s="730">
        <v>360000</v>
      </c>
      <c r="W18" s="1449">
        <v>20</v>
      </c>
      <c r="X18" s="1450" t="s">
        <v>129</v>
      </c>
      <c r="Y18" s="2649"/>
      <c r="Z18" s="2670"/>
      <c r="AA18" s="2649"/>
      <c r="AB18" s="2649"/>
      <c r="AC18" s="2649"/>
      <c r="AD18" s="2649"/>
      <c r="AE18" s="2649"/>
      <c r="AF18" s="2649"/>
      <c r="AG18" s="2649"/>
      <c r="AH18" s="2649"/>
      <c r="AI18" s="2649"/>
      <c r="AJ18" s="2649"/>
      <c r="AK18" s="2649"/>
      <c r="AL18" s="2649"/>
      <c r="AM18" s="2649"/>
      <c r="AN18" s="2649"/>
      <c r="AO18" s="2563"/>
      <c r="AP18" s="2563"/>
      <c r="AQ18" s="2510"/>
    </row>
    <row r="19" spans="1:43" ht="32.25" customHeight="1" x14ac:dyDescent="0.2">
      <c r="A19" s="175"/>
      <c r="B19" s="1436"/>
      <c r="C19" s="1436"/>
      <c r="D19" s="1437"/>
      <c r="E19" s="1436"/>
      <c r="F19" s="1452"/>
      <c r="G19" s="1437"/>
      <c r="H19" s="1436"/>
      <c r="I19" s="1436"/>
      <c r="J19" s="2520"/>
      <c r="K19" s="2513"/>
      <c r="L19" s="2513"/>
      <c r="M19" s="2520"/>
      <c r="N19" s="2520"/>
      <c r="O19" s="2520"/>
      <c r="P19" s="2513"/>
      <c r="Q19" s="2711"/>
      <c r="R19" s="2677"/>
      <c r="S19" s="2645"/>
      <c r="T19" s="2674"/>
      <c r="U19" s="729" t="s">
        <v>139</v>
      </c>
      <c r="V19" s="730">
        <v>360000</v>
      </c>
      <c r="W19" s="1449">
        <v>20</v>
      </c>
      <c r="X19" s="1450" t="s">
        <v>129</v>
      </c>
      <c r="Y19" s="2649"/>
      <c r="Z19" s="2670"/>
      <c r="AA19" s="2649"/>
      <c r="AB19" s="2649"/>
      <c r="AC19" s="2649"/>
      <c r="AD19" s="2649"/>
      <c r="AE19" s="2649"/>
      <c r="AF19" s="2649"/>
      <c r="AG19" s="2649"/>
      <c r="AH19" s="2649"/>
      <c r="AI19" s="2649"/>
      <c r="AJ19" s="2649"/>
      <c r="AK19" s="2649"/>
      <c r="AL19" s="2649"/>
      <c r="AM19" s="2649"/>
      <c r="AN19" s="2649"/>
      <c r="AO19" s="2563"/>
      <c r="AP19" s="2563"/>
      <c r="AQ19" s="2510"/>
    </row>
    <row r="20" spans="1:43" ht="33.75" customHeight="1" x14ac:dyDescent="0.2">
      <c r="A20" s="175"/>
      <c r="B20" s="1436"/>
      <c r="C20" s="1436"/>
      <c r="D20" s="1437"/>
      <c r="E20" s="1436"/>
      <c r="F20" s="1452"/>
      <c r="G20" s="1437"/>
      <c r="H20" s="1436"/>
      <c r="I20" s="1436"/>
      <c r="J20" s="2520"/>
      <c r="K20" s="2513"/>
      <c r="L20" s="2513"/>
      <c r="M20" s="2520"/>
      <c r="N20" s="2520"/>
      <c r="O20" s="2520"/>
      <c r="P20" s="2513"/>
      <c r="Q20" s="2711"/>
      <c r="R20" s="2677"/>
      <c r="S20" s="2645"/>
      <c r="T20" s="2674"/>
      <c r="U20" s="729" t="s">
        <v>140</v>
      </c>
      <c r="V20" s="730">
        <v>360000</v>
      </c>
      <c r="W20" s="1449">
        <v>20</v>
      </c>
      <c r="X20" s="1450" t="s">
        <v>129</v>
      </c>
      <c r="Y20" s="2649"/>
      <c r="Z20" s="2670"/>
      <c r="AA20" s="2649"/>
      <c r="AB20" s="2649"/>
      <c r="AC20" s="2649"/>
      <c r="AD20" s="2649"/>
      <c r="AE20" s="2649"/>
      <c r="AF20" s="2649"/>
      <c r="AG20" s="2649"/>
      <c r="AH20" s="2649"/>
      <c r="AI20" s="2649"/>
      <c r="AJ20" s="2649"/>
      <c r="AK20" s="2649"/>
      <c r="AL20" s="2649"/>
      <c r="AM20" s="2649"/>
      <c r="AN20" s="2649"/>
      <c r="AO20" s="2563"/>
      <c r="AP20" s="2563"/>
      <c r="AQ20" s="2510"/>
    </row>
    <row r="21" spans="1:43" ht="85.5" x14ac:dyDescent="0.2">
      <c r="A21" s="175"/>
      <c r="B21" s="1436"/>
      <c r="C21" s="1436"/>
      <c r="D21" s="1437"/>
      <c r="E21" s="1436"/>
      <c r="F21" s="1452"/>
      <c r="G21" s="1437"/>
      <c r="H21" s="1436"/>
      <c r="I21" s="1436"/>
      <c r="J21" s="2520"/>
      <c r="K21" s="2513"/>
      <c r="L21" s="2513"/>
      <c r="M21" s="2520"/>
      <c r="N21" s="2520"/>
      <c r="O21" s="2520"/>
      <c r="P21" s="2513"/>
      <c r="Q21" s="2711"/>
      <c r="R21" s="2677"/>
      <c r="S21" s="2645"/>
      <c r="T21" s="2674"/>
      <c r="U21" s="729" t="s">
        <v>141</v>
      </c>
      <c r="V21" s="730">
        <v>360000</v>
      </c>
      <c r="W21" s="1449">
        <v>20</v>
      </c>
      <c r="X21" s="1450" t="s">
        <v>129</v>
      </c>
      <c r="Y21" s="2649"/>
      <c r="Z21" s="2670"/>
      <c r="AA21" s="2649"/>
      <c r="AB21" s="2649"/>
      <c r="AC21" s="2649"/>
      <c r="AD21" s="2649"/>
      <c r="AE21" s="2649"/>
      <c r="AF21" s="2649"/>
      <c r="AG21" s="2649"/>
      <c r="AH21" s="2649"/>
      <c r="AI21" s="2649"/>
      <c r="AJ21" s="2649"/>
      <c r="AK21" s="2649"/>
      <c r="AL21" s="2649"/>
      <c r="AM21" s="2649"/>
      <c r="AN21" s="2649"/>
      <c r="AO21" s="2563"/>
      <c r="AP21" s="2563"/>
      <c r="AQ21" s="2510"/>
    </row>
    <row r="22" spans="1:43" ht="28.5" x14ac:dyDescent="0.2">
      <c r="A22" s="175"/>
      <c r="B22" s="1436"/>
      <c r="C22" s="1436"/>
      <c r="D22" s="1437"/>
      <c r="E22" s="1436"/>
      <c r="F22" s="1452"/>
      <c r="G22" s="1437"/>
      <c r="H22" s="1436"/>
      <c r="I22" s="1436"/>
      <c r="J22" s="2520"/>
      <c r="K22" s="2513"/>
      <c r="L22" s="2513"/>
      <c r="M22" s="2520"/>
      <c r="N22" s="2520"/>
      <c r="O22" s="2520"/>
      <c r="P22" s="2513"/>
      <c r="Q22" s="2711"/>
      <c r="R22" s="2677"/>
      <c r="S22" s="2645"/>
      <c r="T22" s="2674"/>
      <c r="U22" s="729" t="s">
        <v>142</v>
      </c>
      <c r="V22" s="1177">
        <v>360000</v>
      </c>
      <c r="W22" s="1449">
        <v>20</v>
      </c>
      <c r="X22" s="1450" t="s">
        <v>129</v>
      </c>
      <c r="Y22" s="2649"/>
      <c r="Z22" s="2670"/>
      <c r="AA22" s="2649"/>
      <c r="AB22" s="2649"/>
      <c r="AC22" s="2649"/>
      <c r="AD22" s="2649"/>
      <c r="AE22" s="2649"/>
      <c r="AF22" s="2649"/>
      <c r="AG22" s="2649"/>
      <c r="AH22" s="2649"/>
      <c r="AI22" s="2649"/>
      <c r="AJ22" s="2649"/>
      <c r="AK22" s="2649"/>
      <c r="AL22" s="2649"/>
      <c r="AM22" s="2649"/>
      <c r="AN22" s="2649"/>
      <c r="AO22" s="2563"/>
      <c r="AP22" s="2563"/>
      <c r="AQ22" s="2510"/>
    </row>
    <row r="23" spans="1:43" ht="22.5" customHeight="1" x14ac:dyDescent="0.2">
      <c r="A23" s="175"/>
      <c r="B23" s="1436"/>
      <c r="C23" s="1436"/>
      <c r="D23" s="1437"/>
      <c r="E23" s="1436"/>
      <c r="F23" s="1452"/>
      <c r="G23" s="1437"/>
      <c r="H23" s="1436"/>
      <c r="I23" s="1436"/>
      <c r="J23" s="2520"/>
      <c r="K23" s="2513"/>
      <c r="L23" s="2513"/>
      <c r="M23" s="2520"/>
      <c r="N23" s="2520"/>
      <c r="O23" s="2520"/>
      <c r="P23" s="2513"/>
      <c r="Q23" s="2711"/>
      <c r="R23" s="2677"/>
      <c r="S23" s="2645"/>
      <c r="T23" s="2674"/>
      <c r="U23" s="729" t="s">
        <v>143</v>
      </c>
      <c r="V23" s="1177">
        <v>360000</v>
      </c>
      <c r="W23" s="1449">
        <v>20</v>
      </c>
      <c r="X23" s="1450" t="s">
        <v>129</v>
      </c>
      <c r="Y23" s="2649"/>
      <c r="Z23" s="2670"/>
      <c r="AA23" s="2649"/>
      <c r="AB23" s="2649"/>
      <c r="AC23" s="2649"/>
      <c r="AD23" s="2649"/>
      <c r="AE23" s="2649"/>
      <c r="AF23" s="2649"/>
      <c r="AG23" s="2649"/>
      <c r="AH23" s="2649"/>
      <c r="AI23" s="2649"/>
      <c r="AJ23" s="2649"/>
      <c r="AK23" s="2649"/>
      <c r="AL23" s="2649"/>
      <c r="AM23" s="2649"/>
      <c r="AN23" s="2649"/>
      <c r="AO23" s="2563"/>
      <c r="AP23" s="2563"/>
      <c r="AQ23" s="2510"/>
    </row>
    <row r="24" spans="1:43" ht="22.5" customHeight="1" x14ac:dyDescent="0.2">
      <c r="A24" s="175"/>
      <c r="B24" s="1436"/>
      <c r="C24" s="1436"/>
      <c r="D24" s="1437"/>
      <c r="E24" s="1436"/>
      <c r="F24" s="1452"/>
      <c r="G24" s="1437"/>
      <c r="H24" s="1436"/>
      <c r="I24" s="1436"/>
      <c r="J24" s="2520"/>
      <c r="K24" s="2513"/>
      <c r="L24" s="2513"/>
      <c r="M24" s="2520"/>
      <c r="N24" s="2520"/>
      <c r="O24" s="2520"/>
      <c r="P24" s="2513"/>
      <c r="Q24" s="2711"/>
      <c r="R24" s="2677"/>
      <c r="S24" s="2645"/>
      <c r="T24" s="2674"/>
      <c r="U24" s="729" t="s">
        <v>144</v>
      </c>
      <c r="V24" s="1177">
        <v>360000</v>
      </c>
      <c r="W24" s="1449">
        <v>20</v>
      </c>
      <c r="X24" s="1450" t="s">
        <v>129</v>
      </c>
      <c r="Y24" s="2649"/>
      <c r="Z24" s="2670"/>
      <c r="AA24" s="2649"/>
      <c r="AB24" s="2649"/>
      <c r="AC24" s="2649"/>
      <c r="AD24" s="2649"/>
      <c r="AE24" s="2649"/>
      <c r="AF24" s="2649"/>
      <c r="AG24" s="2649"/>
      <c r="AH24" s="2649"/>
      <c r="AI24" s="2649"/>
      <c r="AJ24" s="2649"/>
      <c r="AK24" s="2649"/>
      <c r="AL24" s="2649"/>
      <c r="AM24" s="2649"/>
      <c r="AN24" s="2649"/>
      <c r="AO24" s="2563"/>
      <c r="AP24" s="2563"/>
      <c r="AQ24" s="2510"/>
    </row>
    <row r="25" spans="1:43" ht="42.75" x14ac:dyDescent="0.2">
      <c r="A25" s="175"/>
      <c r="B25" s="1436"/>
      <c r="C25" s="1436"/>
      <c r="D25" s="1437"/>
      <c r="E25" s="1436"/>
      <c r="F25" s="1452"/>
      <c r="G25" s="1437"/>
      <c r="H25" s="1436"/>
      <c r="I25" s="1436"/>
      <c r="J25" s="2520"/>
      <c r="K25" s="2513"/>
      <c r="L25" s="2513"/>
      <c r="M25" s="2520"/>
      <c r="N25" s="2520"/>
      <c r="O25" s="2520"/>
      <c r="P25" s="2513"/>
      <c r="Q25" s="2711"/>
      <c r="R25" s="2677"/>
      <c r="S25" s="2645"/>
      <c r="T25" s="2674"/>
      <c r="U25" s="729" t="s">
        <v>145</v>
      </c>
      <c r="V25" s="1177">
        <v>360000</v>
      </c>
      <c r="W25" s="1449">
        <v>20</v>
      </c>
      <c r="X25" s="1450" t="s">
        <v>129</v>
      </c>
      <c r="Y25" s="2649"/>
      <c r="Z25" s="2670"/>
      <c r="AA25" s="2649"/>
      <c r="AB25" s="2649"/>
      <c r="AC25" s="2649"/>
      <c r="AD25" s="2649"/>
      <c r="AE25" s="2649"/>
      <c r="AF25" s="2649"/>
      <c r="AG25" s="2649"/>
      <c r="AH25" s="2649"/>
      <c r="AI25" s="2649"/>
      <c r="AJ25" s="2649"/>
      <c r="AK25" s="2649"/>
      <c r="AL25" s="2649"/>
      <c r="AM25" s="2649"/>
      <c r="AN25" s="2649"/>
      <c r="AO25" s="2563"/>
      <c r="AP25" s="2563"/>
      <c r="AQ25" s="2510"/>
    </row>
    <row r="26" spans="1:43" ht="27.75" customHeight="1" x14ac:dyDescent="0.2">
      <c r="A26" s="175"/>
      <c r="B26" s="1436"/>
      <c r="C26" s="1436"/>
      <c r="D26" s="1437"/>
      <c r="E26" s="1436"/>
      <c r="F26" s="1452"/>
      <c r="G26" s="1437"/>
      <c r="H26" s="1436"/>
      <c r="I26" s="1436"/>
      <c r="J26" s="2520"/>
      <c r="K26" s="2513"/>
      <c r="L26" s="2513"/>
      <c r="M26" s="2520"/>
      <c r="N26" s="2520"/>
      <c r="O26" s="2520"/>
      <c r="P26" s="2513"/>
      <c r="Q26" s="2711"/>
      <c r="R26" s="2677"/>
      <c r="S26" s="2645"/>
      <c r="T26" s="2674"/>
      <c r="U26" s="729" t="s">
        <v>146</v>
      </c>
      <c r="V26" s="1177">
        <v>360000</v>
      </c>
      <c r="W26" s="1449">
        <v>20</v>
      </c>
      <c r="X26" s="1450" t="s">
        <v>129</v>
      </c>
      <c r="Y26" s="2649"/>
      <c r="Z26" s="2670"/>
      <c r="AA26" s="2649"/>
      <c r="AB26" s="2649"/>
      <c r="AC26" s="2649"/>
      <c r="AD26" s="2649"/>
      <c r="AE26" s="2649"/>
      <c r="AF26" s="2649"/>
      <c r="AG26" s="2649"/>
      <c r="AH26" s="2649"/>
      <c r="AI26" s="2649"/>
      <c r="AJ26" s="2649"/>
      <c r="AK26" s="2649"/>
      <c r="AL26" s="2649"/>
      <c r="AM26" s="2649"/>
      <c r="AN26" s="2649"/>
      <c r="AO26" s="2563"/>
      <c r="AP26" s="2563"/>
      <c r="AQ26" s="2510"/>
    </row>
    <row r="27" spans="1:43" ht="85.5" x14ac:dyDescent="0.2">
      <c r="A27" s="175"/>
      <c r="B27" s="1436"/>
      <c r="C27" s="1436"/>
      <c r="D27" s="1437"/>
      <c r="E27" s="1436"/>
      <c r="F27" s="1452"/>
      <c r="G27" s="1437"/>
      <c r="H27" s="1436"/>
      <c r="I27" s="1436"/>
      <c r="J27" s="2520"/>
      <c r="K27" s="2513"/>
      <c r="L27" s="2513"/>
      <c r="M27" s="2520"/>
      <c r="N27" s="2520"/>
      <c r="O27" s="2520"/>
      <c r="P27" s="2513"/>
      <c r="Q27" s="2711"/>
      <c r="R27" s="2677"/>
      <c r="S27" s="2645"/>
      <c r="T27" s="2674"/>
      <c r="U27" s="729" t="s">
        <v>147</v>
      </c>
      <c r="V27" s="1177">
        <v>360000</v>
      </c>
      <c r="W27" s="1449">
        <v>20</v>
      </c>
      <c r="X27" s="1450" t="s">
        <v>129</v>
      </c>
      <c r="Y27" s="2649"/>
      <c r="Z27" s="2670"/>
      <c r="AA27" s="2649"/>
      <c r="AB27" s="2649"/>
      <c r="AC27" s="2649"/>
      <c r="AD27" s="2649"/>
      <c r="AE27" s="2649"/>
      <c r="AF27" s="2649"/>
      <c r="AG27" s="2649"/>
      <c r="AH27" s="2649"/>
      <c r="AI27" s="2649"/>
      <c r="AJ27" s="2649"/>
      <c r="AK27" s="2649"/>
      <c r="AL27" s="2649"/>
      <c r="AM27" s="2649"/>
      <c r="AN27" s="2649"/>
      <c r="AO27" s="2563"/>
      <c r="AP27" s="2563"/>
      <c r="AQ27" s="2510"/>
    </row>
    <row r="28" spans="1:43" ht="59.25" customHeight="1" x14ac:dyDescent="0.2">
      <c r="A28" s="175"/>
      <c r="B28" s="1436"/>
      <c r="C28" s="1436"/>
      <c r="D28" s="1437"/>
      <c r="E28" s="1436"/>
      <c r="F28" s="1452"/>
      <c r="G28" s="1437"/>
      <c r="H28" s="1436"/>
      <c r="I28" s="1436"/>
      <c r="J28" s="2520"/>
      <c r="K28" s="2513"/>
      <c r="L28" s="2513"/>
      <c r="M28" s="2520"/>
      <c r="N28" s="2520"/>
      <c r="O28" s="2520"/>
      <c r="P28" s="2513"/>
      <c r="Q28" s="2711"/>
      <c r="R28" s="2677"/>
      <c r="S28" s="2645"/>
      <c r="T28" s="2674"/>
      <c r="U28" s="729" t="s">
        <v>148</v>
      </c>
      <c r="V28" s="1177">
        <v>360000</v>
      </c>
      <c r="W28" s="1449">
        <v>20</v>
      </c>
      <c r="X28" s="1450" t="s">
        <v>129</v>
      </c>
      <c r="Y28" s="2649"/>
      <c r="Z28" s="2670"/>
      <c r="AA28" s="2649"/>
      <c r="AB28" s="2649"/>
      <c r="AC28" s="2649"/>
      <c r="AD28" s="2649"/>
      <c r="AE28" s="2649"/>
      <c r="AF28" s="2649"/>
      <c r="AG28" s="2649"/>
      <c r="AH28" s="2649"/>
      <c r="AI28" s="2649"/>
      <c r="AJ28" s="2649"/>
      <c r="AK28" s="2649"/>
      <c r="AL28" s="2649"/>
      <c r="AM28" s="2649"/>
      <c r="AN28" s="2649"/>
      <c r="AO28" s="2563"/>
      <c r="AP28" s="2563"/>
      <c r="AQ28" s="2510"/>
    </row>
    <row r="29" spans="1:43" ht="42.75" x14ac:dyDescent="0.2">
      <c r="A29" s="175"/>
      <c r="B29" s="1436"/>
      <c r="C29" s="1436"/>
      <c r="D29" s="1437"/>
      <c r="E29" s="1436"/>
      <c r="F29" s="1452"/>
      <c r="G29" s="1437"/>
      <c r="H29" s="1436"/>
      <c r="I29" s="1436"/>
      <c r="J29" s="2520"/>
      <c r="K29" s="2513"/>
      <c r="L29" s="2513"/>
      <c r="M29" s="2520"/>
      <c r="N29" s="2520"/>
      <c r="O29" s="2520"/>
      <c r="P29" s="2513"/>
      <c r="Q29" s="2711"/>
      <c r="R29" s="2677"/>
      <c r="S29" s="2645"/>
      <c r="T29" s="2674"/>
      <c r="U29" s="729" t="s">
        <v>149</v>
      </c>
      <c r="V29" s="1178">
        <v>5400000</v>
      </c>
      <c r="W29" s="1449">
        <v>20</v>
      </c>
      <c r="X29" s="1450" t="s">
        <v>129</v>
      </c>
      <c r="Y29" s="2649"/>
      <c r="Z29" s="2670"/>
      <c r="AA29" s="2649"/>
      <c r="AB29" s="2649"/>
      <c r="AC29" s="2649"/>
      <c r="AD29" s="2649"/>
      <c r="AE29" s="2649"/>
      <c r="AF29" s="2649"/>
      <c r="AG29" s="2649"/>
      <c r="AH29" s="2649"/>
      <c r="AI29" s="2649"/>
      <c r="AJ29" s="2649"/>
      <c r="AK29" s="2649"/>
      <c r="AL29" s="2649"/>
      <c r="AM29" s="2649"/>
      <c r="AN29" s="2649"/>
      <c r="AO29" s="2563"/>
      <c r="AP29" s="2563"/>
      <c r="AQ29" s="2510"/>
    </row>
    <row r="30" spans="1:43" ht="174" customHeight="1" x14ac:dyDescent="0.2">
      <c r="A30" s="175"/>
      <c r="B30" s="1436"/>
      <c r="C30" s="1436"/>
      <c r="D30" s="1437"/>
      <c r="E30" s="1436"/>
      <c r="F30" s="1452"/>
      <c r="G30" s="1437"/>
      <c r="H30" s="1436"/>
      <c r="I30" s="1436"/>
      <c r="J30" s="2520"/>
      <c r="K30" s="2513"/>
      <c r="L30" s="2513"/>
      <c r="M30" s="2520"/>
      <c r="N30" s="2520"/>
      <c r="O30" s="2520"/>
      <c r="P30" s="2513"/>
      <c r="Q30" s="2711"/>
      <c r="R30" s="2677"/>
      <c r="S30" s="2645"/>
      <c r="T30" s="2674"/>
      <c r="U30" s="729" t="s">
        <v>150</v>
      </c>
      <c r="V30" s="1178">
        <v>3600000</v>
      </c>
      <c r="W30" s="1449">
        <v>20</v>
      </c>
      <c r="X30" s="1450" t="s">
        <v>129</v>
      </c>
      <c r="Y30" s="2649"/>
      <c r="Z30" s="2670"/>
      <c r="AA30" s="2649"/>
      <c r="AB30" s="2649"/>
      <c r="AC30" s="2649"/>
      <c r="AD30" s="2649"/>
      <c r="AE30" s="2649"/>
      <c r="AF30" s="2649"/>
      <c r="AG30" s="2649"/>
      <c r="AH30" s="2649"/>
      <c r="AI30" s="2649"/>
      <c r="AJ30" s="2649"/>
      <c r="AK30" s="2649"/>
      <c r="AL30" s="2649"/>
      <c r="AM30" s="2649"/>
      <c r="AN30" s="2649"/>
      <c r="AO30" s="2563"/>
      <c r="AP30" s="2563"/>
      <c r="AQ30" s="2510"/>
    </row>
    <row r="31" spans="1:43" ht="15" x14ac:dyDescent="0.2">
      <c r="A31" s="175"/>
      <c r="B31" s="1436"/>
      <c r="C31" s="1436"/>
      <c r="D31" s="1437"/>
      <c r="E31" s="1436"/>
      <c r="F31" s="1452"/>
      <c r="G31" s="1437"/>
      <c r="H31" s="1436"/>
      <c r="I31" s="1436"/>
      <c r="J31" s="2520"/>
      <c r="K31" s="2513"/>
      <c r="L31" s="2513"/>
      <c r="M31" s="2520"/>
      <c r="N31" s="2520"/>
      <c r="O31" s="2520"/>
      <c r="P31" s="2513"/>
      <c r="Q31" s="2711"/>
      <c r="R31" s="2677"/>
      <c r="S31" s="2645"/>
      <c r="T31" s="2674"/>
      <c r="U31" s="729" t="s">
        <v>151</v>
      </c>
      <c r="V31" s="1178">
        <v>1200000</v>
      </c>
      <c r="W31" s="1449">
        <v>20</v>
      </c>
      <c r="X31" s="1450" t="s">
        <v>129</v>
      </c>
      <c r="Y31" s="2649"/>
      <c r="Z31" s="2670"/>
      <c r="AA31" s="2649"/>
      <c r="AB31" s="2649"/>
      <c r="AC31" s="2649"/>
      <c r="AD31" s="2649"/>
      <c r="AE31" s="2649"/>
      <c r="AF31" s="2649"/>
      <c r="AG31" s="2649"/>
      <c r="AH31" s="2649"/>
      <c r="AI31" s="2649"/>
      <c r="AJ31" s="2649"/>
      <c r="AK31" s="2649"/>
      <c r="AL31" s="2649"/>
      <c r="AM31" s="2649"/>
      <c r="AN31" s="2649"/>
      <c r="AO31" s="2563"/>
      <c r="AP31" s="2563"/>
      <c r="AQ31" s="2510"/>
    </row>
    <row r="32" spans="1:43" ht="15" x14ac:dyDescent="0.2">
      <c r="A32" s="175"/>
      <c r="B32" s="1436"/>
      <c r="C32" s="1436"/>
      <c r="D32" s="1437"/>
      <c r="E32" s="1436"/>
      <c r="F32" s="1452"/>
      <c r="G32" s="1597"/>
      <c r="H32" s="1436"/>
      <c r="I32" s="1436"/>
      <c r="J32" s="2520"/>
      <c r="K32" s="2513"/>
      <c r="L32" s="2513"/>
      <c r="M32" s="2520"/>
      <c r="N32" s="2520"/>
      <c r="O32" s="2520"/>
      <c r="P32" s="2513"/>
      <c r="Q32" s="2711"/>
      <c r="R32" s="2677"/>
      <c r="S32" s="2512"/>
      <c r="T32" s="2674"/>
      <c r="U32" s="729" t="s">
        <v>152</v>
      </c>
      <c r="V32" s="1178">
        <v>40000</v>
      </c>
      <c r="W32" s="1449">
        <v>20</v>
      </c>
      <c r="X32" s="1450" t="s">
        <v>129</v>
      </c>
      <c r="Y32" s="2649"/>
      <c r="Z32" s="2670"/>
      <c r="AA32" s="2649"/>
      <c r="AB32" s="2649"/>
      <c r="AC32" s="2649"/>
      <c r="AD32" s="2649"/>
      <c r="AE32" s="2649"/>
      <c r="AF32" s="2649"/>
      <c r="AG32" s="2649"/>
      <c r="AH32" s="2649"/>
      <c r="AI32" s="2649"/>
      <c r="AJ32" s="2649"/>
      <c r="AK32" s="2649"/>
      <c r="AL32" s="2649"/>
      <c r="AM32" s="2649"/>
      <c r="AN32" s="2649"/>
      <c r="AO32" s="2563"/>
      <c r="AP32" s="2563"/>
      <c r="AQ32" s="2510"/>
    </row>
    <row r="33" spans="1:43" ht="24.75" customHeight="1" x14ac:dyDescent="0.2">
      <c r="A33" s="177"/>
      <c r="B33" s="178"/>
      <c r="C33" s="178"/>
      <c r="D33" s="179"/>
      <c r="E33" s="178"/>
      <c r="F33" s="1466"/>
      <c r="G33" s="165">
        <v>84</v>
      </c>
      <c r="H33" s="2672" t="s">
        <v>153</v>
      </c>
      <c r="I33" s="2672"/>
      <c r="J33" s="2672"/>
      <c r="K33" s="2672"/>
      <c r="L33" s="166"/>
      <c r="M33" s="167"/>
      <c r="N33" s="167"/>
      <c r="O33" s="167"/>
      <c r="P33" s="166"/>
      <c r="Q33" s="168"/>
      <c r="R33" s="181"/>
      <c r="S33" s="182"/>
      <c r="T33" s="182"/>
      <c r="U33" s="391"/>
      <c r="V33" s="731"/>
      <c r="W33" s="183"/>
      <c r="X33" s="184"/>
      <c r="Y33" s="185"/>
      <c r="Z33" s="186"/>
      <c r="AA33" s="185"/>
      <c r="AB33" s="185"/>
      <c r="AC33" s="185"/>
      <c r="AD33" s="185"/>
      <c r="AE33" s="185"/>
      <c r="AF33" s="185"/>
      <c r="AG33" s="185"/>
      <c r="AH33" s="185"/>
      <c r="AI33" s="185"/>
      <c r="AJ33" s="185"/>
      <c r="AK33" s="185"/>
      <c r="AL33" s="185"/>
      <c r="AM33" s="185"/>
      <c r="AN33" s="185"/>
      <c r="AO33" s="187"/>
      <c r="AP33" s="188"/>
      <c r="AQ33" s="189"/>
    </row>
    <row r="34" spans="1:43" ht="21.75" customHeight="1" x14ac:dyDescent="0.2">
      <c r="A34" s="1464"/>
      <c r="B34" s="1466"/>
      <c r="C34" s="1466"/>
      <c r="D34" s="1465"/>
      <c r="E34" s="1466"/>
      <c r="F34" s="1466"/>
      <c r="G34" s="1465"/>
      <c r="H34" s="1466"/>
      <c r="I34" s="1466"/>
      <c r="J34" s="2520">
        <v>248</v>
      </c>
      <c r="K34" s="2513" t="s">
        <v>154</v>
      </c>
      <c r="L34" s="2513" t="s">
        <v>155</v>
      </c>
      <c r="M34" s="2663">
        <v>12</v>
      </c>
      <c r="N34" s="2520" t="s">
        <v>156</v>
      </c>
      <c r="O34" s="2520" t="s">
        <v>157</v>
      </c>
      <c r="P34" s="2513" t="s">
        <v>158</v>
      </c>
      <c r="Q34" s="2594">
        <v>1</v>
      </c>
      <c r="R34" s="2662">
        <f>SUM(V34:V49)</f>
        <v>58500000</v>
      </c>
      <c r="S34" s="2516" t="s">
        <v>159</v>
      </c>
      <c r="T34" s="2514" t="s">
        <v>160</v>
      </c>
      <c r="U34" s="1435" t="s">
        <v>161</v>
      </c>
      <c r="V34" s="1407">
        <v>500000</v>
      </c>
      <c r="W34" s="1449">
        <v>20</v>
      </c>
      <c r="X34" s="1450" t="s">
        <v>129</v>
      </c>
      <c r="Y34" s="2649">
        <v>294321</v>
      </c>
      <c r="Z34" s="2670">
        <v>283947</v>
      </c>
      <c r="AA34" s="2649">
        <v>135754</v>
      </c>
      <c r="AB34" s="2649">
        <v>44640</v>
      </c>
      <c r="AC34" s="2649">
        <v>308178</v>
      </c>
      <c r="AD34" s="2649">
        <v>89696</v>
      </c>
      <c r="AE34" s="2649">
        <v>2145</v>
      </c>
      <c r="AF34" s="2649">
        <v>12718</v>
      </c>
      <c r="AG34" s="2649">
        <v>26</v>
      </c>
      <c r="AH34" s="2649">
        <v>37</v>
      </c>
      <c r="AI34" s="2649"/>
      <c r="AJ34" s="2649"/>
      <c r="AK34" s="2649">
        <v>54612</v>
      </c>
      <c r="AL34" s="2649">
        <v>16982</v>
      </c>
      <c r="AM34" s="2649">
        <v>1010</v>
      </c>
      <c r="AN34" s="2649">
        <f>Y34+Z34</f>
        <v>578268</v>
      </c>
      <c r="AO34" s="2563">
        <v>43102</v>
      </c>
      <c r="AP34" s="2563">
        <v>43465</v>
      </c>
      <c r="AQ34" s="2510" t="s">
        <v>130</v>
      </c>
    </row>
    <row r="35" spans="1:43" ht="23.25" customHeight="1" x14ac:dyDescent="0.2">
      <c r="A35" s="1464"/>
      <c r="B35" s="1466"/>
      <c r="C35" s="1466"/>
      <c r="D35" s="1465"/>
      <c r="E35" s="1466"/>
      <c r="F35" s="1466"/>
      <c r="G35" s="1465"/>
      <c r="H35" s="1466"/>
      <c r="I35" s="1466"/>
      <c r="J35" s="2520"/>
      <c r="K35" s="2513"/>
      <c r="L35" s="2513"/>
      <c r="M35" s="2663"/>
      <c r="N35" s="2520"/>
      <c r="O35" s="2520"/>
      <c r="P35" s="2513"/>
      <c r="Q35" s="2594"/>
      <c r="R35" s="2662"/>
      <c r="S35" s="2516"/>
      <c r="T35" s="2645"/>
      <c r="U35" s="1435" t="s">
        <v>162</v>
      </c>
      <c r="V35" s="1407">
        <v>500000</v>
      </c>
      <c r="W35" s="1449">
        <v>88</v>
      </c>
      <c r="X35" s="1450" t="s">
        <v>163</v>
      </c>
      <c r="Y35" s="2649"/>
      <c r="Z35" s="2670"/>
      <c r="AA35" s="2649"/>
      <c r="AB35" s="2649"/>
      <c r="AC35" s="2649"/>
      <c r="AD35" s="2649"/>
      <c r="AE35" s="2649"/>
      <c r="AF35" s="2649"/>
      <c r="AG35" s="2649"/>
      <c r="AH35" s="2649"/>
      <c r="AI35" s="2649"/>
      <c r="AJ35" s="2649"/>
      <c r="AK35" s="2649"/>
      <c r="AL35" s="2649"/>
      <c r="AM35" s="2649"/>
      <c r="AN35" s="2649"/>
      <c r="AO35" s="2563"/>
      <c r="AP35" s="2563"/>
      <c r="AQ35" s="2510"/>
    </row>
    <row r="36" spans="1:43" ht="24" customHeight="1" x14ac:dyDescent="0.2">
      <c r="A36" s="1464"/>
      <c r="B36" s="1466"/>
      <c r="C36" s="1466"/>
      <c r="D36" s="1465"/>
      <c r="E36" s="1466"/>
      <c r="F36" s="1466"/>
      <c r="G36" s="1465"/>
      <c r="H36" s="1466"/>
      <c r="I36" s="1466"/>
      <c r="J36" s="2520"/>
      <c r="K36" s="2513"/>
      <c r="L36" s="2513"/>
      <c r="M36" s="2663"/>
      <c r="N36" s="2520"/>
      <c r="O36" s="2520"/>
      <c r="P36" s="2513"/>
      <c r="Q36" s="2594"/>
      <c r="R36" s="2662"/>
      <c r="S36" s="2516"/>
      <c r="T36" s="2645"/>
      <c r="U36" s="1435" t="s">
        <v>164</v>
      </c>
      <c r="V36" s="1407">
        <v>500000</v>
      </c>
      <c r="W36" s="1449">
        <v>20</v>
      </c>
      <c r="X36" s="1450" t="s">
        <v>129</v>
      </c>
      <c r="Y36" s="2649"/>
      <c r="Z36" s="2670"/>
      <c r="AA36" s="2649"/>
      <c r="AB36" s="2649"/>
      <c r="AC36" s="2649"/>
      <c r="AD36" s="2649"/>
      <c r="AE36" s="2649"/>
      <c r="AF36" s="2649"/>
      <c r="AG36" s="2649"/>
      <c r="AH36" s="2649"/>
      <c r="AI36" s="2649"/>
      <c r="AJ36" s="2649"/>
      <c r="AK36" s="2649"/>
      <c r="AL36" s="2649"/>
      <c r="AM36" s="2649"/>
      <c r="AN36" s="2649"/>
      <c r="AO36" s="2563"/>
      <c r="AP36" s="2563"/>
      <c r="AQ36" s="2510"/>
    </row>
    <row r="37" spans="1:43" ht="24" customHeight="1" x14ac:dyDescent="0.2">
      <c r="A37" s="1464"/>
      <c r="B37" s="1466"/>
      <c r="C37" s="1466"/>
      <c r="D37" s="1465"/>
      <c r="E37" s="1466"/>
      <c r="F37" s="1466"/>
      <c r="G37" s="1465"/>
      <c r="H37" s="1466"/>
      <c r="I37" s="1466"/>
      <c r="J37" s="2520"/>
      <c r="K37" s="2513"/>
      <c r="L37" s="2513"/>
      <c r="M37" s="2663"/>
      <c r="N37" s="2520"/>
      <c r="O37" s="2520"/>
      <c r="P37" s="2513"/>
      <c r="Q37" s="2594"/>
      <c r="R37" s="2662"/>
      <c r="S37" s="2516"/>
      <c r="T37" s="2645"/>
      <c r="U37" s="1435" t="s">
        <v>165</v>
      </c>
      <c r="V37" s="1407">
        <v>1000000</v>
      </c>
      <c r="W37" s="1449">
        <v>88</v>
      </c>
      <c r="X37" s="1450" t="s">
        <v>163</v>
      </c>
      <c r="Y37" s="2649"/>
      <c r="Z37" s="2670"/>
      <c r="AA37" s="2649"/>
      <c r="AB37" s="2649"/>
      <c r="AC37" s="2649"/>
      <c r="AD37" s="2649"/>
      <c r="AE37" s="2649"/>
      <c r="AF37" s="2649"/>
      <c r="AG37" s="2649"/>
      <c r="AH37" s="2649"/>
      <c r="AI37" s="2649"/>
      <c r="AJ37" s="2649"/>
      <c r="AK37" s="2649"/>
      <c r="AL37" s="2649"/>
      <c r="AM37" s="2649"/>
      <c r="AN37" s="2649"/>
      <c r="AO37" s="2563"/>
      <c r="AP37" s="2563"/>
      <c r="AQ37" s="2510"/>
    </row>
    <row r="38" spans="1:43" ht="23.25" customHeight="1" x14ac:dyDescent="0.2">
      <c r="A38" s="1464"/>
      <c r="B38" s="1466"/>
      <c r="C38" s="1466"/>
      <c r="D38" s="1465"/>
      <c r="E38" s="1466"/>
      <c r="F38" s="1466"/>
      <c r="G38" s="1465"/>
      <c r="H38" s="1466"/>
      <c r="I38" s="1466"/>
      <c r="J38" s="2520"/>
      <c r="K38" s="2513"/>
      <c r="L38" s="2513"/>
      <c r="M38" s="2663"/>
      <c r="N38" s="2520"/>
      <c r="O38" s="2520"/>
      <c r="P38" s="2513"/>
      <c r="Q38" s="2594"/>
      <c r="R38" s="2662"/>
      <c r="S38" s="2516"/>
      <c r="T38" s="2645"/>
      <c r="U38" s="1435" t="s">
        <v>166</v>
      </c>
      <c r="V38" s="1407">
        <v>1000000</v>
      </c>
      <c r="W38" s="1449">
        <v>20</v>
      </c>
      <c r="X38" s="1450" t="s">
        <v>129</v>
      </c>
      <c r="Y38" s="2649"/>
      <c r="Z38" s="2670"/>
      <c r="AA38" s="2649"/>
      <c r="AB38" s="2649"/>
      <c r="AC38" s="2649"/>
      <c r="AD38" s="2649"/>
      <c r="AE38" s="2649"/>
      <c r="AF38" s="2649"/>
      <c r="AG38" s="2649"/>
      <c r="AH38" s="2649"/>
      <c r="AI38" s="2649"/>
      <c r="AJ38" s="2649"/>
      <c r="AK38" s="2649"/>
      <c r="AL38" s="2649"/>
      <c r="AM38" s="2649"/>
      <c r="AN38" s="2649"/>
      <c r="AO38" s="2563"/>
      <c r="AP38" s="2563"/>
      <c r="AQ38" s="2510"/>
    </row>
    <row r="39" spans="1:43" ht="21" customHeight="1" x14ac:dyDescent="0.2">
      <c r="A39" s="1464"/>
      <c r="B39" s="1466"/>
      <c r="C39" s="1466"/>
      <c r="D39" s="1465"/>
      <c r="E39" s="1466"/>
      <c r="F39" s="1466"/>
      <c r="G39" s="1465"/>
      <c r="H39" s="1466"/>
      <c r="I39" s="1466"/>
      <c r="J39" s="2520"/>
      <c r="K39" s="2513"/>
      <c r="L39" s="2513"/>
      <c r="M39" s="2663"/>
      <c r="N39" s="2520"/>
      <c r="O39" s="2520"/>
      <c r="P39" s="2513"/>
      <c r="Q39" s="2594"/>
      <c r="R39" s="2662"/>
      <c r="S39" s="2516"/>
      <c r="T39" s="2645"/>
      <c r="U39" s="1435" t="s">
        <v>167</v>
      </c>
      <c r="V39" s="1407">
        <v>1500000</v>
      </c>
      <c r="W39" s="1449">
        <v>88</v>
      </c>
      <c r="X39" s="1450" t="s">
        <v>163</v>
      </c>
      <c r="Y39" s="2649"/>
      <c r="Z39" s="2670"/>
      <c r="AA39" s="2649"/>
      <c r="AB39" s="2649"/>
      <c r="AC39" s="2649"/>
      <c r="AD39" s="2649"/>
      <c r="AE39" s="2649"/>
      <c r="AF39" s="2649"/>
      <c r="AG39" s="2649"/>
      <c r="AH39" s="2649"/>
      <c r="AI39" s="2649"/>
      <c r="AJ39" s="2649"/>
      <c r="AK39" s="2649"/>
      <c r="AL39" s="2649"/>
      <c r="AM39" s="2649"/>
      <c r="AN39" s="2649"/>
      <c r="AO39" s="2563"/>
      <c r="AP39" s="2563"/>
      <c r="AQ39" s="2510"/>
    </row>
    <row r="40" spans="1:43" ht="24.75" customHeight="1" x14ac:dyDescent="0.2">
      <c r="A40" s="1464"/>
      <c r="B40" s="1466"/>
      <c r="C40" s="1466"/>
      <c r="D40" s="1465"/>
      <c r="E40" s="1466"/>
      <c r="F40" s="1466"/>
      <c r="G40" s="1465"/>
      <c r="H40" s="1466"/>
      <c r="I40" s="1466"/>
      <c r="J40" s="2520"/>
      <c r="K40" s="2513"/>
      <c r="L40" s="2513"/>
      <c r="M40" s="2663"/>
      <c r="N40" s="2520"/>
      <c r="O40" s="2520"/>
      <c r="P40" s="2513"/>
      <c r="Q40" s="2594"/>
      <c r="R40" s="2662"/>
      <c r="S40" s="2516"/>
      <c r="T40" s="2645"/>
      <c r="U40" s="1435" t="s">
        <v>168</v>
      </c>
      <c r="V40" s="1407">
        <v>500000</v>
      </c>
      <c r="W40" s="1449">
        <v>20</v>
      </c>
      <c r="X40" s="1450" t="s">
        <v>129</v>
      </c>
      <c r="Y40" s="2649"/>
      <c r="Z40" s="2670"/>
      <c r="AA40" s="2649"/>
      <c r="AB40" s="2649"/>
      <c r="AC40" s="2649"/>
      <c r="AD40" s="2649"/>
      <c r="AE40" s="2649"/>
      <c r="AF40" s="2649"/>
      <c r="AG40" s="2649"/>
      <c r="AH40" s="2649"/>
      <c r="AI40" s="2649"/>
      <c r="AJ40" s="2649"/>
      <c r="AK40" s="2649"/>
      <c r="AL40" s="2649"/>
      <c r="AM40" s="2649"/>
      <c r="AN40" s="2649"/>
      <c r="AO40" s="2563"/>
      <c r="AP40" s="2563"/>
      <c r="AQ40" s="2510"/>
    </row>
    <row r="41" spans="1:43" ht="24.75" customHeight="1" x14ac:dyDescent="0.2">
      <c r="A41" s="1464"/>
      <c r="B41" s="1466"/>
      <c r="C41" s="1466"/>
      <c r="D41" s="1465"/>
      <c r="E41" s="1466"/>
      <c r="F41" s="1466"/>
      <c r="G41" s="1465"/>
      <c r="H41" s="1466"/>
      <c r="I41" s="1466"/>
      <c r="J41" s="2520"/>
      <c r="K41" s="2513"/>
      <c r="L41" s="2513"/>
      <c r="M41" s="2663"/>
      <c r="N41" s="2520"/>
      <c r="O41" s="2520"/>
      <c r="P41" s="2513"/>
      <c r="Q41" s="2594"/>
      <c r="R41" s="2662"/>
      <c r="S41" s="2516"/>
      <c r="T41" s="2645"/>
      <c r="U41" s="1435" t="s">
        <v>169</v>
      </c>
      <c r="V41" s="1407">
        <v>1000000</v>
      </c>
      <c r="W41" s="1449">
        <v>88</v>
      </c>
      <c r="X41" s="1450" t="s">
        <v>163</v>
      </c>
      <c r="Y41" s="2649"/>
      <c r="Z41" s="2670"/>
      <c r="AA41" s="2649"/>
      <c r="AB41" s="2649"/>
      <c r="AC41" s="2649"/>
      <c r="AD41" s="2649"/>
      <c r="AE41" s="2649"/>
      <c r="AF41" s="2649"/>
      <c r="AG41" s="2649"/>
      <c r="AH41" s="2649"/>
      <c r="AI41" s="2649"/>
      <c r="AJ41" s="2649"/>
      <c r="AK41" s="2649"/>
      <c r="AL41" s="2649"/>
      <c r="AM41" s="2649"/>
      <c r="AN41" s="2649"/>
      <c r="AO41" s="2563"/>
      <c r="AP41" s="2563"/>
      <c r="AQ41" s="2510"/>
    </row>
    <row r="42" spans="1:43" ht="23.25" customHeight="1" x14ac:dyDescent="0.2">
      <c r="A42" s="1464"/>
      <c r="B42" s="1466"/>
      <c r="C42" s="1466"/>
      <c r="D42" s="1465"/>
      <c r="E42" s="1466"/>
      <c r="F42" s="1466"/>
      <c r="G42" s="1465"/>
      <c r="H42" s="1466"/>
      <c r="I42" s="1466"/>
      <c r="J42" s="2520"/>
      <c r="K42" s="2513"/>
      <c r="L42" s="2513"/>
      <c r="M42" s="2663"/>
      <c r="N42" s="2520"/>
      <c r="O42" s="2520"/>
      <c r="P42" s="2513"/>
      <c r="Q42" s="2594"/>
      <c r="R42" s="2662"/>
      <c r="S42" s="2516"/>
      <c r="T42" s="2645"/>
      <c r="U42" s="1435" t="s">
        <v>170</v>
      </c>
      <c r="V42" s="1407">
        <v>500000</v>
      </c>
      <c r="W42" s="1449">
        <v>20</v>
      </c>
      <c r="X42" s="1450" t="s">
        <v>129</v>
      </c>
      <c r="Y42" s="2649"/>
      <c r="Z42" s="2670"/>
      <c r="AA42" s="2649"/>
      <c r="AB42" s="2649"/>
      <c r="AC42" s="2649"/>
      <c r="AD42" s="2649"/>
      <c r="AE42" s="2649"/>
      <c r="AF42" s="2649"/>
      <c r="AG42" s="2649"/>
      <c r="AH42" s="2649"/>
      <c r="AI42" s="2649"/>
      <c r="AJ42" s="2649"/>
      <c r="AK42" s="2649"/>
      <c r="AL42" s="2649"/>
      <c r="AM42" s="2649"/>
      <c r="AN42" s="2649"/>
      <c r="AO42" s="2563"/>
      <c r="AP42" s="2563"/>
      <c r="AQ42" s="2510"/>
    </row>
    <row r="43" spans="1:43" ht="23.25" customHeight="1" x14ac:dyDescent="0.2">
      <c r="A43" s="1464"/>
      <c r="B43" s="1466"/>
      <c r="C43" s="1466"/>
      <c r="D43" s="1465"/>
      <c r="E43" s="1466"/>
      <c r="F43" s="1466"/>
      <c r="G43" s="1465"/>
      <c r="H43" s="1466"/>
      <c r="I43" s="1466"/>
      <c r="J43" s="2520"/>
      <c r="K43" s="2513"/>
      <c r="L43" s="2513"/>
      <c r="M43" s="2663"/>
      <c r="N43" s="2520"/>
      <c r="O43" s="2520"/>
      <c r="P43" s="2513"/>
      <c r="Q43" s="2594"/>
      <c r="R43" s="2662"/>
      <c r="S43" s="2516"/>
      <c r="T43" s="2512"/>
      <c r="U43" s="1435" t="s">
        <v>171</v>
      </c>
      <c r="V43" s="1407">
        <v>500000</v>
      </c>
      <c r="W43" s="1449">
        <v>88</v>
      </c>
      <c r="X43" s="1450" t="s">
        <v>163</v>
      </c>
      <c r="Y43" s="2649"/>
      <c r="Z43" s="2670"/>
      <c r="AA43" s="2649"/>
      <c r="AB43" s="2649"/>
      <c r="AC43" s="2649"/>
      <c r="AD43" s="2649"/>
      <c r="AE43" s="2649"/>
      <c r="AF43" s="2649"/>
      <c r="AG43" s="2649"/>
      <c r="AH43" s="2649"/>
      <c r="AI43" s="2649"/>
      <c r="AJ43" s="2649"/>
      <c r="AK43" s="2649"/>
      <c r="AL43" s="2649"/>
      <c r="AM43" s="2649"/>
      <c r="AN43" s="2649"/>
      <c r="AO43" s="2563"/>
      <c r="AP43" s="2563"/>
      <c r="AQ43" s="2510"/>
    </row>
    <row r="44" spans="1:43" ht="78" customHeight="1" x14ac:dyDescent="0.2">
      <c r="A44" s="1464"/>
      <c r="B44" s="1466"/>
      <c r="C44" s="1466"/>
      <c r="D44" s="1465"/>
      <c r="E44" s="1466"/>
      <c r="F44" s="1466"/>
      <c r="G44" s="1465"/>
      <c r="H44" s="1466"/>
      <c r="I44" s="1466"/>
      <c r="J44" s="2520"/>
      <c r="K44" s="2513"/>
      <c r="L44" s="2513"/>
      <c r="M44" s="2663"/>
      <c r="N44" s="2520"/>
      <c r="O44" s="2520"/>
      <c r="P44" s="2513"/>
      <c r="Q44" s="2594"/>
      <c r="R44" s="2662"/>
      <c r="S44" s="2516"/>
      <c r="T44" s="2514" t="s">
        <v>172</v>
      </c>
      <c r="U44" s="1435" t="s">
        <v>173</v>
      </c>
      <c r="V44" s="1675">
        <v>15000000</v>
      </c>
      <c r="W44" s="1449">
        <v>20</v>
      </c>
      <c r="X44" s="1450" t="s">
        <v>129</v>
      </c>
      <c r="Y44" s="2649"/>
      <c r="Z44" s="2670"/>
      <c r="AA44" s="2649"/>
      <c r="AB44" s="2649"/>
      <c r="AC44" s="2649"/>
      <c r="AD44" s="2649"/>
      <c r="AE44" s="2649"/>
      <c r="AF44" s="2649"/>
      <c r="AG44" s="2649"/>
      <c r="AH44" s="2649"/>
      <c r="AI44" s="2649"/>
      <c r="AJ44" s="2649"/>
      <c r="AK44" s="2649"/>
      <c r="AL44" s="2649"/>
      <c r="AM44" s="2649"/>
      <c r="AN44" s="2649"/>
      <c r="AO44" s="2563"/>
      <c r="AP44" s="2563"/>
      <c r="AQ44" s="2510"/>
    </row>
    <row r="45" spans="1:43" ht="56.25" customHeight="1" x14ac:dyDescent="0.2">
      <c r="A45" s="1464"/>
      <c r="B45" s="1466"/>
      <c r="C45" s="1466"/>
      <c r="D45" s="1465"/>
      <c r="E45" s="1466"/>
      <c r="F45" s="1466"/>
      <c r="G45" s="1465"/>
      <c r="H45" s="1466"/>
      <c r="I45" s="1466"/>
      <c r="J45" s="2520"/>
      <c r="K45" s="2513"/>
      <c r="L45" s="2513"/>
      <c r="M45" s="2663"/>
      <c r="N45" s="2520"/>
      <c r="O45" s="2520"/>
      <c r="P45" s="2513"/>
      <c r="Q45" s="2594"/>
      <c r="R45" s="2662"/>
      <c r="S45" s="2516"/>
      <c r="T45" s="2512"/>
      <c r="U45" s="1435" t="s">
        <v>174</v>
      </c>
      <c r="V45" s="1675">
        <v>15000000</v>
      </c>
      <c r="W45" s="1449">
        <v>88</v>
      </c>
      <c r="X45" s="1450" t="s">
        <v>163</v>
      </c>
      <c r="Y45" s="2649"/>
      <c r="Z45" s="2670"/>
      <c r="AA45" s="2649"/>
      <c r="AB45" s="2649"/>
      <c r="AC45" s="2649"/>
      <c r="AD45" s="2649"/>
      <c r="AE45" s="2649"/>
      <c r="AF45" s="2649"/>
      <c r="AG45" s="2649"/>
      <c r="AH45" s="2649"/>
      <c r="AI45" s="2649"/>
      <c r="AJ45" s="2649"/>
      <c r="AK45" s="2649"/>
      <c r="AL45" s="2649"/>
      <c r="AM45" s="2649"/>
      <c r="AN45" s="2649"/>
      <c r="AO45" s="2563"/>
      <c r="AP45" s="2563"/>
      <c r="AQ45" s="2510"/>
    </row>
    <row r="46" spans="1:43" ht="42" customHeight="1" x14ac:dyDescent="0.2">
      <c r="A46" s="1464"/>
      <c r="B46" s="1466"/>
      <c r="C46" s="1466"/>
      <c r="D46" s="1465"/>
      <c r="E46" s="1466"/>
      <c r="F46" s="1466"/>
      <c r="G46" s="1465"/>
      <c r="H46" s="1466"/>
      <c r="I46" s="1466"/>
      <c r="J46" s="2520"/>
      <c r="K46" s="2513"/>
      <c r="L46" s="2513"/>
      <c r="M46" s="2663"/>
      <c r="N46" s="2520"/>
      <c r="O46" s="2520"/>
      <c r="P46" s="2513"/>
      <c r="Q46" s="2594"/>
      <c r="R46" s="2662"/>
      <c r="S46" s="2516"/>
      <c r="T46" s="2513" t="s">
        <v>175</v>
      </c>
      <c r="U46" s="1435" t="s">
        <v>176</v>
      </c>
      <c r="V46" s="1675">
        <v>3500000</v>
      </c>
      <c r="W46" s="1449">
        <v>20</v>
      </c>
      <c r="X46" s="1450" t="s">
        <v>129</v>
      </c>
      <c r="Y46" s="2649"/>
      <c r="Z46" s="2670"/>
      <c r="AA46" s="2649"/>
      <c r="AB46" s="2649"/>
      <c r="AC46" s="2649"/>
      <c r="AD46" s="2649"/>
      <c r="AE46" s="2649"/>
      <c r="AF46" s="2649"/>
      <c r="AG46" s="2649"/>
      <c r="AH46" s="2649"/>
      <c r="AI46" s="2649"/>
      <c r="AJ46" s="2649"/>
      <c r="AK46" s="2649"/>
      <c r="AL46" s="2649"/>
      <c r="AM46" s="2649"/>
      <c r="AN46" s="2649"/>
      <c r="AO46" s="2563"/>
      <c r="AP46" s="2563"/>
      <c r="AQ46" s="2510"/>
    </row>
    <row r="47" spans="1:43" ht="33.75" customHeight="1" x14ac:dyDescent="0.2">
      <c r="A47" s="1464"/>
      <c r="B47" s="1466"/>
      <c r="C47" s="1466"/>
      <c r="D47" s="1465"/>
      <c r="E47" s="1466"/>
      <c r="F47" s="1466"/>
      <c r="G47" s="1465"/>
      <c r="H47" s="1466"/>
      <c r="I47" s="1466"/>
      <c r="J47" s="2520"/>
      <c r="K47" s="2513"/>
      <c r="L47" s="2513"/>
      <c r="M47" s="2663"/>
      <c r="N47" s="2520"/>
      <c r="O47" s="2520"/>
      <c r="P47" s="2513"/>
      <c r="Q47" s="2594"/>
      <c r="R47" s="2662"/>
      <c r="S47" s="2516"/>
      <c r="T47" s="2513"/>
      <c r="U47" s="1435" t="s">
        <v>177</v>
      </c>
      <c r="V47" s="1675">
        <v>3500000</v>
      </c>
      <c r="W47" s="1449">
        <v>88</v>
      </c>
      <c r="X47" s="1450" t="s">
        <v>163</v>
      </c>
      <c r="Y47" s="2649"/>
      <c r="Z47" s="2670"/>
      <c r="AA47" s="2649"/>
      <c r="AB47" s="2649"/>
      <c r="AC47" s="2649"/>
      <c r="AD47" s="2649"/>
      <c r="AE47" s="2649"/>
      <c r="AF47" s="2649"/>
      <c r="AG47" s="2649"/>
      <c r="AH47" s="2649"/>
      <c r="AI47" s="2649"/>
      <c r="AJ47" s="2649"/>
      <c r="AK47" s="2649"/>
      <c r="AL47" s="2649"/>
      <c r="AM47" s="2649"/>
      <c r="AN47" s="2649"/>
      <c r="AO47" s="2563"/>
      <c r="AP47" s="2563"/>
      <c r="AQ47" s="2510"/>
    </row>
    <row r="48" spans="1:43" ht="26.25" customHeight="1" x14ac:dyDescent="0.2">
      <c r="A48" s="1464"/>
      <c r="B48" s="1466"/>
      <c r="C48" s="1466"/>
      <c r="D48" s="1465"/>
      <c r="E48" s="1466"/>
      <c r="F48" s="1466"/>
      <c r="G48" s="1465"/>
      <c r="H48" s="1466"/>
      <c r="I48" s="1466"/>
      <c r="J48" s="2520"/>
      <c r="K48" s="2513"/>
      <c r="L48" s="2513"/>
      <c r="M48" s="2663"/>
      <c r="N48" s="2520"/>
      <c r="O48" s="2520"/>
      <c r="P48" s="2513"/>
      <c r="Q48" s="2594"/>
      <c r="R48" s="2662"/>
      <c r="S48" s="2516"/>
      <c r="T48" s="2513"/>
      <c r="U48" s="1435" t="s">
        <v>178</v>
      </c>
      <c r="V48" s="1676">
        <v>7000000</v>
      </c>
      <c r="W48" s="1451">
        <v>20</v>
      </c>
      <c r="X48" s="738" t="s">
        <v>129</v>
      </c>
      <c r="Y48" s="2649"/>
      <c r="Z48" s="2670"/>
      <c r="AA48" s="2649"/>
      <c r="AB48" s="2649"/>
      <c r="AC48" s="2649"/>
      <c r="AD48" s="2649"/>
      <c r="AE48" s="2649"/>
      <c r="AF48" s="2649"/>
      <c r="AG48" s="2649"/>
      <c r="AH48" s="2649"/>
      <c r="AI48" s="2649"/>
      <c r="AJ48" s="2649"/>
      <c r="AK48" s="2649"/>
      <c r="AL48" s="2649"/>
      <c r="AM48" s="2649"/>
      <c r="AN48" s="2649"/>
      <c r="AO48" s="2563"/>
      <c r="AP48" s="2563"/>
      <c r="AQ48" s="2510"/>
    </row>
    <row r="49" spans="1:44" ht="30.75" customHeight="1" x14ac:dyDescent="0.2">
      <c r="A49" s="1464"/>
      <c r="B49" s="1466"/>
      <c r="C49" s="1466"/>
      <c r="D49" s="1465"/>
      <c r="E49" s="1466"/>
      <c r="F49" s="1466"/>
      <c r="G49" s="190"/>
      <c r="H49" s="1466"/>
      <c r="I49" s="1466"/>
      <c r="J49" s="2520"/>
      <c r="K49" s="2513"/>
      <c r="L49" s="2513"/>
      <c r="M49" s="2663"/>
      <c r="N49" s="2520"/>
      <c r="O49" s="2520"/>
      <c r="P49" s="2513"/>
      <c r="Q49" s="2594"/>
      <c r="R49" s="2662"/>
      <c r="S49" s="2516"/>
      <c r="T49" s="2513"/>
      <c r="U49" s="1454" t="s">
        <v>179</v>
      </c>
      <c r="V49" s="1675">
        <v>7000000</v>
      </c>
      <c r="W49" s="1325">
        <v>88</v>
      </c>
      <c r="X49" s="1600" t="s">
        <v>163</v>
      </c>
      <c r="Y49" s="2673"/>
      <c r="Z49" s="2670"/>
      <c r="AA49" s="2649"/>
      <c r="AB49" s="2649"/>
      <c r="AC49" s="2649"/>
      <c r="AD49" s="2649"/>
      <c r="AE49" s="2649"/>
      <c r="AF49" s="2649"/>
      <c r="AG49" s="2649"/>
      <c r="AH49" s="2649"/>
      <c r="AI49" s="2649"/>
      <c r="AJ49" s="2649"/>
      <c r="AK49" s="2649"/>
      <c r="AL49" s="2649"/>
      <c r="AM49" s="2649"/>
      <c r="AN49" s="2649"/>
      <c r="AO49" s="2563"/>
      <c r="AP49" s="2563"/>
      <c r="AQ49" s="2510"/>
    </row>
    <row r="50" spans="1:44" ht="30" customHeight="1" x14ac:dyDescent="0.2">
      <c r="A50" s="177"/>
      <c r="B50" s="178"/>
      <c r="C50" s="178"/>
      <c r="D50" s="191">
        <v>27</v>
      </c>
      <c r="E50" s="2715" t="s">
        <v>180</v>
      </c>
      <c r="F50" s="2715"/>
      <c r="G50" s="2715"/>
      <c r="H50" s="2715"/>
      <c r="I50" s="2715"/>
      <c r="J50" s="2715"/>
      <c r="K50" s="2715"/>
      <c r="L50" s="192"/>
      <c r="M50" s="193"/>
      <c r="N50" s="193"/>
      <c r="O50" s="193"/>
      <c r="P50" s="192"/>
      <c r="Q50" s="194"/>
      <c r="R50" s="195"/>
      <c r="S50" s="196"/>
      <c r="T50" s="196"/>
      <c r="U50" s="1189"/>
      <c r="V50" s="1273"/>
      <c r="W50" s="1274"/>
      <c r="X50" s="1275"/>
      <c r="Y50" s="197"/>
      <c r="Z50" s="198"/>
      <c r="AA50" s="197"/>
      <c r="AB50" s="197"/>
      <c r="AC50" s="197"/>
      <c r="AD50" s="197"/>
      <c r="AE50" s="197"/>
      <c r="AF50" s="197"/>
      <c r="AG50" s="197"/>
      <c r="AH50" s="197"/>
      <c r="AI50" s="197"/>
      <c r="AJ50" s="197"/>
      <c r="AK50" s="197"/>
      <c r="AL50" s="197"/>
      <c r="AM50" s="197"/>
      <c r="AN50" s="197"/>
      <c r="AO50" s="199"/>
      <c r="AP50" s="200"/>
      <c r="AQ50" s="201"/>
    </row>
    <row r="51" spans="1:44" ht="28.5" customHeight="1" x14ac:dyDescent="0.2">
      <c r="A51" s="177"/>
      <c r="B51" s="178"/>
      <c r="C51" s="202"/>
      <c r="D51" s="179"/>
      <c r="E51" s="178"/>
      <c r="F51" s="202"/>
      <c r="G51" s="165">
        <v>85</v>
      </c>
      <c r="H51" s="2672" t="s">
        <v>181</v>
      </c>
      <c r="I51" s="2672"/>
      <c r="J51" s="2672"/>
      <c r="K51" s="2672"/>
      <c r="L51" s="166"/>
      <c r="M51" s="167"/>
      <c r="N51" s="167"/>
      <c r="O51" s="167"/>
      <c r="P51" s="166"/>
      <c r="Q51" s="168"/>
      <c r="R51" s="203"/>
      <c r="S51" s="182"/>
      <c r="T51" s="182"/>
      <c r="U51" s="391"/>
      <c r="V51" s="732"/>
      <c r="W51" s="183"/>
      <c r="X51" s="184"/>
      <c r="Y51" s="185"/>
      <c r="Z51" s="186"/>
      <c r="AA51" s="185"/>
      <c r="AB51" s="185"/>
      <c r="AC51" s="185"/>
      <c r="AD51" s="185"/>
      <c r="AE51" s="185"/>
      <c r="AF51" s="185"/>
      <c r="AG51" s="185"/>
      <c r="AH51" s="185"/>
      <c r="AI51" s="185"/>
      <c r="AJ51" s="185"/>
      <c r="AK51" s="185"/>
      <c r="AL51" s="185"/>
      <c r="AM51" s="185"/>
      <c r="AN51" s="185"/>
      <c r="AO51" s="187"/>
      <c r="AP51" s="188"/>
      <c r="AQ51" s="189"/>
    </row>
    <row r="52" spans="1:44" ht="79.5" customHeight="1" x14ac:dyDescent="0.2">
      <c r="A52" s="204"/>
      <c r="B52" s="205"/>
      <c r="C52" s="206"/>
      <c r="D52" s="207"/>
      <c r="E52" s="205"/>
      <c r="F52" s="205"/>
      <c r="G52" s="208"/>
      <c r="H52" s="205"/>
      <c r="I52" s="205"/>
      <c r="J52" s="2520">
        <v>249</v>
      </c>
      <c r="K52" s="2513" t="s">
        <v>182</v>
      </c>
      <c r="L52" s="2516" t="s">
        <v>183</v>
      </c>
      <c r="M52" s="2663">
        <v>1</v>
      </c>
      <c r="N52" s="2520" t="s">
        <v>184</v>
      </c>
      <c r="O52" s="2520" t="s">
        <v>185</v>
      </c>
      <c r="P52" s="2513" t="s">
        <v>186</v>
      </c>
      <c r="Q52" s="2594">
        <v>1</v>
      </c>
      <c r="R52" s="2662">
        <f>SUM(V52:V65)</f>
        <v>120000000</v>
      </c>
      <c r="S52" s="2513" t="s">
        <v>187</v>
      </c>
      <c r="T52" s="2513" t="s">
        <v>188</v>
      </c>
      <c r="U52" s="733" t="s">
        <v>189</v>
      </c>
      <c r="V52" s="730">
        <v>7354100</v>
      </c>
      <c r="W52" s="1449">
        <v>20</v>
      </c>
      <c r="X52" s="1184" t="s">
        <v>61</v>
      </c>
      <c r="Y52" s="2671">
        <v>294321</v>
      </c>
      <c r="Z52" s="2625">
        <v>283947</v>
      </c>
      <c r="AA52" s="2518">
        <v>135754</v>
      </c>
      <c r="AB52" s="2518">
        <v>44640</v>
      </c>
      <c r="AC52" s="2518">
        <v>308178</v>
      </c>
      <c r="AD52" s="2518">
        <v>89696</v>
      </c>
      <c r="AE52" s="2518">
        <v>2145</v>
      </c>
      <c r="AF52" s="2518">
        <v>12718</v>
      </c>
      <c r="AG52" s="2518">
        <v>26</v>
      </c>
      <c r="AH52" s="2518">
        <v>37</v>
      </c>
      <c r="AI52" s="2518"/>
      <c r="AJ52" s="2518"/>
      <c r="AK52" s="2649">
        <v>54612</v>
      </c>
      <c r="AL52" s="2649">
        <v>16982</v>
      </c>
      <c r="AM52" s="2518">
        <v>1010</v>
      </c>
      <c r="AN52" s="2518">
        <f>Y52+Z52</f>
        <v>578268</v>
      </c>
      <c r="AO52" s="2563">
        <v>43102</v>
      </c>
      <c r="AP52" s="2563">
        <v>43465</v>
      </c>
      <c r="AQ52" s="2520" t="s">
        <v>130</v>
      </c>
    </row>
    <row r="53" spans="1:44" ht="113.25" customHeight="1" x14ac:dyDescent="0.2">
      <c r="A53" s="204"/>
      <c r="B53" s="205"/>
      <c r="C53" s="206"/>
      <c r="D53" s="207"/>
      <c r="E53" s="205"/>
      <c r="F53" s="205"/>
      <c r="G53" s="207"/>
      <c r="H53" s="205"/>
      <c r="I53" s="205"/>
      <c r="J53" s="2520"/>
      <c r="K53" s="2513"/>
      <c r="L53" s="2516"/>
      <c r="M53" s="2663"/>
      <c r="N53" s="2520"/>
      <c r="O53" s="2520"/>
      <c r="P53" s="2513"/>
      <c r="Q53" s="2594"/>
      <c r="R53" s="2662"/>
      <c r="S53" s="2513"/>
      <c r="T53" s="2513"/>
      <c r="U53" s="733" t="s">
        <v>190</v>
      </c>
      <c r="V53" s="730">
        <v>11613500</v>
      </c>
      <c r="W53" s="1449">
        <v>20</v>
      </c>
      <c r="X53" s="1184" t="s">
        <v>61</v>
      </c>
      <c r="Y53" s="2671"/>
      <c r="Z53" s="2625"/>
      <c r="AA53" s="2518"/>
      <c r="AB53" s="2518"/>
      <c r="AC53" s="2518"/>
      <c r="AD53" s="2518"/>
      <c r="AE53" s="2518"/>
      <c r="AF53" s="2518"/>
      <c r="AG53" s="2518"/>
      <c r="AH53" s="2518"/>
      <c r="AI53" s="2518"/>
      <c r="AJ53" s="2518"/>
      <c r="AK53" s="2649"/>
      <c r="AL53" s="2649"/>
      <c r="AM53" s="2518"/>
      <c r="AN53" s="2518"/>
      <c r="AO53" s="2563"/>
      <c r="AP53" s="2563"/>
      <c r="AQ53" s="2520"/>
    </row>
    <row r="54" spans="1:44" ht="144.75" customHeight="1" x14ac:dyDescent="0.2">
      <c r="A54" s="204"/>
      <c r="B54" s="205"/>
      <c r="C54" s="206"/>
      <c r="D54" s="207"/>
      <c r="E54" s="205"/>
      <c r="F54" s="205"/>
      <c r="G54" s="207"/>
      <c r="H54" s="205"/>
      <c r="I54" s="205"/>
      <c r="J54" s="2520"/>
      <c r="K54" s="2513"/>
      <c r="L54" s="2516"/>
      <c r="M54" s="2663"/>
      <c r="N54" s="2520"/>
      <c r="O54" s="2520"/>
      <c r="P54" s="2513"/>
      <c r="Q54" s="2594"/>
      <c r="R54" s="2662"/>
      <c r="S54" s="2513"/>
      <c r="T54" s="2513"/>
      <c r="U54" s="733" t="s">
        <v>191</v>
      </c>
      <c r="V54" s="730">
        <v>17700000</v>
      </c>
      <c r="W54" s="1449">
        <v>20</v>
      </c>
      <c r="X54" s="1184" t="s">
        <v>61</v>
      </c>
      <c r="Y54" s="2671"/>
      <c r="Z54" s="2625"/>
      <c r="AA54" s="2518"/>
      <c r="AB54" s="2518"/>
      <c r="AC54" s="2518"/>
      <c r="AD54" s="2518"/>
      <c r="AE54" s="2518"/>
      <c r="AF54" s="2518"/>
      <c r="AG54" s="2518"/>
      <c r="AH54" s="2518"/>
      <c r="AI54" s="2518"/>
      <c r="AJ54" s="2518"/>
      <c r="AK54" s="2649"/>
      <c r="AL54" s="2649"/>
      <c r="AM54" s="2518"/>
      <c r="AN54" s="2518"/>
      <c r="AO54" s="2563"/>
      <c r="AP54" s="2563"/>
      <c r="AQ54" s="2520"/>
    </row>
    <row r="55" spans="1:44" ht="96.75" customHeight="1" x14ac:dyDescent="0.2">
      <c r="A55" s="204"/>
      <c r="B55" s="205"/>
      <c r="C55" s="206"/>
      <c r="D55" s="207"/>
      <c r="E55" s="205"/>
      <c r="F55" s="205"/>
      <c r="G55" s="207"/>
      <c r="H55" s="205"/>
      <c r="I55" s="205"/>
      <c r="J55" s="2520"/>
      <c r="K55" s="2513"/>
      <c r="L55" s="2516"/>
      <c r="M55" s="2663"/>
      <c r="N55" s="2520"/>
      <c r="O55" s="2520"/>
      <c r="P55" s="2513"/>
      <c r="Q55" s="2594"/>
      <c r="R55" s="2662"/>
      <c r="S55" s="2513"/>
      <c r="T55" s="2513"/>
      <c r="U55" s="733" t="s">
        <v>192</v>
      </c>
      <c r="V55" s="730">
        <f>10000000+7500000</f>
        <v>17500000</v>
      </c>
      <c r="W55" s="1449">
        <v>20</v>
      </c>
      <c r="X55" s="1184" t="s">
        <v>61</v>
      </c>
      <c r="Y55" s="2671"/>
      <c r="Z55" s="2625"/>
      <c r="AA55" s="2518"/>
      <c r="AB55" s="2518"/>
      <c r="AC55" s="2518"/>
      <c r="AD55" s="2518"/>
      <c r="AE55" s="2518"/>
      <c r="AF55" s="2518"/>
      <c r="AG55" s="2518"/>
      <c r="AH55" s="2518"/>
      <c r="AI55" s="2518"/>
      <c r="AJ55" s="2518"/>
      <c r="AK55" s="2649"/>
      <c r="AL55" s="2649"/>
      <c r="AM55" s="2518"/>
      <c r="AN55" s="2518"/>
      <c r="AO55" s="2563"/>
      <c r="AP55" s="2563"/>
      <c r="AQ55" s="2520"/>
    </row>
    <row r="56" spans="1:44" ht="36" customHeight="1" x14ac:dyDescent="0.2">
      <c r="A56" s="204"/>
      <c r="B56" s="205"/>
      <c r="C56" s="206"/>
      <c r="D56" s="207"/>
      <c r="E56" s="205"/>
      <c r="F56" s="205"/>
      <c r="G56" s="207"/>
      <c r="H56" s="205"/>
      <c r="I56" s="205"/>
      <c r="J56" s="2520"/>
      <c r="K56" s="2513"/>
      <c r="L56" s="2516"/>
      <c r="M56" s="2663"/>
      <c r="N56" s="2520"/>
      <c r="O56" s="2520"/>
      <c r="P56" s="2513"/>
      <c r="Q56" s="2594"/>
      <c r="R56" s="2662"/>
      <c r="S56" s="2513"/>
      <c r="T56" s="2514" t="s">
        <v>193</v>
      </c>
      <c r="U56" s="733" t="s">
        <v>194</v>
      </c>
      <c r="V56" s="730">
        <f>17718900-7000000</f>
        <v>10718900</v>
      </c>
      <c r="W56" s="1449">
        <v>20</v>
      </c>
      <c r="X56" s="1184" t="s">
        <v>61</v>
      </c>
      <c r="Y56" s="2671"/>
      <c r="Z56" s="2625"/>
      <c r="AA56" s="2518"/>
      <c r="AB56" s="2518"/>
      <c r="AC56" s="2518"/>
      <c r="AD56" s="2518"/>
      <c r="AE56" s="2518"/>
      <c r="AF56" s="2518"/>
      <c r="AG56" s="2518"/>
      <c r="AH56" s="2518"/>
      <c r="AI56" s="2518"/>
      <c r="AJ56" s="2518"/>
      <c r="AK56" s="2649"/>
      <c r="AL56" s="2649"/>
      <c r="AM56" s="2518"/>
      <c r="AN56" s="2518"/>
      <c r="AO56" s="2563"/>
      <c r="AP56" s="2563"/>
      <c r="AQ56" s="2520"/>
    </row>
    <row r="57" spans="1:44" ht="28.5" customHeight="1" x14ac:dyDescent="0.2">
      <c r="A57" s="204"/>
      <c r="B57" s="205"/>
      <c r="C57" s="206"/>
      <c r="D57" s="207"/>
      <c r="E57" s="205"/>
      <c r="F57" s="205"/>
      <c r="G57" s="207"/>
      <c r="H57" s="205"/>
      <c r="I57" s="205"/>
      <c r="J57" s="2520"/>
      <c r="K57" s="2513"/>
      <c r="L57" s="2516"/>
      <c r="M57" s="2663"/>
      <c r="N57" s="2520"/>
      <c r="O57" s="2520"/>
      <c r="P57" s="2513"/>
      <c r="Q57" s="2594"/>
      <c r="R57" s="2662"/>
      <c r="S57" s="2513"/>
      <c r="T57" s="2645"/>
      <c r="U57" s="733" t="s">
        <v>195</v>
      </c>
      <c r="V57" s="1407">
        <f>0+12000000+2000000+1000000</f>
        <v>15000000</v>
      </c>
      <c r="W57" s="1449">
        <v>20</v>
      </c>
      <c r="X57" s="1184" t="s">
        <v>61</v>
      </c>
      <c r="Y57" s="2671"/>
      <c r="Z57" s="2625"/>
      <c r="AA57" s="2518"/>
      <c r="AB57" s="2518"/>
      <c r="AC57" s="2518"/>
      <c r="AD57" s="2518"/>
      <c r="AE57" s="2518"/>
      <c r="AF57" s="2518"/>
      <c r="AG57" s="2518"/>
      <c r="AH57" s="2518"/>
      <c r="AI57" s="2518"/>
      <c r="AJ57" s="2518"/>
      <c r="AK57" s="2649"/>
      <c r="AL57" s="2649"/>
      <c r="AM57" s="2518"/>
      <c r="AN57" s="2518"/>
      <c r="AO57" s="2563"/>
      <c r="AP57" s="2563"/>
      <c r="AQ57" s="2520"/>
    </row>
    <row r="58" spans="1:44" ht="36.75" customHeight="1" x14ac:dyDescent="0.2">
      <c r="A58" s="204"/>
      <c r="B58" s="205"/>
      <c r="C58" s="206"/>
      <c r="D58" s="207"/>
      <c r="E58" s="205"/>
      <c r="F58" s="205"/>
      <c r="G58" s="207"/>
      <c r="H58" s="205"/>
      <c r="I58" s="205"/>
      <c r="J58" s="2520"/>
      <c r="K58" s="2513"/>
      <c r="L58" s="2516"/>
      <c r="M58" s="2663"/>
      <c r="N58" s="2520"/>
      <c r="O58" s="2520"/>
      <c r="P58" s="2513"/>
      <c r="Q58" s="2594"/>
      <c r="R58" s="2662"/>
      <c r="S58" s="2513"/>
      <c r="T58" s="2645"/>
      <c r="U58" s="1033" t="s">
        <v>196</v>
      </c>
      <c r="V58" s="1407">
        <f>15613500-5306750</f>
        <v>10306750</v>
      </c>
      <c r="W58" s="1449">
        <v>20</v>
      </c>
      <c r="X58" s="1184" t="s">
        <v>61</v>
      </c>
      <c r="Y58" s="2671"/>
      <c r="Z58" s="2625"/>
      <c r="AA58" s="2518"/>
      <c r="AB58" s="2518"/>
      <c r="AC58" s="2518"/>
      <c r="AD58" s="2518"/>
      <c r="AE58" s="2518"/>
      <c r="AF58" s="2518"/>
      <c r="AG58" s="2518"/>
      <c r="AH58" s="2518"/>
      <c r="AI58" s="2518"/>
      <c r="AJ58" s="2518"/>
      <c r="AK58" s="2649"/>
      <c r="AL58" s="2649"/>
      <c r="AM58" s="2518"/>
      <c r="AN58" s="2518"/>
      <c r="AO58" s="2563"/>
      <c r="AP58" s="2563"/>
      <c r="AQ58" s="2520"/>
    </row>
    <row r="59" spans="1:44" ht="36.75" customHeight="1" x14ac:dyDescent="0.2">
      <c r="A59" s="204"/>
      <c r="B59" s="205"/>
      <c r="C59" s="206"/>
      <c r="D59" s="207"/>
      <c r="E59" s="205"/>
      <c r="F59" s="205"/>
      <c r="G59" s="207"/>
      <c r="H59" s="205"/>
      <c r="I59" s="205"/>
      <c r="J59" s="2520"/>
      <c r="K59" s="2513"/>
      <c r="L59" s="2516"/>
      <c r="M59" s="2663"/>
      <c r="N59" s="2520"/>
      <c r="O59" s="2520"/>
      <c r="P59" s="2513"/>
      <c r="Q59" s="2594"/>
      <c r="R59" s="2662"/>
      <c r="S59" s="2513"/>
      <c r="T59" s="2645"/>
      <c r="U59" s="1033" t="s">
        <v>197</v>
      </c>
      <c r="V59" s="1407">
        <f>0+4500000</f>
        <v>4500000</v>
      </c>
      <c r="W59" s="1449"/>
      <c r="X59" s="1184"/>
      <c r="Y59" s="2671"/>
      <c r="Z59" s="2625"/>
      <c r="AA59" s="2518"/>
      <c r="AB59" s="2518"/>
      <c r="AC59" s="2518"/>
      <c r="AD59" s="2518"/>
      <c r="AE59" s="2518"/>
      <c r="AF59" s="2518"/>
      <c r="AG59" s="2518"/>
      <c r="AH59" s="2518"/>
      <c r="AI59" s="2518"/>
      <c r="AJ59" s="2518"/>
      <c r="AK59" s="2649"/>
      <c r="AL59" s="2649"/>
      <c r="AM59" s="2518"/>
      <c r="AN59" s="2518"/>
      <c r="AO59" s="2563"/>
      <c r="AP59" s="2563"/>
      <c r="AQ59" s="2520"/>
    </row>
    <row r="60" spans="1:44" ht="25.5" customHeight="1" x14ac:dyDescent="0.2">
      <c r="A60" s="204"/>
      <c r="B60" s="205"/>
      <c r="C60" s="206"/>
      <c r="D60" s="207"/>
      <c r="E60" s="205"/>
      <c r="F60" s="205"/>
      <c r="G60" s="207"/>
      <c r="H60" s="205"/>
      <c r="I60" s="205"/>
      <c r="J60" s="2520"/>
      <c r="K60" s="2513"/>
      <c r="L60" s="2516"/>
      <c r="M60" s="2663"/>
      <c r="N60" s="2520"/>
      <c r="O60" s="2520"/>
      <c r="P60" s="2513"/>
      <c r="Q60" s="2594"/>
      <c r="R60" s="2662"/>
      <c r="S60" s="2513"/>
      <c r="T60" s="2645"/>
      <c r="U60" s="1033" t="s">
        <v>198</v>
      </c>
      <c r="V60" s="1407">
        <f>0+4000000+5806750-9806750</f>
        <v>0</v>
      </c>
      <c r="W60" s="1449">
        <v>20</v>
      </c>
      <c r="X60" s="1184" t="s">
        <v>61</v>
      </c>
      <c r="Y60" s="2671"/>
      <c r="Z60" s="2625"/>
      <c r="AA60" s="2518"/>
      <c r="AB60" s="2518"/>
      <c r="AC60" s="2518"/>
      <c r="AD60" s="2518"/>
      <c r="AE60" s="2518"/>
      <c r="AF60" s="2518"/>
      <c r="AG60" s="2518"/>
      <c r="AH60" s="2518"/>
      <c r="AI60" s="2518"/>
      <c r="AJ60" s="2518"/>
      <c r="AK60" s="2649"/>
      <c r="AL60" s="2649"/>
      <c r="AM60" s="2518"/>
      <c r="AN60" s="2518"/>
      <c r="AO60" s="2563"/>
      <c r="AP60" s="2563"/>
      <c r="AQ60" s="2520"/>
      <c r="AR60" s="2419"/>
    </row>
    <row r="61" spans="1:44" ht="27.75" customHeight="1" x14ac:dyDescent="0.2">
      <c r="A61" s="204"/>
      <c r="B61" s="205"/>
      <c r="C61" s="206"/>
      <c r="D61" s="207"/>
      <c r="E61" s="205"/>
      <c r="F61" s="205"/>
      <c r="G61" s="207"/>
      <c r="H61" s="205"/>
      <c r="I61" s="205"/>
      <c r="J61" s="2520"/>
      <c r="K61" s="2513"/>
      <c r="L61" s="2516"/>
      <c r="M61" s="2663"/>
      <c r="N61" s="2520"/>
      <c r="O61" s="2520"/>
      <c r="P61" s="2513"/>
      <c r="Q61" s="2594"/>
      <c r="R61" s="2662"/>
      <c r="S61" s="2513"/>
      <c r="T61" s="2645"/>
      <c r="U61" s="1033" t="s">
        <v>199</v>
      </c>
      <c r="V61" s="1407">
        <f>0+500000-500000</f>
        <v>0</v>
      </c>
      <c r="W61" s="1449">
        <v>20</v>
      </c>
      <c r="X61" s="1184" t="s">
        <v>61</v>
      </c>
      <c r="Y61" s="2671"/>
      <c r="Z61" s="2625"/>
      <c r="AA61" s="2518"/>
      <c r="AB61" s="2518"/>
      <c r="AC61" s="2518"/>
      <c r="AD61" s="2518"/>
      <c r="AE61" s="2518"/>
      <c r="AF61" s="2518"/>
      <c r="AG61" s="2518"/>
      <c r="AH61" s="2518"/>
      <c r="AI61" s="2518"/>
      <c r="AJ61" s="2518"/>
      <c r="AK61" s="2649"/>
      <c r="AL61" s="2649"/>
      <c r="AM61" s="2518"/>
      <c r="AN61" s="2518"/>
      <c r="AO61" s="2563"/>
      <c r="AP61" s="2563"/>
      <c r="AQ61" s="2520"/>
    </row>
    <row r="62" spans="1:44" ht="27.75" customHeight="1" x14ac:dyDescent="0.2">
      <c r="A62" s="204"/>
      <c r="B62" s="205"/>
      <c r="C62" s="206"/>
      <c r="D62" s="207"/>
      <c r="E62" s="205"/>
      <c r="F62" s="205"/>
      <c r="G62" s="207"/>
      <c r="H62" s="205"/>
      <c r="I62" s="205"/>
      <c r="J62" s="2520"/>
      <c r="K62" s="2513"/>
      <c r="L62" s="2516"/>
      <c r="M62" s="2663"/>
      <c r="N62" s="2520"/>
      <c r="O62" s="2520"/>
      <c r="P62" s="2513"/>
      <c r="Q62" s="2594"/>
      <c r="R62" s="2662"/>
      <c r="S62" s="2513"/>
      <c r="T62" s="2645"/>
      <c r="U62" s="1033" t="s">
        <v>200</v>
      </c>
      <c r="V62" s="1407">
        <f>0+10306750</f>
        <v>10306750</v>
      </c>
      <c r="W62" s="1449">
        <v>20</v>
      </c>
      <c r="X62" s="1184" t="s">
        <v>61</v>
      </c>
      <c r="Y62" s="2671"/>
      <c r="Z62" s="2625"/>
      <c r="AA62" s="2518"/>
      <c r="AB62" s="2518"/>
      <c r="AC62" s="2518"/>
      <c r="AD62" s="2518"/>
      <c r="AE62" s="2518"/>
      <c r="AF62" s="2518"/>
      <c r="AG62" s="2518"/>
      <c r="AH62" s="2518"/>
      <c r="AI62" s="2518"/>
      <c r="AJ62" s="2518"/>
      <c r="AK62" s="2649"/>
      <c r="AL62" s="2649"/>
      <c r="AM62" s="2518"/>
      <c r="AN62" s="2518"/>
      <c r="AO62" s="2563"/>
      <c r="AP62" s="2563"/>
      <c r="AQ62" s="2520"/>
    </row>
    <row r="63" spans="1:44" ht="27" customHeight="1" x14ac:dyDescent="0.2">
      <c r="A63" s="204"/>
      <c r="B63" s="205"/>
      <c r="C63" s="206"/>
      <c r="D63" s="207"/>
      <c r="E63" s="205"/>
      <c r="F63" s="205"/>
      <c r="G63" s="207"/>
      <c r="H63" s="205"/>
      <c r="I63" s="205"/>
      <c r="J63" s="2520"/>
      <c r="K63" s="2513"/>
      <c r="L63" s="2516"/>
      <c r="M63" s="2663"/>
      <c r="N63" s="2520"/>
      <c r="O63" s="2520"/>
      <c r="P63" s="2513"/>
      <c r="Q63" s="2594"/>
      <c r="R63" s="2662"/>
      <c r="S63" s="2513"/>
      <c r="T63" s="2512"/>
      <c r="U63" s="1033" t="s">
        <v>201</v>
      </c>
      <c r="V63" s="1407">
        <f>0+500000-500000</f>
        <v>0</v>
      </c>
      <c r="W63" s="1449">
        <v>20</v>
      </c>
      <c r="X63" s="1184" t="s">
        <v>61</v>
      </c>
      <c r="Y63" s="2671"/>
      <c r="Z63" s="2625"/>
      <c r="AA63" s="2518"/>
      <c r="AB63" s="2518"/>
      <c r="AC63" s="2518"/>
      <c r="AD63" s="2518"/>
      <c r="AE63" s="2518"/>
      <c r="AF63" s="2518"/>
      <c r="AG63" s="2518"/>
      <c r="AH63" s="2518"/>
      <c r="AI63" s="2518"/>
      <c r="AJ63" s="2518"/>
      <c r="AK63" s="2649"/>
      <c r="AL63" s="2649"/>
      <c r="AM63" s="2518"/>
      <c r="AN63" s="2518"/>
      <c r="AO63" s="2563"/>
      <c r="AP63" s="2563"/>
      <c r="AQ63" s="2520"/>
    </row>
    <row r="64" spans="1:44" ht="49.5" customHeight="1" x14ac:dyDescent="0.2">
      <c r="A64" s="204"/>
      <c r="B64" s="205"/>
      <c r="C64" s="206"/>
      <c r="D64" s="207"/>
      <c r="E64" s="205"/>
      <c r="F64" s="205"/>
      <c r="G64" s="207"/>
      <c r="H64" s="205"/>
      <c r="I64" s="205"/>
      <c r="J64" s="2520"/>
      <c r="K64" s="2513"/>
      <c r="L64" s="2516"/>
      <c r="M64" s="2663"/>
      <c r="N64" s="2520"/>
      <c r="O64" s="2520"/>
      <c r="P64" s="2513"/>
      <c r="Q64" s="2594"/>
      <c r="R64" s="2662"/>
      <c r="S64" s="2513"/>
      <c r="T64" s="2513" t="s">
        <v>202</v>
      </c>
      <c r="U64" s="734" t="s">
        <v>203</v>
      </c>
      <c r="V64" s="1407">
        <f>20000000-5000000-2000000-1000000-7500000</f>
        <v>4500000</v>
      </c>
      <c r="W64" s="1449">
        <v>20</v>
      </c>
      <c r="X64" s="1184" t="s">
        <v>61</v>
      </c>
      <c r="Y64" s="2671"/>
      <c r="Z64" s="2625"/>
      <c r="AA64" s="2518"/>
      <c r="AB64" s="2518"/>
      <c r="AC64" s="2518"/>
      <c r="AD64" s="2518"/>
      <c r="AE64" s="2518"/>
      <c r="AF64" s="2518"/>
      <c r="AG64" s="2518"/>
      <c r="AH64" s="2518"/>
      <c r="AI64" s="2518"/>
      <c r="AJ64" s="2518"/>
      <c r="AK64" s="2649"/>
      <c r="AL64" s="2649"/>
      <c r="AM64" s="2518"/>
      <c r="AN64" s="2518"/>
      <c r="AO64" s="2563"/>
      <c r="AP64" s="2563"/>
      <c r="AQ64" s="2520"/>
    </row>
    <row r="65" spans="1:44" ht="46.5" customHeight="1" x14ac:dyDescent="0.2">
      <c r="A65" s="204"/>
      <c r="B65" s="205"/>
      <c r="C65" s="206"/>
      <c r="D65" s="207"/>
      <c r="E65" s="205"/>
      <c r="F65" s="205"/>
      <c r="G65" s="207"/>
      <c r="H65" s="205"/>
      <c r="I65" s="205"/>
      <c r="J65" s="2520"/>
      <c r="K65" s="2513"/>
      <c r="L65" s="2516"/>
      <c r="M65" s="2663"/>
      <c r="N65" s="2520"/>
      <c r="O65" s="2520"/>
      <c r="P65" s="2513"/>
      <c r="Q65" s="2594"/>
      <c r="R65" s="2662"/>
      <c r="S65" s="2513"/>
      <c r="T65" s="2513"/>
      <c r="U65" s="734" t="s">
        <v>204</v>
      </c>
      <c r="V65" s="1407">
        <f>20000000-5000000-4500000</f>
        <v>10500000</v>
      </c>
      <c r="W65" s="1449">
        <v>20</v>
      </c>
      <c r="X65" s="1184" t="s">
        <v>61</v>
      </c>
      <c r="Y65" s="2671"/>
      <c r="Z65" s="2625"/>
      <c r="AA65" s="2518"/>
      <c r="AB65" s="2518"/>
      <c r="AC65" s="2518"/>
      <c r="AD65" s="2518"/>
      <c r="AE65" s="2518"/>
      <c r="AF65" s="2518"/>
      <c r="AG65" s="2518"/>
      <c r="AH65" s="2518"/>
      <c r="AI65" s="2518"/>
      <c r="AJ65" s="2518"/>
      <c r="AK65" s="2649"/>
      <c r="AL65" s="2649"/>
      <c r="AM65" s="2518"/>
      <c r="AN65" s="2518"/>
      <c r="AO65" s="2563"/>
      <c r="AP65" s="2563"/>
      <c r="AQ65" s="2520"/>
    </row>
    <row r="66" spans="1:44" ht="30" customHeight="1" x14ac:dyDescent="0.2">
      <c r="A66" s="177"/>
      <c r="B66" s="178"/>
      <c r="C66" s="202"/>
      <c r="D66" s="209">
        <v>28</v>
      </c>
      <c r="E66" s="210"/>
      <c r="F66" s="2716" t="s">
        <v>205</v>
      </c>
      <c r="G66" s="2716"/>
      <c r="H66" s="2716"/>
      <c r="I66" s="2716"/>
      <c r="J66" s="2716"/>
      <c r="K66" s="2716"/>
      <c r="L66" s="211"/>
      <c r="M66" s="212"/>
      <c r="N66" s="212"/>
      <c r="O66" s="212"/>
      <c r="P66" s="211"/>
      <c r="Q66" s="213"/>
      <c r="R66" s="214"/>
      <c r="S66" s="215"/>
      <c r="T66" s="215"/>
      <c r="U66" s="1190"/>
      <c r="V66" s="1258"/>
      <c r="W66" s="216"/>
      <c r="X66" s="217"/>
      <c r="Y66" s="218"/>
      <c r="Z66" s="219"/>
      <c r="AA66" s="218"/>
      <c r="AB66" s="218"/>
      <c r="AC66" s="218"/>
      <c r="AD66" s="218"/>
      <c r="AE66" s="218"/>
      <c r="AF66" s="218"/>
      <c r="AG66" s="218"/>
      <c r="AH66" s="218"/>
      <c r="AI66" s="218"/>
      <c r="AJ66" s="218"/>
      <c r="AK66" s="218"/>
      <c r="AL66" s="218"/>
      <c r="AM66" s="218"/>
      <c r="AN66" s="218"/>
      <c r="AO66" s="220"/>
      <c r="AP66" s="221"/>
      <c r="AQ66" s="222"/>
    </row>
    <row r="67" spans="1:44" ht="23.25" customHeight="1" x14ac:dyDescent="0.2">
      <c r="A67" s="177"/>
      <c r="B67" s="178"/>
      <c r="C67" s="178"/>
      <c r="D67" s="223"/>
      <c r="E67" s="224"/>
      <c r="F67" s="225"/>
      <c r="G67" s="165">
        <v>87</v>
      </c>
      <c r="H67" s="172" t="s">
        <v>206</v>
      </c>
      <c r="I67" s="172"/>
      <c r="J67" s="172"/>
      <c r="K67" s="172"/>
      <c r="L67" s="166"/>
      <c r="M67" s="167"/>
      <c r="N67" s="226"/>
      <c r="O67" s="226"/>
      <c r="P67" s="166"/>
      <c r="Q67" s="168"/>
      <c r="R67" s="203"/>
      <c r="S67" s="182"/>
      <c r="T67" s="182"/>
      <c r="U67" s="391"/>
      <c r="V67" s="732"/>
      <c r="W67" s="227"/>
      <c r="X67" s="228"/>
      <c r="Y67" s="185"/>
      <c r="Z67" s="186"/>
      <c r="AA67" s="185"/>
      <c r="AB67" s="229"/>
      <c r="AC67" s="229"/>
      <c r="AD67" s="229"/>
      <c r="AE67" s="229"/>
      <c r="AF67" s="229"/>
      <c r="AG67" s="185"/>
      <c r="AH67" s="185"/>
      <c r="AI67" s="185"/>
      <c r="AJ67" s="185"/>
      <c r="AK67" s="185"/>
      <c r="AL67" s="185"/>
      <c r="AM67" s="185"/>
      <c r="AN67" s="185"/>
      <c r="AO67" s="187"/>
      <c r="AP67" s="188"/>
      <c r="AQ67" s="189"/>
    </row>
    <row r="68" spans="1:44" ht="37.5" customHeight="1" x14ac:dyDescent="0.2">
      <c r="A68" s="1464"/>
      <c r="B68" s="1466"/>
      <c r="C68" s="1466"/>
      <c r="D68" s="1465"/>
      <c r="E68" s="1466"/>
      <c r="F68" s="1466"/>
      <c r="G68" s="230"/>
      <c r="H68" s="231"/>
      <c r="I68" s="231"/>
      <c r="J68" s="2510">
        <v>257</v>
      </c>
      <c r="K68" s="2513" t="s">
        <v>207</v>
      </c>
      <c r="L68" s="2513" t="s">
        <v>208</v>
      </c>
      <c r="M68" s="2661">
        <v>1</v>
      </c>
      <c r="N68" s="2540" t="s">
        <v>2034</v>
      </c>
      <c r="O68" s="2540" t="s">
        <v>209</v>
      </c>
      <c r="P68" s="2624" t="s">
        <v>210</v>
      </c>
      <c r="Q68" s="2594">
        <f>SUM(V68:V76)/R68</f>
        <v>0.5551270815074496</v>
      </c>
      <c r="R68" s="2668">
        <f>SUM(V68:V83)</f>
        <v>399350000</v>
      </c>
      <c r="S68" s="2514" t="s">
        <v>211</v>
      </c>
      <c r="T68" s="2513" t="s">
        <v>212</v>
      </c>
      <c r="U68" s="1443" t="s">
        <v>213</v>
      </c>
      <c r="V68" s="1407">
        <f>23200000-1208000</f>
        <v>21992000</v>
      </c>
      <c r="W68" s="1677" t="s">
        <v>214</v>
      </c>
      <c r="X68" s="1678" t="s">
        <v>215</v>
      </c>
      <c r="Y68" s="2653">
        <v>294321</v>
      </c>
      <c r="Z68" s="2646">
        <v>283947</v>
      </c>
      <c r="AA68" s="2664">
        <v>135754</v>
      </c>
      <c r="AB68" s="2652">
        <v>44640</v>
      </c>
      <c r="AC68" s="2652">
        <v>308178</v>
      </c>
      <c r="AD68" s="2652">
        <v>89696</v>
      </c>
      <c r="AE68" s="2652">
        <v>2145</v>
      </c>
      <c r="AF68" s="2652">
        <v>12718</v>
      </c>
      <c r="AG68" s="2646">
        <v>26</v>
      </c>
      <c r="AH68" s="2646">
        <v>37</v>
      </c>
      <c r="AI68" s="2646"/>
      <c r="AJ68" s="2646"/>
      <c r="AK68" s="2649">
        <v>54612</v>
      </c>
      <c r="AL68" s="2646">
        <v>16982</v>
      </c>
      <c r="AM68" s="2646">
        <v>1010</v>
      </c>
      <c r="AN68" s="2646">
        <f>Y68+Z68</f>
        <v>578268</v>
      </c>
      <c r="AO68" s="2567">
        <v>43102</v>
      </c>
      <c r="AP68" s="2567">
        <v>43465</v>
      </c>
      <c r="AQ68" s="2511" t="s">
        <v>130</v>
      </c>
    </row>
    <row r="69" spans="1:44" ht="39.75" customHeight="1" x14ac:dyDescent="0.2">
      <c r="A69" s="1464"/>
      <c r="B69" s="1466"/>
      <c r="C69" s="1466"/>
      <c r="D69" s="1465"/>
      <c r="E69" s="1466"/>
      <c r="F69" s="1466"/>
      <c r="G69" s="1465"/>
      <c r="H69" s="1466"/>
      <c r="I69" s="1466"/>
      <c r="J69" s="2510"/>
      <c r="K69" s="2513"/>
      <c r="L69" s="2513"/>
      <c r="M69" s="2661"/>
      <c r="N69" s="2597"/>
      <c r="O69" s="2597"/>
      <c r="P69" s="2667"/>
      <c r="Q69" s="2594"/>
      <c r="R69" s="2669"/>
      <c r="S69" s="2645"/>
      <c r="T69" s="2513"/>
      <c r="U69" s="1443" t="s">
        <v>216</v>
      </c>
      <c r="V69" s="1407">
        <f>68400000-68400000</f>
        <v>0</v>
      </c>
      <c r="W69" s="1677" t="s">
        <v>214</v>
      </c>
      <c r="X69" s="1678" t="s">
        <v>215</v>
      </c>
      <c r="Y69" s="2654"/>
      <c r="Z69" s="2647"/>
      <c r="AA69" s="2665"/>
      <c r="AB69" s="2652"/>
      <c r="AC69" s="2652"/>
      <c r="AD69" s="2652"/>
      <c r="AE69" s="2652"/>
      <c r="AF69" s="2652"/>
      <c r="AG69" s="2647"/>
      <c r="AH69" s="2647"/>
      <c r="AI69" s="2647"/>
      <c r="AJ69" s="2647"/>
      <c r="AK69" s="2649"/>
      <c r="AL69" s="2647"/>
      <c r="AM69" s="2647"/>
      <c r="AN69" s="2647"/>
      <c r="AO69" s="2650"/>
      <c r="AP69" s="2650"/>
      <c r="AQ69" s="2644"/>
    </row>
    <row r="70" spans="1:44" ht="32.25" customHeight="1" x14ac:dyDescent="0.2">
      <c r="A70" s="1464"/>
      <c r="B70" s="1466"/>
      <c r="C70" s="1466"/>
      <c r="D70" s="1465"/>
      <c r="E70" s="1466"/>
      <c r="F70" s="1466"/>
      <c r="G70" s="1465"/>
      <c r="H70" s="1466"/>
      <c r="I70" s="1466"/>
      <c r="J70" s="2510"/>
      <c r="K70" s="2513"/>
      <c r="L70" s="2513"/>
      <c r="M70" s="2661"/>
      <c r="N70" s="2597"/>
      <c r="O70" s="2597"/>
      <c r="P70" s="2667"/>
      <c r="Q70" s="2594"/>
      <c r="R70" s="2669"/>
      <c r="S70" s="2645"/>
      <c r="T70" s="2513"/>
      <c r="U70" s="2657" t="s">
        <v>217</v>
      </c>
      <c r="V70" s="1407">
        <f>0+69608000</f>
        <v>69608000</v>
      </c>
      <c r="W70" s="1677" t="s">
        <v>214</v>
      </c>
      <c r="X70" s="1678" t="s">
        <v>215</v>
      </c>
      <c r="Y70" s="2654"/>
      <c r="Z70" s="2647"/>
      <c r="AA70" s="2665"/>
      <c r="AB70" s="2652"/>
      <c r="AC70" s="2652"/>
      <c r="AD70" s="2652"/>
      <c r="AE70" s="2652"/>
      <c r="AF70" s="2652"/>
      <c r="AG70" s="2647"/>
      <c r="AH70" s="2647"/>
      <c r="AI70" s="2647"/>
      <c r="AJ70" s="2647"/>
      <c r="AK70" s="2649"/>
      <c r="AL70" s="2647"/>
      <c r="AM70" s="2647"/>
      <c r="AN70" s="2647"/>
      <c r="AO70" s="2650"/>
      <c r="AP70" s="2650"/>
      <c r="AQ70" s="2644"/>
    </row>
    <row r="71" spans="1:44" ht="30.75" customHeight="1" x14ac:dyDescent="0.2">
      <c r="A71" s="1464"/>
      <c r="B71" s="1466"/>
      <c r="C71" s="1466"/>
      <c r="D71" s="1465"/>
      <c r="E71" s="1466"/>
      <c r="F71" s="1466"/>
      <c r="G71" s="1465"/>
      <c r="H71" s="1466"/>
      <c r="I71" s="1466"/>
      <c r="J71" s="2510"/>
      <c r="K71" s="2513"/>
      <c r="L71" s="2513"/>
      <c r="M71" s="2661"/>
      <c r="N71" s="2597"/>
      <c r="O71" s="2597"/>
      <c r="P71" s="2667"/>
      <c r="Q71" s="2594"/>
      <c r="R71" s="2669"/>
      <c r="S71" s="2645"/>
      <c r="T71" s="2513"/>
      <c r="U71" s="2658"/>
      <c r="V71" s="1679">
        <f>0+25833800+21050000</f>
        <v>46883800</v>
      </c>
      <c r="W71" s="1677">
        <v>88</v>
      </c>
      <c r="X71" s="1678" t="s">
        <v>218</v>
      </c>
      <c r="Y71" s="2654"/>
      <c r="Z71" s="2647"/>
      <c r="AA71" s="2665"/>
      <c r="AB71" s="2652"/>
      <c r="AC71" s="2652"/>
      <c r="AD71" s="2652"/>
      <c r="AE71" s="2652"/>
      <c r="AF71" s="2652"/>
      <c r="AG71" s="2647"/>
      <c r="AH71" s="2647"/>
      <c r="AI71" s="2647"/>
      <c r="AJ71" s="2647"/>
      <c r="AK71" s="2649"/>
      <c r="AL71" s="2647"/>
      <c r="AM71" s="2647"/>
      <c r="AN71" s="2647"/>
      <c r="AO71" s="2650"/>
      <c r="AP71" s="2650"/>
      <c r="AQ71" s="2644"/>
      <c r="AR71" s="2419"/>
    </row>
    <row r="72" spans="1:44" ht="27.75" customHeight="1" x14ac:dyDescent="0.2">
      <c r="A72" s="1464"/>
      <c r="B72" s="1466"/>
      <c r="C72" s="1466"/>
      <c r="D72" s="1465"/>
      <c r="E72" s="1466"/>
      <c r="F72" s="1466"/>
      <c r="G72" s="1465"/>
      <c r="H72" s="1466"/>
      <c r="I72" s="1466"/>
      <c r="J72" s="2510"/>
      <c r="K72" s="2513"/>
      <c r="L72" s="2513"/>
      <c r="M72" s="2661"/>
      <c r="N72" s="2597"/>
      <c r="O72" s="2597"/>
      <c r="P72" s="2667"/>
      <c r="Q72" s="2594"/>
      <c r="R72" s="2669"/>
      <c r="S72" s="2645"/>
      <c r="T72" s="2580"/>
      <c r="U72" s="2659" t="s">
        <v>219</v>
      </c>
      <c r="V72" s="1680">
        <f>68400000-6360000</f>
        <v>62040000</v>
      </c>
      <c r="W72" s="1677" t="s">
        <v>214</v>
      </c>
      <c r="X72" s="1678" t="s">
        <v>215</v>
      </c>
      <c r="Y72" s="2654"/>
      <c r="Z72" s="2647"/>
      <c r="AA72" s="2665"/>
      <c r="AB72" s="2652"/>
      <c r="AC72" s="2652"/>
      <c r="AD72" s="2652"/>
      <c r="AE72" s="2652"/>
      <c r="AF72" s="2652"/>
      <c r="AG72" s="2647"/>
      <c r="AH72" s="2647"/>
      <c r="AI72" s="2647"/>
      <c r="AJ72" s="2647"/>
      <c r="AK72" s="2649"/>
      <c r="AL72" s="2647"/>
      <c r="AM72" s="2647"/>
      <c r="AN72" s="2647"/>
      <c r="AO72" s="2650"/>
      <c r="AP72" s="2650"/>
      <c r="AQ72" s="2644"/>
    </row>
    <row r="73" spans="1:44" ht="32.25" customHeight="1" x14ac:dyDescent="0.2">
      <c r="A73" s="1464"/>
      <c r="B73" s="1466"/>
      <c r="C73" s="1466"/>
      <c r="D73" s="1465"/>
      <c r="E73" s="1466"/>
      <c r="F73" s="1466"/>
      <c r="G73" s="1465"/>
      <c r="H73" s="1466"/>
      <c r="I73" s="1466"/>
      <c r="J73" s="2510"/>
      <c r="K73" s="2513"/>
      <c r="L73" s="2513"/>
      <c r="M73" s="2661"/>
      <c r="N73" s="2597"/>
      <c r="O73" s="2597"/>
      <c r="P73" s="2667"/>
      <c r="Q73" s="2594"/>
      <c r="R73" s="2669"/>
      <c r="S73" s="2645"/>
      <c r="T73" s="2580"/>
      <c r="U73" s="2659"/>
      <c r="V73" s="1681">
        <f>0+4584800</f>
        <v>4584800</v>
      </c>
      <c r="W73" s="1393">
        <v>88</v>
      </c>
      <c r="X73" s="1682" t="s">
        <v>218</v>
      </c>
      <c r="Y73" s="2655"/>
      <c r="Z73" s="2647"/>
      <c r="AA73" s="2665"/>
      <c r="AB73" s="2652"/>
      <c r="AC73" s="2652"/>
      <c r="AD73" s="2652"/>
      <c r="AE73" s="2652"/>
      <c r="AF73" s="2652"/>
      <c r="AG73" s="2647"/>
      <c r="AH73" s="2647"/>
      <c r="AI73" s="2647"/>
      <c r="AJ73" s="2647"/>
      <c r="AK73" s="2649"/>
      <c r="AL73" s="2647"/>
      <c r="AM73" s="2647"/>
      <c r="AN73" s="2647"/>
      <c r="AO73" s="2650"/>
      <c r="AP73" s="2650"/>
      <c r="AQ73" s="2644"/>
    </row>
    <row r="74" spans="1:44" ht="24" customHeight="1" x14ac:dyDescent="0.2">
      <c r="A74" s="1464"/>
      <c r="B74" s="1466"/>
      <c r="C74" s="1466"/>
      <c r="D74" s="1465"/>
      <c r="E74" s="1466"/>
      <c r="F74" s="1466"/>
      <c r="G74" s="1465"/>
      <c r="H74" s="1466"/>
      <c r="I74" s="1466"/>
      <c r="J74" s="2510"/>
      <c r="K74" s="2513"/>
      <c r="L74" s="2513"/>
      <c r="M74" s="2661"/>
      <c r="N74" s="2597"/>
      <c r="O74" s="2597"/>
      <c r="P74" s="2667"/>
      <c r="Q74" s="2594"/>
      <c r="R74" s="2669"/>
      <c r="S74" s="2645"/>
      <c r="T74" s="2580"/>
      <c r="U74" s="1359" t="s">
        <v>220</v>
      </c>
      <c r="V74" s="1683">
        <f>0+6360000</f>
        <v>6360000</v>
      </c>
      <c r="W74" s="1684" t="s">
        <v>214</v>
      </c>
      <c r="X74" s="1685" t="s">
        <v>215</v>
      </c>
      <c r="Y74" s="2655"/>
      <c r="Z74" s="2647"/>
      <c r="AA74" s="2665"/>
      <c r="AB74" s="2652"/>
      <c r="AC74" s="2652"/>
      <c r="AD74" s="2652"/>
      <c r="AE74" s="2652"/>
      <c r="AF74" s="2652"/>
      <c r="AG74" s="2647"/>
      <c r="AH74" s="2647"/>
      <c r="AI74" s="2647"/>
      <c r="AJ74" s="2647"/>
      <c r="AK74" s="2649"/>
      <c r="AL74" s="2647"/>
      <c r="AM74" s="2647"/>
      <c r="AN74" s="2647"/>
      <c r="AO74" s="2650"/>
      <c r="AP74" s="2650"/>
      <c r="AQ74" s="2644"/>
    </row>
    <row r="75" spans="1:44" ht="30.75" customHeight="1" x14ac:dyDescent="0.2">
      <c r="A75" s="1464"/>
      <c r="B75" s="1466"/>
      <c r="C75" s="1466"/>
      <c r="D75" s="1465"/>
      <c r="E75" s="1466"/>
      <c r="F75" s="1466"/>
      <c r="G75" s="1465"/>
      <c r="H75" s="1466"/>
      <c r="I75" s="1466"/>
      <c r="J75" s="2510"/>
      <c r="K75" s="2513"/>
      <c r="L75" s="2513"/>
      <c r="M75" s="2661"/>
      <c r="N75" s="2597"/>
      <c r="O75" s="2597"/>
      <c r="P75" s="2667"/>
      <c r="Q75" s="2594"/>
      <c r="R75" s="2669"/>
      <c r="S75" s="2645"/>
      <c r="T75" s="2580"/>
      <c r="U75" s="1294" t="s">
        <v>221</v>
      </c>
      <c r="V75" s="1686">
        <f>0+3000000</f>
        <v>3000000</v>
      </c>
      <c r="W75" s="1393">
        <v>88</v>
      </c>
      <c r="X75" s="1682" t="s">
        <v>218</v>
      </c>
      <c r="Y75" s="2655"/>
      <c r="Z75" s="2647"/>
      <c r="AA75" s="2665"/>
      <c r="AB75" s="2652"/>
      <c r="AC75" s="2652"/>
      <c r="AD75" s="2652"/>
      <c r="AE75" s="2652"/>
      <c r="AF75" s="2652"/>
      <c r="AG75" s="2647"/>
      <c r="AH75" s="2647"/>
      <c r="AI75" s="2647"/>
      <c r="AJ75" s="2647"/>
      <c r="AK75" s="2649"/>
      <c r="AL75" s="2647"/>
      <c r="AM75" s="2647"/>
      <c r="AN75" s="2647"/>
      <c r="AO75" s="2650"/>
      <c r="AP75" s="2650"/>
      <c r="AQ75" s="2644"/>
    </row>
    <row r="76" spans="1:44" ht="30.75" customHeight="1" x14ac:dyDescent="0.2">
      <c r="A76" s="1464"/>
      <c r="B76" s="1466"/>
      <c r="C76" s="1466"/>
      <c r="D76" s="1465"/>
      <c r="E76" s="1466"/>
      <c r="F76" s="1466"/>
      <c r="G76" s="1465"/>
      <c r="H76" s="1466"/>
      <c r="I76" s="232"/>
      <c r="J76" s="2510"/>
      <c r="K76" s="2513"/>
      <c r="L76" s="2513"/>
      <c r="M76" s="2661"/>
      <c r="N76" s="2597"/>
      <c r="O76" s="2597"/>
      <c r="P76" s="2667"/>
      <c r="Q76" s="2594"/>
      <c r="R76" s="2669"/>
      <c r="S76" s="2645"/>
      <c r="T76" s="2580"/>
      <c r="U76" s="1295" t="s">
        <v>222</v>
      </c>
      <c r="V76" s="1687">
        <f>0+7221400</f>
        <v>7221400</v>
      </c>
      <c r="W76" s="1393">
        <v>88</v>
      </c>
      <c r="X76" s="1682" t="s">
        <v>218</v>
      </c>
      <c r="Y76" s="2655"/>
      <c r="Z76" s="2647"/>
      <c r="AA76" s="2665"/>
      <c r="AB76" s="2652"/>
      <c r="AC76" s="2652"/>
      <c r="AD76" s="2652"/>
      <c r="AE76" s="2652"/>
      <c r="AF76" s="2652"/>
      <c r="AG76" s="2647"/>
      <c r="AH76" s="2647"/>
      <c r="AI76" s="2647"/>
      <c r="AJ76" s="2647"/>
      <c r="AK76" s="2649"/>
      <c r="AL76" s="2647"/>
      <c r="AM76" s="2647"/>
      <c r="AN76" s="2647"/>
      <c r="AO76" s="2650"/>
      <c r="AP76" s="2650"/>
      <c r="AQ76" s="2644"/>
    </row>
    <row r="77" spans="1:44" ht="82.5" customHeight="1" x14ac:dyDescent="0.2">
      <c r="A77" s="1464"/>
      <c r="B77" s="1466"/>
      <c r="C77" s="1466"/>
      <c r="D77" s="1465"/>
      <c r="E77" s="1466"/>
      <c r="F77" s="1466"/>
      <c r="G77" s="1465"/>
      <c r="H77" s="1466"/>
      <c r="I77" s="232"/>
      <c r="J77" s="1458">
        <v>258</v>
      </c>
      <c r="K77" s="1432" t="s">
        <v>223</v>
      </c>
      <c r="L77" s="1432" t="s">
        <v>224</v>
      </c>
      <c r="M77" s="1451">
        <v>1</v>
      </c>
      <c r="N77" s="2597"/>
      <c r="O77" s="2597"/>
      <c r="P77" s="2667"/>
      <c r="Q77" s="1455">
        <f>(V77)/R68</f>
        <v>7.4621259546763491E-2</v>
      </c>
      <c r="R77" s="2669"/>
      <c r="S77" s="2645"/>
      <c r="T77" s="1432" t="s">
        <v>225</v>
      </c>
      <c r="U77" s="1519" t="s">
        <v>226</v>
      </c>
      <c r="V77" s="1688">
        <v>29800000</v>
      </c>
      <c r="W77" s="1689" t="s">
        <v>214</v>
      </c>
      <c r="X77" s="1690" t="s">
        <v>215</v>
      </c>
      <c r="Y77" s="2654"/>
      <c r="Z77" s="2647"/>
      <c r="AA77" s="2665"/>
      <c r="AB77" s="2652"/>
      <c r="AC77" s="2652"/>
      <c r="AD77" s="2652"/>
      <c r="AE77" s="2652"/>
      <c r="AF77" s="2652"/>
      <c r="AG77" s="2647"/>
      <c r="AH77" s="2647"/>
      <c r="AI77" s="2647"/>
      <c r="AJ77" s="2647"/>
      <c r="AK77" s="2649"/>
      <c r="AL77" s="2647"/>
      <c r="AM77" s="2647"/>
      <c r="AN77" s="2647"/>
      <c r="AO77" s="2650"/>
      <c r="AP77" s="2650"/>
      <c r="AQ77" s="2644"/>
    </row>
    <row r="78" spans="1:44" ht="61.5" customHeight="1" x14ac:dyDescent="0.2">
      <c r="A78" s="1464"/>
      <c r="B78" s="1466"/>
      <c r="C78" s="1466"/>
      <c r="D78" s="1465"/>
      <c r="E78" s="1466"/>
      <c r="F78" s="1466"/>
      <c r="G78" s="1465"/>
      <c r="H78" s="1466"/>
      <c r="I78" s="1466"/>
      <c r="J78" s="1438">
        <v>259</v>
      </c>
      <c r="K78" s="1435" t="s">
        <v>227</v>
      </c>
      <c r="L78" s="1435" t="s">
        <v>228</v>
      </c>
      <c r="M78" s="233">
        <v>1</v>
      </c>
      <c r="N78" s="2597"/>
      <c r="O78" s="2597"/>
      <c r="P78" s="2667"/>
      <c r="Q78" s="1447">
        <f>V78/R68</f>
        <v>2.1284587454613747E-2</v>
      </c>
      <c r="R78" s="2669"/>
      <c r="S78" s="2645"/>
      <c r="T78" s="1435" t="s">
        <v>229</v>
      </c>
      <c r="U78" s="1443" t="s">
        <v>230</v>
      </c>
      <c r="V78" s="1407">
        <v>8500000</v>
      </c>
      <c r="W78" s="1677" t="s">
        <v>214</v>
      </c>
      <c r="X78" s="1678" t="s">
        <v>215</v>
      </c>
      <c r="Y78" s="2654"/>
      <c r="Z78" s="2647"/>
      <c r="AA78" s="2665"/>
      <c r="AB78" s="2652"/>
      <c r="AC78" s="2652"/>
      <c r="AD78" s="2652"/>
      <c r="AE78" s="2652"/>
      <c r="AF78" s="2652"/>
      <c r="AG78" s="2647"/>
      <c r="AH78" s="2647"/>
      <c r="AI78" s="2647"/>
      <c r="AJ78" s="2647"/>
      <c r="AK78" s="2649"/>
      <c r="AL78" s="2647"/>
      <c r="AM78" s="2647"/>
      <c r="AN78" s="2647"/>
      <c r="AO78" s="2650"/>
      <c r="AP78" s="2650"/>
      <c r="AQ78" s="2644"/>
    </row>
    <row r="79" spans="1:44" ht="50.25" customHeight="1" x14ac:dyDescent="0.2">
      <c r="A79" s="1464"/>
      <c r="B79" s="1466"/>
      <c r="C79" s="1466"/>
      <c r="D79" s="1465"/>
      <c r="E79" s="1466"/>
      <c r="F79" s="1466"/>
      <c r="G79" s="1465"/>
      <c r="H79" s="1466"/>
      <c r="I79" s="1466"/>
      <c r="J79" s="1438">
        <v>263</v>
      </c>
      <c r="K79" s="1435" t="s">
        <v>231</v>
      </c>
      <c r="L79" s="1435" t="s">
        <v>232</v>
      </c>
      <c r="M79" s="233">
        <v>1</v>
      </c>
      <c r="N79" s="2597"/>
      <c r="O79" s="2597"/>
      <c r="P79" s="2667"/>
      <c r="Q79" s="1447">
        <f>V79/R68</f>
        <v>0.20032552898459999</v>
      </c>
      <c r="R79" s="2669"/>
      <c r="S79" s="2645"/>
      <c r="T79" s="1435" t="s">
        <v>233</v>
      </c>
      <c r="U79" s="1527" t="s">
        <v>234</v>
      </c>
      <c r="V79" s="1407">
        <v>80000000</v>
      </c>
      <c r="W79" s="1677" t="s">
        <v>214</v>
      </c>
      <c r="X79" s="1678" t="s">
        <v>215</v>
      </c>
      <c r="Y79" s="2654"/>
      <c r="Z79" s="2647"/>
      <c r="AA79" s="2665"/>
      <c r="AB79" s="2652"/>
      <c r="AC79" s="2652"/>
      <c r="AD79" s="2652"/>
      <c r="AE79" s="2652"/>
      <c r="AF79" s="2652"/>
      <c r="AG79" s="2647"/>
      <c r="AH79" s="2647"/>
      <c r="AI79" s="2647"/>
      <c r="AJ79" s="2647"/>
      <c r="AK79" s="2649"/>
      <c r="AL79" s="2647"/>
      <c r="AM79" s="2647"/>
      <c r="AN79" s="2647"/>
      <c r="AO79" s="2650"/>
      <c r="AP79" s="2650"/>
      <c r="AQ79" s="2644"/>
    </row>
    <row r="80" spans="1:44" ht="27.75" customHeight="1" x14ac:dyDescent="0.2">
      <c r="A80" s="1464"/>
      <c r="B80" s="1466"/>
      <c r="C80" s="1466"/>
      <c r="D80" s="1465"/>
      <c r="E80" s="1466"/>
      <c r="F80" s="1466"/>
      <c r="G80" s="1465"/>
      <c r="H80" s="1466"/>
      <c r="I80" s="1466"/>
      <c r="J80" s="2511">
        <v>261</v>
      </c>
      <c r="K80" s="2514" t="s">
        <v>235</v>
      </c>
      <c r="L80" s="2514" t="s">
        <v>236</v>
      </c>
      <c r="M80" s="2547">
        <v>2</v>
      </c>
      <c r="N80" s="2597"/>
      <c r="O80" s="2597"/>
      <c r="P80" s="2667"/>
      <c r="Q80" s="2506">
        <f>SUM(V80:V83)/R68</f>
        <v>0.14864154250657319</v>
      </c>
      <c r="R80" s="2669"/>
      <c r="S80" s="2645"/>
      <c r="T80" s="2514" t="s">
        <v>237</v>
      </c>
      <c r="U80" s="2657" t="s">
        <v>238</v>
      </c>
      <c r="V80" s="1407">
        <v>26400000</v>
      </c>
      <c r="W80" s="1677" t="s">
        <v>214</v>
      </c>
      <c r="X80" s="1678" t="s">
        <v>215</v>
      </c>
      <c r="Y80" s="2654"/>
      <c r="Z80" s="2647"/>
      <c r="AA80" s="2665"/>
      <c r="AB80" s="2652"/>
      <c r="AC80" s="2652"/>
      <c r="AD80" s="2652"/>
      <c r="AE80" s="2652"/>
      <c r="AF80" s="2652"/>
      <c r="AG80" s="2647"/>
      <c r="AH80" s="2647"/>
      <c r="AI80" s="2647"/>
      <c r="AJ80" s="2647"/>
      <c r="AK80" s="2649"/>
      <c r="AL80" s="2647"/>
      <c r="AM80" s="2647"/>
      <c r="AN80" s="2647"/>
      <c r="AO80" s="2650"/>
      <c r="AP80" s="2650"/>
      <c r="AQ80" s="2644"/>
    </row>
    <row r="81" spans="1:45" ht="29.25" customHeight="1" x14ac:dyDescent="0.2">
      <c r="A81" s="1464"/>
      <c r="B81" s="1466"/>
      <c r="C81" s="1466"/>
      <c r="D81" s="1465"/>
      <c r="E81" s="1466"/>
      <c r="F81" s="1466"/>
      <c r="G81" s="1465"/>
      <c r="H81" s="1466"/>
      <c r="I81" s="1466"/>
      <c r="J81" s="2644"/>
      <c r="K81" s="2645"/>
      <c r="L81" s="2645"/>
      <c r="M81" s="2562"/>
      <c r="N81" s="2597"/>
      <c r="O81" s="2597"/>
      <c r="P81" s="2667"/>
      <c r="Q81" s="2507"/>
      <c r="R81" s="2669"/>
      <c r="S81" s="2645"/>
      <c r="T81" s="2645"/>
      <c r="U81" s="2658"/>
      <c r="V81" s="1691">
        <f>0+8760000</f>
        <v>8760000</v>
      </c>
      <c r="W81" s="1393">
        <v>88</v>
      </c>
      <c r="X81" s="1682" t="s">
        <v>218</v>
      </c>
      <c r="Y81" s="2654"/>
      <c r="Z81" s="2647"/>
      <c r="AA81" s="2665"/>
      <c r="AB81" s="2652"/>
      <c r="AC81" s="2652"/>
      <c r="AD81" s="2652"/>
      <c r="AE81" s="2652"/>
      <c r="AF81" s="2652"/>
      <c r="AG81" s="2647"/>
      <c r="AH81" s="2647"/>
      <c r="AI81" s="2647"/>
      <c r="AJ81" s="2647"/>
      <c r="AK81" s="2649"/>
      <c r="AL81" s="2647"/>
      <c r="AM81" s="2647"/>
      <c r="AN81" s="2647"/>
      <c r="AO81" s="2650"/>
      <c r="AP81" s="2650"/>
      <c r="AQ81" s="2644"/>
    </row>
    <row r="82" spans="1:45" ht="24" customHeight="1" x14ac:dyDescent="0.2">
      <c r="A82" s="1464"/>
      <c r="B82" s="1466"/>
      <c r="C82" s="1466"/>
      <c r="D82" s="1465"/>
      <c r="E82" s="1466"/>
      <c r="F82" s="1466"/>
      <c r="G82" s="1465"/>
      <c r="H82" s="1466"/>
      <c r="I82" s="1466"/>
      <c r="J82" s="2644"/>
      <c r="K82" s="2645"/>
      <c r="L82" s="2645"/>
      <c r="M82" s="2562"/>
      <c r="N82" s="2597"/>
      <c r="O82" s="2597"/>
      <c r="P82" s="2667"/>
      <c r="Q82" s="2507"/>
      <c r="R82" s="2669"/>
      <c r="S82" s="2645"/>
      <c r="T82" s="2645"/>
      <c r="U82" s="2657" t="s">
        <v>239</v>
      </c>
      <c r="V82" s="1692">
        <v>13600000</v>
      </c>
      <c r="W82" s="1677">
        <v>20</v>
      </c>
      <c r="X82" s="1678" t="s">
        <v>215</v>
      </c>
      <c r="Y82" s="2654"/>
      <c r="Z82" s="2647"/>
      <c r="AA82" s="2665"/>
      <c r="AB82" s="2652"/>
      <c r="AC82" s="2652"/>
      <c r="AD82" s="2652"/>
      <c r="AE82" s="2652"/>
      <c r="AF82" s="2652"/>
      <c r="AG82" s="2647"/>
      <c r="AH82" s="2647"/>
      <c r="AI82" s="2647"/>
      <c r="AJ82" s="2647"/>
      <c r="AK82" s="2649"/>
      <c r="AL82" s="2647"/>
      <c r="AM82" s="2647"/>
      <c r="AN82" s="2647"/>
      <c r="AO82" s="2650"/>
      <c r="AP82" s="2650"/>
      <c r="AQ82" s="2644"/>
    </row>
    <row r="83" spans="1:45" ht="35.25" customHeight="1" x14ac:dyDescent="0.2">
      <c r="A83" s="1464"/>
      <c r="B83" s="1466"/>
      <c r="C83" s="1466"/>
      <c r="D83" s="1465"/>
      <c r="E83" s="1466"/>
      <c r="F83" s="1466"/>
      <c r="G83" s="1465"/>
      <c r="H83" s="1466"/>
      <c r="I83" s="1466"/>
      <c r="J83" s="2644"/>
      <c r="K83" s="2645"/>
      <c r="L83" s="2645"/>
      <c r="M83" s="2562"/>
      <c r="N83" s="2597"/>
      <c r="O83" s="2597"/>
      <c r="P83" s="2667"/>
      <c r="Q83" s="2507"/>
      <c r="R83" s="2669"/>
      <c r="S83" s="2512"/>
      <c r="T83" s="2512"/>
      <c r="U83" s="2660"/>
      <c r="V83" s="1687">
        <f>0+10600000</f>
        <v>10600000</v>
      </c>
      <c r="W83" s="1393">
        <v>88</v>
      </c>
      <c r="X83" s="1682" t="s">
        <v>218</v>
      </c>
      <c r="Y83" s="2656"/>
      <c r="Z83" s="2648"/>
      <c r="AA83" s="2666"/>
      <c r="AB83" s="2652"/>
      <c r="AC83" s="2652"/>
      <c r="AD83" s="2652"/>
      <c r="AE83" s="2652"/>
      <c r="AF83" s="2652"/>
      <c r="AG83" s="2648"/>
      <c r="AH83" s="2648"/>
      <c r="AI83" s="2648"/>
      <c r="AJ83" s="2648"/>
      <c r="AK83" s="2649"/>
      <c r="AL83" s="2648"/>
      <c r="AM83" s="2648"/>
      <c r="AN83" s="2648"/>
      <c r="AO83" s="2651"/>
      <c r="AP83" s="2651"/>
      <c r="AQ83" s="2509"/>
    </row>
    <row r="84" spans="1:45" ht="51" customHeight="1" x14ac:dyDescent="0.2">
      <c r="A84" s="175"/>
      <c r="B84" s="1466"/>
      <c r="C84" s="1466"/>
      <c r="D84" s="1437"/>
      <c r="E84" s="2717"/>
      <c r="F84" s="2717"/>
      <c r="G84" s="2718"/>
      <c r="H84" s="2719"/>
      <c r="I84" s="2719"/>
      <c r="J84" s="2608">
        <v>262</v>
      </c>
      <c r="K84" s="2522" t="s">
        <v>240</v>
      </c>
      <c r="L84" s="2522" t="s">
        <v>241</v>
      </c>
      <c r="M84" s="2608">
        <v>1</v>
      </c>
      <c r="N84" s="2608" t="s">
        <v>242</v>
      </c>
      <c r="O84" s="2608" t="s">
        <v>243</v>
      </c>
      <c r="P84" s="2522" t="s">
        <v>244</v>
      </c>
      <c r="Q84" s="2633">
        <v>1</v>
      </c>
      <c r="R84" s="2635">
        <f>SUM(V84:V93)</f>
        <v>82600000</v>
      </c>
      <c r="S84" s="2577" t="s">
        <v>245</v>
      </c>
      <c r="T84" s="2638" t="s">
        <v>246</v>
      </c>
      <c r="U84" s="2626" t="s">
        <v>247</v>
      </c>
      <c r="V84" s="1693">
        <v>6000000</v>
      </c>
      <c r="W84" s="1689" t="s">
        <v>214</v>
      </c>
      <c r="X84" s="1694" t="s">
        <v>248</v>
      </c>
      <c r="Y84" s="2518">
        <v>294321</v>
      </c>
      <c r="Z84" s="2625">
        <v>283947</v>
      </c>
      <c r="AA84" s="2518">
        <v>135754</v>
      </c>
      <c r="AB84" s="2517">
        <v>44640</v>
      </c>
      <c r="AC84" s="2517">
        <v>308178</v>
      </c>
      <c r="AD84" s="2517">
        <v>89696</v>
      </c>
      <c r="AE84" s="2517">
        <v>2145</v>
      </c>
      <c r="AF84" s="2517">
        <v>12718</v>
      </c>
      <c r="AG84" s="2518">
        <v>26</v>
      </c>
      <c r="AH84" s="2550">
        <v>37</v>
      </c>
      <c r="AI84" s="2518"/>
      <c r="AJ84" s="2518"/>
      <c r="AK84" s="2518">
        <v>54612</v>
      </c>
      <c r="AL84" s="2518">
        <v>16982</v>
      </c>
      <c r="AM84" s="2518">
        <v>1010</v>
      </c>
      <c r="AN84" s="2518">
        <f>Y84+Z84</f>
        <v>578268</v>
      </c>
      <c r="AO84" s="2563">
        <v>43102</v>
      </c>
      <c r="AP84" s="2563">
        <v>43465</v>
      </c>
      <c r="AQ84" s="2510" t="s">
        <v>249</v>
      </c>
    </row>
    <row r="85" spans="1:45" ht="51" customHeight="1" x14ac:dyDescent="0.2">
      <c r="A85" s="175"/>
      <c r="B85" s="1466"/>
      <c r="C85" s="1466"/>
      <c r="D85" s="1437"/>
      <c r="E85" s="2717"/>
      <c r="F85" s="2717"/>
      <c r="G85" s="2718"/>
      <c r="H85" s="2719"/>
      <c r="I85" s="2719"/>
      <c r="J85" s="2608"/>
      <c r="K85" s="2522"/>
      <c r="L85" s="2522"/>
      <c r="M85" s="2608"/>
      <c r="N85" s="2608"/>
      <c r="O85" s="2608"/>
      <c r="P85" s="2522"/>
      <c r="Q85" s="2633"/>
      <c r="R85" s="2635"/>
      <c r="S85" s="2577"/>
      <c r="T85" s="2639"/>
      <c r="U85" s="2627"/>
      <c r="V85" s="1691">
        <f>0+4500000</f>
        <v>4500000</v>
      </c>
      <c r="W85" s="1677">
        <v>88</v>
      </c>
      <c r="X85" s="1695" t="s">
        <v>218</v>
      </c>
      <c r="Y85" s="2518"/>
      <c r="Z85" s="2625"/>
      <c r="AA85" s="2518"/>
      <c r="AB85" s="2517"/>
      <c r="AC85" s="2517"/>
      <c r="AD85" s="2517"/>
      <c r="AE85" s="2517"/>
      <c r="AF85" s="2517"/>
      <c r="AG85" s="2518"/>
      <c r="AH85" s="2550"/>
      <c r="AI85" s="2518"/>
      <c r="AJ85" s="2518"/>
      <c r="AK85" s="2518"/>
      <c r="AL85" s="2518"/>
      <c r="AM85" s="2518"/>
      <c r="AN85" s="2518"/>
      <c r="AO85" s="2563"/>
      <c r="AP85" s="2563"/>
      <c r="AQ85" s="2510"/>
    </row>
    <row r="86" spans="1:45" ht="39.75" customHeight="1" x14ac:dyDescent="0.2">
      <c r="A86" s="175"/>
      <c r="B86" s="1466"/>
      <c r="C86" s="1466"/>
      <c r="D86" s="1437"/>
      <c r="E86" s="2717"/>
      <c r="F86" s="2717"/>
      <c r="G86" s="2718"/>
      <c r="H86" s="2719"/>
      <c r="I86" s="2719"/>
      <c r="J86" s="2608"/>
      <c r="K86" s="2522"/>
      <c r="L86" s="2522"/>
      <c r="M86" s="2608"/>
      <c r="N86" s="2608"/>
      <c r="O86" s="2608"/>
      <c r="P86" s="2522"/>
      <c r="Q86" s="2633"/>
      <c r="R86" s="2635"/>
      <c r="S86" s="2577"/>
      <c r="T86" s="2639"/>
      <c r="U86" s="2628" t="s">
        <v>250</v>
      </c>
      <c r="V86" s="1691">
        <v>3600000</v>
      </c>
      <c r="W86" s="1677" t="s">
        <v>214</v>
      </c>
      <c r="X86" s="1694" t="s">
        <v>248</v>
      </c>
      <c r="Y86" s="2518"/>
      <c r="Z86" s="2625"/>
      <c r="AA86" s="2518"/>
      <c r="AB86" s="2517"/>
      <c r="AC86" s="2517"/>
      <c r="AD86" s="2517"/>
      <c r="AE86" s="2517"/>
      <c r="AF86" s="2517"/>
      <c r="AG86" s="2518"/>
      <c r="AH86" s="2550"/>
      <c r="AI86" s="2518"/>
      <c r="AJ86" s="2518"/>
      <c r="AK86" s="2518"/>
      <c r="AL86" s="2518"/>
      <c r="AM86" s="2518"/>
      <c r="AN86" s="2518"/>
      <c r="AO86" s="2563"/>
      <c r="AP86" s="2563"/>
      <c r="AQ86" s="2510"/>
    </row>
    <row r="87" spans="1:45" ht="36" customHeight="1" x14ac:dyDescent="0.2">
      <c r="A87" s="175"/>
      <c r="B87" s="1466"/>
      <c r="C87" s="1466"/>
      <c r="D87" s="1437"/>
      <c r="E87" s="2717"/>
      <c r="F87" s="2717"/>
      <c r="G87" s="2718"/>
      <c r="H87" s="2719"/>
      <c r="I87" s="2719"/>
      <c r="J87" s="2608"/>
      <c r="K87" s="2522"/>
      <c r="L87" s="2522"/>
      <c r="M87" s="2608"/>
      <c r="N87" s="2608"/>
      <c r="O87" s="2608"/>
      <c r="P87" s="2522"/>
      <c r="Q87" s="2633"/>
      <c r="R87" s="2635"/>
      <c r="S87" s="2577"/>
      <c r="T87" s="2639"/>
      <c r="U87" s="2629"/>
      <c r="V87" s="1691">
        <f>0+9300000</f>
        <v>9300000</v>
      </c>
      <c r="W87" s="1677">
        <v>88</v>
      </c>
      <c r="X87" s="1695" t="s">
        <v>218</v>
      </c>
      <c r="Y87" s="2518"/>
      <c r="Z87" s="2625"/>
      <c r="AA87" s="2518"/>
      <c r="AB87" s="2517"/>
      <c r="AC87" s="2517"/>
      <c r="AD87" s="2517"/>
      <c r="AE87" s="2517"/>
      <c r="AF87" s="2517"/>
      <c r="AG87" s="2518"/>
      <c r="AH87" s="2550"/>
      <c r="AI87" s="2518"/>
      <c r="AJ87" s="2518"/>
      <c r="AK87" s="2518"/>
      <c r="AL87" s="2518"/>
      <c r="AM87" s="2518"/>
      <c r="AN87" s="2518"/>
      <c r="AO87" s="2563"/>
      <c r="AP87" s="2563"/>
      <c r="AQ87" s="2510"/>
    </row>
    <row r="88" spans="1:45" ht="42.75" customHeight="1" x14ac:dyDescent="0.2">
      <c r="A88" s="175"/>
      <c r="B88" s="1466"/>
      <c r="C88" s="1466"/>
      <c r="D88" s="1437"/>
      <c r="E88" s="2717"/>
      <c r="F88" s="2717"/>
      <c r="G88" s="2718"/>
      <c r="H88" s="2719"/>
      <c r="I88" s="2719"/>
      <c r="J88" s="2608"/>
      <c r="K88" s="2522"/>
      <c r="L88" s="2522"/>
      <c r="M88" s="2608"/>
      <c r="N88" s="2608"/>
      <c r="O88" s="2608"/>
      <c r="P88" s="2522"/>
      <c r="Q88" s="2633"/>
      <c r="R88" s="2635"/>
      <c r="S88" s="2577"/>
      <c r="T88" s="2639"/>
      <c r="U88" s="2626" t="s">
        <v>251</v>
      </c>
      <c r="V88" s="1691">
        <f>960000+2000000</f>
        <v>2960000</v>
      </c>
      <c r="W88" s="1677" t="s">
        <v>214</v>
      </c>
      <c r="X88" s="1694" t="s">
        <v>248</v>
      </c>
      <c r="Y88" s="2518"/>
      <c r="Z88" s="2625"/>
      <c r="AA88" s="2518"/>
      <c r="AB88" s="2518"/>
      <c r="AC88" s="2518"/>
      <c r="AD88" s="2518"/>
      <c r="AE88" s="2518"/>
      <c r="AF88" s="2518"/>
      <c r="AG88" s="2518"/>
      <c r="AH88" s="2550"/>
      <c r="AI88" s="2518"/>
      <c r="AJ88" s="2518"/>
      <c r="AK88" s="2518"/>
      <c r="AL88" s="2518"/>
      <c r="AM88" s="2518"/>
      <c r="AN88" s="2518"/>
      <c r="AO88" s="2563"/>
      <c r="AP88" s="2563"/>
      <c r="AQ88" s="2510"/>
    </row>
    <row r="89" spans="1:45" ht="52.5" customHeight="1" x14ac:dyDescent="0.2">
      <c r="A89" s="175"/>
      <c r="B89" s="1466"/>
      <c r="C89" s="1466"/>
      <c r="D89" s="1437"/>
      <c r="E89" s="2717"/>
      <c r="F89" s="2717"/>
      <c r="G89" s="2718"/>
      <c r="H89" s="2719"/>
      <c r="I89" s="2719"/>
      <c r="J89" s="2608"/>
      <c r="K89" s="2522"/>
      <c r="L89" s="2522"/>
      <c r="M89" s="2608"/>
      <c r="N89" s="2608"/>
      <c r="O89" s="2608"/>
      <c r="P89" s="2522"/>
      <c r="Q89" s="2633"/>
      <c r="R89" s="2635"/>
      <c r="S89" s="2577"/>
      <c r="T89" s="2640"/>
      <c r="U89" s="2630"/>
      <c r="V89" s="1692">
        <f>0+3888666.63</f>
        <v>3888666.63</v>
      </c>
      <c r="W89" s="1677">
        <v>88</v>
      </c>
      <c r="X89" s="1678" t="s">
        <v>218</v>
      </c>
      <c r="Y89" s="2518"/>
      <c r="Z89" s="2625"/>
      <c r="AA89" s="2518"/>
      <c r="AB89" s="2518"/>
      <c r="AC89" s="2518"/>
      <c r="AD89" s="2518"/>
      <c r="AE89" s="2518"/>
      <c r="AF89" s="2518"/>
      <c r="AG89" s="2518"/>
      <c r="AH89" s="2550"/>
      <c r="AI89" s="2518"/>
      <c r="AJ89" s="2518"/>
      <c r="AK89" s="2518"/>
      <c r="AL89" s="2518"/>
      <c r="AM89" s="2518"/>
      <c r="AN89" s="2518"/>
      <c r="AO89" s="2563"/>
      <c r="AP89" s="2563"/>
      <c r="AQ89" s="2510"/>
    </row>
    <row r="90" spans="1:45" ht="63" customHeight="1" x14ac:dyDescent="0.2">
      <c r="A90" s="175"/>
      <c r="B90" s="1466"/>
      <c r="C90" s="1466"/>
      <c r="D90" s="1437"/>
      <c r="E90" s="2717"/>
      <c r="F90" s="2717"/>
      <c r="G90" s="2718"/>
      <c r="H90" s="2719"/>
      <c r="I90" s="2719"/>
      <c r="J90" s="2608"/>
      <c r="K90" s="2522"/>
      <c r="L90" s="2522"/>
      <c r="M90" s="2608"/>
      <c r="N90" s="2608"/>
      <c r="O90" s="2608"/>
      <c r="P90" s="2522"/>
      <c r="Q90" s="2633"/>
      <c r="R90" s="2635"/>
      <c r="S90" s="2577"/>
      <c r="T90" s="2641" t="s">
        <v>252</v>
      </c>
      <c r="U90" s="2637" t="s">
        <v>253</v>
      </c>
      <c r="V90" s="1681">
        <f>19440000+10350000</f>
        <v>29790000</v>
      </c>
      <c r="W90" s="1393" t="s">
        <v>214</v>
      </c>
      <c r="X90" s="1682" t="s">
        <v>248</v>
      </c>
      <c r="Y90" s="2550"/>
      <c r="Z90" s="2625"/>
      <c r="AA90" s="2518"/>
      <c r="AB90" s="2518"/>
      <c r="AC90" s="2518"/>
      <c r="AD90" s="2518"/>
      <c r="AE90" s="2518"/>
      <c r="AF90" s="2518"/>
      <c r="AG90" s="2518"/>
      <c r="AH90" s="2550"/>
      <c r="AI90" s="2518"/>
      <c r="AJ90" s="2518"/>
      <c r="AK90" s="2518"/>
      <c r="AL90" s="2518"/>
      <c r="AM90" s="2518"/>
      <c r="AN90" s="2518"/>
      <c r="AO90" s="2563"/>
      <c r="AP90" s="2563"/>
      <c r="AQ90" s="2510"/>
    </row>
    <row r="91" spans="1:45" ht="63" customHeight="1" x14ac:dyDescent="0.2">
      <c r="A91" s="175"/>
      <c r="B91" s="1466"/>
      <c r="C91" s="1466"/>
      <c r="D91" s="1437"/>
      <c r="E91" s="2717"/>
      <c r="F91" s="2717"/>
      <c r="G91" s="2718"/>
      <c r="H91" s="2719"/>
      <c r="I91" s="2719"/>
      <c r="J91" s="2608"/>
      <c r="K91" s="2522"/>
      <c r="L91" s="2522"/>
      <c r="M91" s="2608"/>
      <c r="N91" s="2608"/>
      <c r="O91" s="2608"/>
      <c r="P91" s="2522"/>
      <c r="Q91" s="2633"/>
      <c r="R91" s="2635"/>
      <c r="S91" s="2577"/>
      <c r="T91" s="2642"/>
      <c r="U91" s="2637"/>
      <c r="V91" s="1681">
        <v>15395000</v>
      </c>
      <c r="W91" s="1393">
        <v>88</v>
      </c>
      <c r="X91" s="1696" t="s">
        <v>218</v>
      </c>
      <c r="Y91" s="2550"/>
      <c r="Z91" s="2625"/>
      <c r="AA91" s="2518"/>
      <c r="AB91" s="2518"/>
      <c r="AC91" s="2518"/>
      <c r="AD91" s="2518"/>
      <c r="AE91" s="2518"/>
      <c r="AF91" s="2518"/>
      <c r="AG91" s="2518"/>
      <c r="AH91" s="2550"/>
      <c r="AI91" s="2518"/>
      <c r="AJ91" s="2518"/>
      <c r="AK91" s="2518"/>
      <c r="AL91" s="2518"/>
      <c r="AM91" s="2518"/>
      <c r="AN91" s="2518"/>
      <c r="AO91" s="2563"/>
      <c r="AP91" s="2563"/>
      <c r="AQ91" s="2510"/>
    </row>
    <row r="92" spans="1:45" ht="45" customHeight="1" x14ac:dyDescent="0.2">
      <c r="A92" s="175"/>
      <c r="B92" s="1466"/>
      <c r="C92" s="1466"/>
      <c r="D92" s="1437"/>
      <c r="E92" s="2717"/>
      <c r="F92" s="2717"/>
      <c r="G92" s="2718"/>
      <c r="H92" s="2719"/>
      <c r="I92" s="2719"/>
      <c r="J92" s="2608"/>
      <c r="K92" s="2522"/>
      <c r="L92" s="2522"/>
      <c r="M92" s="2608"/>
      <c r="N92" s="2608"/>
      <c r="O92" s="2608"/>
      <c r="P92" s="2522"/>
      <c r="Q92" s="2633"/>
      <c r="R92" s="2635"/>
      <c r="S92" s="2577"/>
      <c r="T92" s="2642"/>
      <c r="U92" s="1356" t="s">
        <v>254</v>
      </c>
      <c r="V92" s="1681">
        <f>0+7296333.33-5145000</f>
        <v>2151333.33</v>
      </c>
      <c r="W92" s="1393">
        <v>88</v>
      </c>
      <c r="X92" s="1678" t="s">
        <v>218</v>
      </c>
      <c r="Y92" s="2550"/>
      <c r="Z92" s="2625"/>
      <c r="AA92" s="2518"/>
      <c r="AB92" s="2518"/>
      <c r="AC92" s="2518"/>
      <c r="AD92" s="2518"/>
      <c r="AE92" s="2518"/>
      <c r="AF92" s="2518"/>
      <c r="AG92" s="2518"/>
      <c r="AH92" s="2550"/>
      <c r="AI92" s="2518"/>
      <c r="AJ92" s="2518"/>
      <c r="AK92" s="2518"/>
      <c r="AL92" s="2518"/>
      <c r="AM92" s="2518"/>
      <c r="AN92" s="2518"/>
      <c r="AO92" s="2563"/>
      <c r="AP92" s="2563"/>
      <c r="AQ92" s="2510"/>
      <c r="AR92" s="2419"/>
    </row>
    <row r="93" spans="1:45" ht="45" customHeight="1" x14ac:dyDescent="0.2">
      <c r="A93" s="175"/>
      <c r="B93" s="1466"/>
      <c r="C93" s="1466"/>
      <c r="D93" s="1437"/>
      <c r="E93" s="2717"/>
      <c r="F93" s="2717"/>
      <c r="G93" s="2718"/>
      <c r="H93" s="2719"/>
      <c r="I93" s="2719"/>
      <c r="J93" s="2631"/>
      <c r="K93" s="2632"/>
      <c r="L93" s="2632"/>
      <c r="M93" s="2631"/>
      <c r="N93" s="2631"/>
      <c r="O93" s="2631"/>
      <c r="P93" s="2632"/>
      <c r="Q93" s="2634"/>
      <c r="R93" s="2636"/>
      <c r="S93" s="2624"/>
      <c r="T93" s="2643"/>
      <c r="U93" s="1349" t="s">
        <v>255</v>
      </c>
      <c r="V93" s="1697">
        <f>0+5015000.04</f>
        <v>5015000.04</v>
      </c>
      <c r="W93" s="1698">
        <v>88</v>
      </c>
      <c r="X93" s="1678" t="s">
        <v>218</v>
      </c>
      <c r="Y93" s="2550"/>
      <c r="Z93" s="2625"/>
      <c r="AA93" s="2518"/>
      <c r="AB93" s="2518"/>
      <c r="AC93" s="2518"/>
      <c r="AD93" s="2518"/>
      <c r="AE93" s="2518"/>
      <c r="AF93" s="2518"/>
      <c r="AG93" s="2518"/>
      <c r="AH93" s="2550"/>
      <c r="AI93" s="2518"/>
      <c r="AJ93" s="2518"/>
      <c r="AK93" s="2518"/>
      <c r="AL93" s="2518"/>
      <c r="AM93" s="2518"/>
      <c r="AN93" s="2518"/>
      <c r="AO93" s="2563"/>
      <c r="AP93" s="2563"/>
      <c r="AQ93" s="2510"/>
    </row>
    <row r="94" spans="1:45" s="1251" customFormat="1" ht="43.5" customHeight="1" x14ac:dyDescent="0.2">
      <c r="A94" s="1348"/>
      <c r="B94" s="1250"/>
      <c r="C94" s="1250"/>
      <c r="D94" s="1429"/>
      <c r="E94" s="1429"/>
      <c r="F94" s="1276"/>
      <c r="G94" s="2418"/>
      <c r="H94" s="2431"/>
      <c r="I94" s="2417"/>
      <c r="J94" s="2712">
        <v>264</v>
      </c>
      <c r="K94" s="2613" t="s">
        <v>256</v>
      </c>
      <c r="L94" s="2613" t="s">
        <v>257</v>
      </c>
      <c r="M94" s="2623">
        <v>1</v>
      </c>
      <c r="N94" s="2622" t="s">
        <v>258</v>
      </c>
      <c r="O94" s="2623" t="s">
        <v>259</v>
      </c>
      <c r="P94" s="2613" t="s">
        <v>260</v>
      </c>
      <c r="Q94" s="2614">
        <v>1</v>
      </c>
      <c r="R94" s="2615">
        <f>SUM(V94:V99)</f>
        <v>37650000</v>
      </c>
      <c r="S94" s="2522" t="s">
        <v>261</v>
      </c>
      <c r="T94" s="2522" t="s">
        <v>262</v>
      </c>
      <c r="U94" s="2618" t="s">
        <v>263</v>
      </c>
      <c r="V94" s="1699">
        <v>10000000</v>
      </c>
      <c r="W94" s="1700">
        <v>20</v>
      </c>
      <c r="X94" s="1701" t="s">
        <v>248</v>
      </c>
      <c r="Y94" s="2620">
        <v>294321</v>
      </c>
      <c r="Z94" s="2621">
        <v>283947</v>
      </c>
      <c r="AA94" s="2605">
        <v>135754</v>
      </c>
      <c r="AB94" s="2605">
        <v>44640</v>
      </c>
      <c r="AC94" s="2605">
        <v>308178</v>
      </c>
      <c r="AD94" s="2605">
        <v>89696</v>
      </c>
      <c r="AE94" s="2605">
        <v>2145</v>
      </c>
      <c r="AF94" s="2605">
        <v>12718</v>
      </c>
      <c r="AG94" s="2605">
        <v>26</v>
      </c>
      <c r="AH94" s="2605">
        <v>37</v>
      </c>
      <c r="AI94" s="2605"/>
      <c r="AJ94" s="2605"/>
      <c r="AK94" s="2605">
        <v>54612</v>
      </c>
      <c r="AL94" s="2605">
        <v>16982</v>
      </c>
      <c r="AM94" s="2605">
        <v>1010</v>
      </c>
      <c r="AN94" s="2605">
        <f>+Y94+Z94</f>
        <v>578268</v>
      </c>
      <c r="AO94" s="2598">
        <v>43102</v>
      </c>
      <c r="AP94" s="2598">
        <v>43465</v>
      </c>
      <c r="AQ94" s="2599" t="s">
        <v>130</v>
      </c>
      <c r="AR94" s="2420"/>
      <c r="AS94" s="2420"/>
    </row>
    <row r="95" spans="1:45" s="1251" customFormat="1" ht="36.75" customHeight="1" x14ac:dyDescent="0.2">
      <c r="A95" s="1348"/>
      <c r="B95" s="1250"/>
      <c r="C95" s="1250"/>
      <c r="D95" s="1429"/>
      <c r="E95" s="1429"/>
      <c r="F95" s="1276"/>
      <c r="G95" s="2418"/>
      <c r="H95" s="2431"/>
      <c r="I95" s="2417"/>
      <c r="J95" s="2712"/>
      <c r="K95" s="2613"/>
      <c r="L95" s="2613"/>
      <c r="M95" s="2623"/>
      <c r="N95" s="2622"/>
      <c r="O95" s="2623"/>
      <c r="P95" s="2613"/>
      <c r="Q95" s="2614"/>
      <c r="R95" s="2615"/>
      <c r="S95" s="2522"/>
      <c r="T95" s="2522"/>
      <c r="U95" s="2618"/>
      <c r="V95" s="1699">
        <f>0+15000000-15000000</f>
        <v>0</v>
      </c>
      <c r="W95" s="1700">
        <v>88</v>
      </c>
      <c r="X95" s="1701" t="s">
        <v>264</v>
      </c>
      <c r="Y95" s="2620"/>
      <c r="Z95" s="2621"/>
      <c r="AA95" s="2605"/>
      <c r="AB95" s="2605"/>
      <c r="AC95" s="2605"/>
      <c r="AD95" s="2605"/>
      <c r="AE95" s="2605"/>
      <c r="AF95" s="2605"/>
      <c r="AG95" s="2605"/>
      <c r="AH95" s="2605"/>
      <c r="AI95" s="2605"/>
      <c r="AJ95" s="2605"/>
      <c r="AK95" s="2605"/>
      <c r="AL95" s="2605"/>
      <c r="AM95" s="2605"/>
      <c r="AN95" s="2605"/>
      <c r="AO95" s="2598"/>
      <c r="AP95" s="2598"/>
      <c r="AQ95" s="2599"/>
      <c r="AR95" s="2420"/>
      <c r="AS95" s="2420"/>
    </row>
    <row r="96" spans="1:45" s="1251" customFormat="1" ht="37.5" customHeight="1" x14ac:dyDescent="0.2">
      <c r="A96" s="1348"/>
      <c r="B96" s="1250"/>
      <c r="C96" s="1250"/>
      <c r="D96" s="1429"/>
      <c r="E96" s="1429"/>
      <c r="F96" s="1276"/>
      <c r="G96" s="2418"/>
      <c r="H96" s="2431"/>
      <c r="I96" s="2417"/>
      <c r="J96" s="2712"/>
      <c r="K96" s="2613"/>
      <c r="L96" s="2613"/>
      <c r="M96" s="2623"/>
      <c r="N96" s="2622"/>
      <c r="O96" s="2623"/>
      <c r="P96" s="2613"/>
      <c r="Q96" s="2614"/>
      <c r="R96" s="2615"/>
      <c r="S96" s="2522"/>
      <c r="T96" s="2522"/>
      <c r="U96" s="2619" t="s">
        <v>265</v>
      </c>
      <c r="V96" s="1699">
        <v>10000000</v>
      </c>
      <c r="W96" s="1700">
        <v>20</v>
      </c>
      <c r="X96" s="1701" t="s">
        <v>248</v>
      </c>
      <c r="Y96" s="2620"/>
      <c r="Z96" s="2621"/>
      <c r="AA96" s="2605"/>
      <c r="AB96" s="2605"/>
      <c r="AC96" s="2605"/>
      <c r="AD96" s="2605"/>
      <c r="AE96" s="2605"/>
      <c r="AF96" s="2605"/>
      <c r="AG96" s="2605"/>
      <c r="AH96" s="2605"/>
      <c r="AI96" s="2605"/>
      <c r="AJ96" s="2605"/>
      <c r="AK96" s="2605"/>
      <c r="AL96" s="2605"/>
      <c r="AM96" s="2605"/>
      <c r="AN96" s="2605"/>
      <c r="AO96" s="2598"/>
      <c r="AP96" s="2598"/>
      <c r="AQ96" s="2599"/>
      <c r="AR96" s="2421"/>
      <c r="AS96" s="2420"/>
    </row>
    <row r="97" spans="1:45" s="1251" customFormat="1" ht="37.5" customHeight="1" x14ac:dyDescent="0.2">
      <c r="A97" s="1348"/>
      <c r="B97" s="1250"/>
      <c r="C97" s="1250"/>
      <c r="D97" s="1429"/>
      <c r="E97" s="1429"/>
      <c r="F97" s="1276"/>
      <c r="G97" s="2418"/>
      <c r="H97" s="2431"/>
      <c r="I97" s="2417"/>
      <c r="J97" s="2712"/>
      <c r="K97" s="2613"/>
      <c r="L97" s="2613"/>
      <c r="M97" s="2623"/>
      <c r="N97" s="2622"/>
      <c r="O97" s="2623"/>
      <c r="P97" s="2613"/>
      <c r="Q97" s="2614"/>
      <c r="R97" s="2615"/>
      <c r="S97" s="2522"/>
      <c r="T97" s="2522"/>
      <c r="U97" s="2619"/>
      <c r="V97" s="1699">
        <f>0+15000000-15000000</f>
        <v>0</v>
      </c>
      <c r="W97" s="1700">
        <v>88</v>
      </c>
      <c r="X97" s="1701" t="s">
        <v>264</v>
      </c>
      <c r="Y97" s="2620"/>
      <c r="Z97" s="2621"/>
      <c r="AA97" s="2605"/>
      <c r="AB97" s="2605"/>
      <c r="AC97" s="2605"/>
      <c r="AD97" s="2605"/>
      <c r="AE97" s="2605"/>
      <c r="AF97" s="2605"/>
      <c r="AG97" s="2605"/>
      <c r="AH97" s="2605"/>
      <c r="AI97" s="2605"/>
      <c r="AJ97" s="2605"/>
      <c r="AK97" s="2605"/>
      <c r="AL97" s="2605"/>
      <c r="AM97" s="2605"/>
      <c r="AN97" s="2605"/>
      <c r="AO97" s="2598"/>
      <c r="AP97" s="2598"/>
      <c r="AQ97" s="2599"/>
      <c r="AR97" s="2420"/>
      <c r="AS97" s="2420"/>
    </row>
    <row r="98" spans="1:45" s="1251" customFormat="1" ht="25.5" customHeight="1" x14ac:dyDescent="0.2">
      <c r="A98" s="1348"/>
      <c r="B98" s="1250"/>
      <c r="C98" s="1250"/>
      <c r="D98" s="1429"/>
      <c r="E98" s="1429"/>
      <c r="F98" s="1276"/>
      <c r="G98" s="2418"/>
      <c r="H98" s="2431"/>
      <c r="I98" s="2417"/>
      <c r="J98" s="2712"/>
      <c r="K98" s="2613"/>
      <c r="L98" s="2613"/>
      <c r="M98" s="2623"/>
      <c r="N98" s="2622"/>
      <c r="O98" s="2623"/>
      <c r="P98" s="2613"/>
      <c r="Q98" s="2614"/>
      <c r="R98" s="2615"/>
      <c r="S98" s="2522"/>
      <c r="T98" s="2522"/>
      <c r="U98" s="2618" t="s">
        <v>266</v>
      </c>
      <c r="V98" s="1699">
        <f>30000000-12350000</f>
        <v>17650000</v>
      </c>
      <c r="W98" s="1700">
        <v>20</v>
      </c>
      <c r="X98" s="1701" t="s">
        <v>248</v>
      </c>
      <c r="Y98" s="2620"/>
      <c r="Z98" s="2621"/>
      <c r="AA98" s="2605"/>
      <c r="AB98" s="2605"/>
      <c r="AC98" s="2605"/>
      <c r="AD98" s="2605"/>
      <c r="AE98" s="2605"/>
      <c r="AF98" s="2605"/>
      <c r="AG98" s="2605"/>
      <c r="AH98" s="2605"/>
      <c r="AI98" s="2605"/>
      <c r="AJ98" s="2605"/>
      <c r="AK98" s="2605"/>
      <c r="AL98" s="2605"/>
      <c r="AM98" s="2605"/>
      <c r="AN98" s="2605"/>
      <c r="AO98" s="2598"/>
      <c r="AP98" s="2598"/>
      <c r="AQ98" s="2599"/>
      <c r="AR98" s="2420"/>
      <c r="AS98" s="2420"/>
    </row>
    <row r="99" spans="1:45" s="1251" customFormat="1" ht="35.25" customHeight="1" x14ac:dyDescent="0.2">
      <c r="A99" s="1348"/>
      <c r="B99" s="1250"/>
      <c r="C99" s="1250"/>
      <c r="D99" s="1429"/>
      <c r="E99" s="1429"/>
      <c r="F99" s="1276"/>
      <c r="G99" s="2418"/>
      <c r="H99" s="2431"/>
      <c r="I99" s="2417"/>
      <c r="J99" s="2712"/>
      <c r="K99" s="2613"/>
      <c r="L99" s="2613"/>
      <c r="M99" s="2623"/>
      <c r="N99" s="2622"/>
      <c r="O99" s="2623"/>
      <c r="P99" s="2613"/>
      <c r="Q99" s="2614"/>
      <c r="R99" s="2615"/>
      <c r="S99" s="2522"/>
      <c r="T99" s="2522"/>
      <c r="U99" s="2618"/>
      <c r="V99" s="1687">
        <f>0+20000000-20000000</f>
        <v>0</v>
      </c>
      <c r="W99" s="1700">
        <v>88</v>
      </c>
      <c r="X99" s="1701" t="s">
        <v>264</v>
      </c>
      <c r="Y99" s="2620"/>
      <c r="Z99" s="2621"/>
      <c r="AA99" s="2605"/>
      <c r="AB99" s="2605"/>
      <c r="AC99" s="2605"/>
      <c r="AD99" s="2605"/>
      <c r="AE99" s="2605"/>
      <c r="AF99" s="2605"/>
      <c r="AG99" s="2605"/>
      <c r="AH99" s="2605"/>
      <c r="AI99" s="2605"/>
      <c r="AJ99" s="2605"/>
      <c r="AK99" s="2605"/>
      <c r="AL99" s="2605"/>
      <c r="AM99" s="2605"/>
      <c r="AN99" s="2605"/>
      <c r="AO99" s="2598"/>
      <c r="AP99" s="2598"/>
      <c r="AQ99" s="2599"/>
      <c r="AR99" s="2420"/>
      <c r="AS99" s="2420"/>
    </row>
    <row r="100" spans="1:45" ht="69" customHeight="1" x14ac:dyDescent="0.2">
      <c r="A100" s="2600"/>
      <c r="B100" s="2601"/>
      <c r="C100" s="2601"/>
      <c r="D100" s="2602"/>
      <c r="E100" s="2601"/>
      <c r="F100" s="2601"/>
      <c r="G100" s="2602"/>
      <c r="H100" s="2603"/>
      <c r="I100" s="2603"/>
      <c r="J100" s="2604">
        <v>265</v>
      </c>
      <c r="K100" s="2521" t="s">
        <v>267</v>
      </c>
      <c r="L100" s="2521" t="s">
        <v>268</v>
      </c>
      <c r="M100" s="2606">
        <v>1</v>
      </c>
      <c r="N100" s="2607" t="s">
        <v>269</v>
      </c>
      <c r="O100" s="2607" t="s">
        <v>270</v>
      </c>
      <c r="P100" s="2609" t="s">
        <v>271</v>
      </c>
      <c r="Q100" s="2611">
        <v>1</v>
      </c>
      <c r="R100" s="2574">
        <f>SUM(V100:V123)</f>
        <v>493700000</v>
      </c>
      <c r="S100" s="2576" t="s">
        <v>272</v>
      </c>
      <c r="T100" s="2714" t="s">
        <v>273</v>
      </c>
      <c r="U100" s="1525" t="s">
        <v>274</v>
      </c>
      <c r="V100" s="1688">
        <f>18000000-4000000-14000000</f>
        <v>0</v>
      </c>
      <c r="W100" s="1689" t="s">
        <v>214</v>
      </c>
      <c r="X100" s="1694" t="s">
        <v>275</v>
      </c>
      <c r="Y100" s="2568">
        <v>294321</v>
      </c>
      <c r="Z100" s="2571">
        <v>283947</v>
      </c>
      <c r="AA100" s="2568">
        <v>135754</v>
      </c>
      <c r="AB100" s="2568">
        <v>44640</v>
      </c>
      <c r="AC100" s="2568">
        <v>308178</v>
      </c>
      <c r="AD100" s="2568">
        <v>89696</v>
      </c>
      <c r="AE100" s="2568">
        <v>2145</v>
      </c>
      <c r="AF100" s="2568">
        <v>12718</v>
      </c>
      <c r="AG100" s="2568">
        <v>26</v>
      </c>
      <c r="AH100" s="2568">
        <v>37</v>
      </c>
      <c r="AI100" s="2568"/>
      <c r="AJ100" s="2568"/>
      <c r="AK100" s="2568">
        <v>54612</v>
      </c>
      <c r="AL100" s="2568">
        <v>16982</v>
      </c>
      <c r="AM100" s="2568">
        <v>1010</v>
      </c>
      <c r="AN100" s="2568">
        <f>+Y100+Z100</f>
        <v>578268</v>
      </c>
      <c r="AO100" s="2563">
        <v>43102</v>
      </c>
      <c r="AP100" s="2563">
        <v>43465</v>
      </c>
      <c r="AQ100" s="2510" t="s">
        <v>249</v>
      </c>
    </row>
    <row r="101" spans="1:45" ht="104.25" customHeight="1" x14ac:dyDescent="0.2">
      <c r="A101" s="2600"/>
      <c r="B101" s="2601"/>
      <c r="C101" s="2601"/>
      <c r="D101" s="2602"/>
      <c r="E101" s="2601"/>
      <c r="F101" s="2601"/>
      <c r="G101" s="2602"/>
      <c r="H101" s="2603"/>
      <c r="I101" s="2603"/>
      <c r="J101" s="2599"/>
      <c r="K101" s="2522"/>
      <c r="L101" s="2522"/>
      <c r="M101" s="2605"/>
      <c r="N101" s="2608"/>
      <c r="O101" s="2608"/>
      <c r="P101" s="2610"/>
      <c r="Q101" s="2612"/>
      <c r="R101" s="2575"/>
      <c r="S101" s="2577"/>
      <c r="T101" s="2645"/>
      <c r="U101" s="1443" t="s">
        <v>276</v>
      </c>
      <c r="V101" s="1407">
        <f>55440000+11340000</f>
        <v>66780000</v>
      </c>
      <c r="W101" s="1677" t="s">
        <v>214</v>
      </c>
      <c r="X101" s="1695" t="s">
        <v>275</v>
      </c>
      <c r="Y101" s="2569"/>
      <c r="Z101" s="2572"/>
      <c r="AA101" s="2569"/>
      <c r="AB101" s="2569"/>
      <c r="AC101" s="2569"/>
      <c r="AD101" s="2569"/>
      <c r="AE101" s="2569"/>
      <c r="AF101" s="2569"/>
      <c r="AG101" s="2569"/>
      <c r="AH101" s="2569"/>
      <c r="AI101" s="2569"/>
      <c r="AJ101" s="2569"/>
      <c r="AK101" s="2569"/>
      <c r="AL101" s="2569"/>
      <c r="AM101" s="2569"/>
      <c r="AN101" s="2569"/>
      <c r="AO101" s="2563"/>
      <c r="AP101" s="2563"/>
      <c r="AQ101" s="2510"/>
      <c r="AR101" s="2419"/>
    </row>
    <row r="102" spans="1:45" ht="62.25" customHeight="1" x14ac:dyDescent="0.2">
      <c r="A102" s="2600"/>
      <c r="B102" s="2601"/>
      <c r="C102" s="2601"/>
      <c r="D102" s="2602"/>
      <c r="E102" s="2601"/>
      <c r="F102" s="2601"/>
      <c r="G102" s="2602"/>
      <c r="H102" s="2603"/>
      <c r="I102" s="2603"/>
      <c r="J102" s="2599"/>
      <c r="K102" s="2522"/>
      <c r="L102" s="2522"/>
      <c r="M102" s="2605"/>
      <c r="N102" s="2608"/>
      <c r="O102" s="2608"/>
      <c r="P102" s="2610"/>
      <c r="Q102" s="2612"/>
      <c r="R102" s="2575"/>
      <c r="S102" s="2577"/>
      <c r="T102" s="2645"/>
      <c r="U102" s="1033" t="s">
        <v>277</v>
      </c>
      <c r="V102" s="1407">
        <f>92400000-80640000</f>
        <v>11760000</v>
      </c>
      <c r="W102" s="1677" t="s">
        <v>214</v>
      </c>
      <c r="X102" s="1695" t="s">
        <v>275</v>
      </c>
      <c r="Y102" s="2569"/>
      <c r="Z102" s="2572"/>
      <c r="AA102" s="2569"/>
      <c r="AB102" s="2569"/>
      <c r="AC102" s="2569"/>
      <c r="AD102" s="2569"/>
      <c r="AE102" s="2569"/>
      <c r="AF102" s="2569"/>
      <c r="AG102" s="2569"/>
      <c r="AH102" s="2569"/>
      <c r="AI102" s="2569"/>
      <c r="AJ102" s="2569"/>
      <c r="AK102" s="2569"/>
      <c r="AL102" s="2569"/>
      <c r="AM102" s="2569"/>
      <c r="AN102" s="2569"/>
      <c r="AO102" s="2563"/>
      <c r="AP102" s="2563"/>
      <c r="AQ102" s="2510"/>
    </row>
    <row r="103" spans="1:45" ht="35.25" customHeight="1" x14ac:dyDescent="0.2">
      <c r="A103" s="2600"/>
      <c r="B103" s="2601"/>
      <c r="C103" s="2601"/>
      <c r="D103" s="2602"/>
      <c r="E103" s="2601"/>
      <c r="F103" s="2601"/>
      <c r="G103" s="2602"/>
      <c r="H103" s="2603"/>
      <c r="I103" s="2603"/>
      <c r="J103" s="2599"/>
      <c r="K103" s="2522"/>
      <c r="L103" s="2522"/>
      <c r="M103" s="2605"/>
      <c r="N103" s="2608"/>
      <c r="O103" s="2608"/>
      <c r="P103" s="2610"/>
      <c r="Q103" s="2612"/>
      <c r="R103" s="2575"/>
      <c r="S103" s="2577"/>
      <c r="T103" s="2645"/>
      <c r="U103" s="2581" t="s">
        <v>278</v>
      </c>
      <c r="V103" s="1407">
        <f>5760000+20170000</f>
        <v>25930000</v>
      </c>
      <c r="W103" s="1677" t="s">
        <v>214</v>
      </c>
      <c r="X103" s="1695" t="s">
        <v>275</v>
      </c>
      <c r="Y103" s="2569"/>
      <c r="Z103" s="2572"/>
      <c r="AA103" s="2569"/>
      <c r="AB103" s="2569"/>
      <c r="AC103" s="2569"/>
      <c r="AD103" s="2569"/>
      <c r="AE103" s="2569"/>
      <c r="AF103" s="2569"/>
      <c r="AG103" s="2569"/>
      <c r="AH103" s="2569"/>
      <c r="AI103" s="2569"/>
      <c r="AJ103" s="2569"/>
      <c r="AK103" s="2569"/>
      <c r="AL103" s="2569"/>
      <c r="AM103" s="2569"/>
      <c r="AN103" s="2569"/>
      <c r="AO103" s="2563"/>
      <c r="AP103" s="2563"/>
      <c r="AQ103" s="2510"/>
    </row>
    <row r="104" spans="1:45" ht="36.75" customHeight="1" x14ac:dyDescent="0.2">
      <c r="A104" s="2600"/>
      <c r="B104" s="2601"/>
      <c r="C104" s="2601"/>
      <c r="D104" s="2602"/>
      <c r="E104" s="2601"/>
      <c r="F104" s="2601"/>
      <c r="G104" s="2602"/>
      <c r="H104" s="2603"/>
      <c r="I104" s="2603"/>
      <c r="J104" s="2599"/>
      <c r="K104" s="2522"/>
      <c r="L104" s="2522"/>
      <c r="M104" s="2605"/>
      <c r="N104" s="2608"/>
      <c r="O104" s="2608"/>
      <c r="P104" s="2610"/>
      <c r="Q104" s="2612"/>
      <c r="R104" s="2575"/>
      <c r="S104" s="2577"/>
      <c r="T104" s="2645"/>
      <c r="U104" s="2582"/>
      <c r="V104" s="1407">
        <f>0+20000</f>
        <v>20000</v>
      </c>
      <c r="W104" s="1677">
        <v>88</v>
      </c>
      <c r="X104" s="1695" t="s">
        <v>264</v>
      </c>
      <c r="Y104" s="2569"/>
      <c r="Z104" s="2572"/>
      <c r="AA104" s="2569"/>
      <c r="AB104" s="2569"/>
      <c r="AC104" s="2569"/>
      <c r="AD104" s="2569"/>
      <c r="AE104" s="2569"/>
      <c r="AF104" s="2569"/>
      <c r="AG104" s="2569"/>
      <c r="AH104" s="2569"/>
      <c r="AI104" s="2569"/>
      <c r="AJ104" s="2569"/>
      <c r="AK104" s="2569"/>
      <c r="AL104" s="2569"/>
      <c r="AM104" s="2569"/>
      <c r="AN104" s="2569"/>
      <c r="AO104" s="2563"/>
      <c r="AP104" s="2563"/>
      <c r="AQ104" s="2510"/>
    </row>
    <row r="105" spans="1:45" ht="37.5" customHeight="1" x14ac:dyDescent="0.2">
      <c r="A105" s="2600"/>
      <c r="B105" s="2601"/>
      <c r="C105" s="2601"/>
      <c r="D105" s="2602"/>
      <c r="E105" s="2601"/>
      <c r="F105" s="2601"/>
      <c r="G105" s="2602"/>
      <c r="H105" s="2603"/>
      <c r="I105" s="2603"/>
      <c r="J105" s="2599"/>
      <c r="K105" s="2522"/>
      <c r="L105" s="2522"/>
      <c r="M105" s="2605"/>
      <c r="N105" s="2608"/>
      <c r="O105" s="2608"/>
      <c r="P105" s="2610"/>
      <c r="Q105" s="2612"/>
      <c r="R105" s="2575"/>
      <c r="S105" s="2577"/>
      <c r="T105" s="2645"/>
      <c r="U105" s="1033" t="s">
        <v>279</v>
      </c>
      <c r="V105" s="1407">
        <f>5760000-5760000</f>
        <v>0</v>
      </c>
      <c r="W105" s="1677" t="s">
        <v>214</v>
      </c>
      <c r="X105" s="1695" t="s">
        <v>275</v>
      </c>
      <c r="Y105" s="2569"/>
      <c r="Z105" s="2572"/>
      <c r="AA105" s="2569"/>
      <c r="AB105" s="2569"/>
      <c r="AC105" s="2569"/>
      <c r="AD105" s="2569"/>
      <c r="AE105" s="2569"/>
      <c r="AF105" s="2569"/>
      <c r="AG105" s="2569"/>
      <c r="AH105" s="2569"/>
      <c r="AI105" s="2569"/>
      <c r="AJ105" s="2569"/>
      <c r="AK105" s="2569"/>
      <c r="AL105" s="2569"/>
      <c r="AM105" s="2569"/>
      <c r="AN105" s="2569"/>
      <c r="AO105" s="2563"/>
      <c r="AP105" s="2563"/>
      <c r="AQ105" s="2510"/>
    </row>
    <row r="106" spans="1:45" ht="34.5" customHeight="1" x14ac:dyDescent="0.2">
      <c r="A106" s="2600"/>
      <c r="B106" s="2601"/>
      <c r="C106" s="2601"/>
      <c r="D106" s="2602"/>
      <c r="E106" s="2601"/>
      <c r="F106" s="2601"/>
      <c r="G106" s="2602"/>
      <c r="H106" s="2603"/>
      <c r="I106" s="2603"/>
      <c r="J106" s="2599"/>
      <c r="K106" s="2522"/>
      <c r="L106" s="2522"/>
      <c r="M106" s="2605"/>
      <c r="N106" s="2608"/>
      <c r="O106" s="2608"/>
      <c r="P106" s="2610"/>
      <c r="Q106" s="2612"/>
      <c r="R106" s="2575"/>
      <c r="S106" s="2577"/>
      <c r="T106" s="2645"/>
      <c r="U106" s="2581" t="s">
        <v>280</v>
      </c>
      <c r="V106" s="1407">
        <f>14410000-14410000</f>
        <v>0</v>
      </c>
      <c r="W106" s="1677">
        <v>20</v>
      </c>
      <c r="X106" s="1695" t="s">
        <v>275</v>
      </c>
      <c r="Y106" s="2569"/>
      <c r="Z106" s="2572"/>
      <c r="AA106" s="2569"/>
      <c r="AB106" s="2569"/>
      <c r="AC106" s="2569"/>
      <c r="AD106" s="2569"/>
      <c r="AE106" s="2569"/>
      <c r="AF106" s="2569"/>
      <c r="AG106" s="2569"/>
      <c r="AH106" s="2569"/>
      <c r="AI106" s="2569"/>
      <c r="AJ106" s="2569"/>
      <c r="AK106" s="2569"/>
      <c r="AL106" s="2569"/>
      <c r="AM106" s="2569"/>
      <c r="AN106" s="2569"/>
      <c r="AO106" s="2563"/>
      <c r="AP106" s="2563"/>
      <c r="AQ106" s="2510"/>
    </row>
    <row r="107" spans="1:45" ht="30.75" customHeight="1" x14ac:dyDescent="0.2">
      <c r="A107" s="2600"/>
      <c r="B107" s="2601"/>
      <c r="C107" s="2601"/>
      <c r="D107" s="2602"/>
      <c r="E107" s="2601"/>
      <c r="F107" s="2601"/>
      <c r="G107" s="2602"/>
      <c r="H107" s="2603"/>
      <c r="I107" s="2603"/>
      <c r="J107" s="2599"/>
      <c r="K107" s="2522"/>
      <c r="L107" s="2522"/>
      <c r="M107" s="2605"/>
      <c r="N107" s="2608"/>
      <c r="O107" s="2608"/>
      <c r="P107" s="2610"/>
      <c r="Q107" s="2612"/>
      <c r="R107" s="2575"/>
      <c r="S107" s="2577"/>
      <c r="T107" s="2512"/>
      <c r="U107" s="2582"/>
      <c r="V107" s="1407">
        <f>20000-20000</f>
        <v>0</v>
      </c>
      <c r="W107" s="1677">
        <v>88</v>
      </c>
      <c r="X107" s="1695" t="s">
        <v>264</v>
      </c>
      <c r="Y107" s="2569"/>
      <c r="Z107" s="2572"/>
      <c r="AA107" s="2569"/>
      <c r="AB107" s="2569"/>
      <c r="AC107" s="2569"/>
      <c r="AD107" s="2569"/>
      <c r="AE107" s="2569"/>
      <c r="AF107" s="2569"/>
      <c r="AG107" s="2569"/>
      <c r="AH107" s="2569"/>
      <c r="AI107" s="2569"/>
      <c r="AJ107" s="2569"/>
      <c r="AK107" s="2569"/>
      <c r="AL107" s="2569"/>
      <c r="AM107" s="2569"/>
      <c r="AN107" s="2569"/>
      <c r="AO107" s="2563"/>
      <c r="AP107" s="2563"/>
      <c r="AQ107" s="2510"/>
    </row>
    <row r="108" spans="1:45" ht="39.75" customHeight="1" x14ac:dyDescent="0.2">
      <c r="A108" s="2600"/>
      <c r="B108" s="2601"/>
      <c r="C108" s="2601"/>
      <c r="D108" s="2602"/>
      <c r="E108" s="2601"/>
      <c r="F108" s="2601"/>
      <c r="G108" s="2602"/>
      <c r="H108" s="2603"/>
      <c r="I108" s="2603"/>
      <c r="J108" s="2599"/>
      <c r="K108" s="2522"/>
      <c r="L108" s="2522"/>
      <c r="M108" s="2605"/>
      <c r="N108" s="2608"/>
      <c r="O108" s="2608"/>
      <c r="P108" s="2610"/>
      <c r="Q108" s="2612"/>
      <c r="R108" s="2575"/>
      <c r="S108" s="2577"/>
      <c r="T108" s="2513" t="s">
        <v>281</v>
      </c>
      <c r="U108" s="1443" t="s">
        <v>282</v>
      </c>
      <c r="V108" s="1407">
        <f>8500000+850000</f>
        <v>9350000</v>
      </c>
      <c r="W108" s="1677">
        <v>20</v>
      </c>
      <c r="X108" s="1695" t="s">
        <v>275</v>
      </c>
      <c r="Y108" s="2569"/>
      <c r="Z108" s="2572"/>
      <c r="AA108" s="2569"/>
      <c r="AB108" s="2569"/>
      <c r="AC108" s="2569"/>
      <c r="AD108" s="2569"/>
      <c r="AE108" s="2569"/>
      <c r="AF108" s="2569"/>
      <c r="AG108" s="2569"/>
      <c r="AH108" s="2569"/>
      <c r="AI108" s="2569"/>
      <c r="AJ108" s="2569"/>
      <c r="AK108" s="2569"/>
      <c r="AL108" s="2569"/>
      <c r="AM108" s="2569"/>
      <c r="AN108" s="2569"/>
      <c r="AO108" s="2563"/>
      <c r="AP108" s="2563"/>
      <c r="AQ108" s="2510"/>
    </row>
    <row r="109" spans="1:45" ht="28.5" customHeight="1" x14ac:dyDescent="0.2">
      <c r="A109" s="2600"/>
      <c r="B109" s="2601"/>
      <c r="C109" s="2601"/>
      <c r="D109" s="2602"/>
      <c r="E109" s="2601"/>
      <c r="F109" s="2601"/>
      <c r="G109" s="2602"/>
      <c r="H109" s="2603"/>
      <c r="I109" s="2603"/>
      <c r="J109" s="2599"/>
      <c r="K109" s="2522"/>
      <c r="L109" s="2522"/>
      <c r="M109" s="2605"/>
      <c r="N109" s="2608"/>
      <c r="O109" s="2608"/>
      <c r="P109" s="2610"/>
      <c r="Q109" s="2612"/>
      <c r="R109" s="2575"/>
      <c r="S109" s="2577"/>
      <c r="T109" s="2513"/>
      <c r="U109" s="1443" t="s">
        <v>283</v>
      </c>
      <c r="V109" s="1407">
        <f>6500000+650000</f>
        <v>7150000</v>
      </c>
      <c r="W109" s="1677">
        <v>20</v>
      </c>
      <c r="X109" s="1695" t="s">
        <v>275</v>
      </c>
      <c r="Y109" s="2569"/>
      <c r="Z109" s="2572"/>
      <c r="AA109" s="2569"/>
      <c r="AB109" s="2569"/>
      <c r="AC109" s="2569"/>
      <c r="AD109" s="2569"/>
      <c r="AE109" s="2569"/>
      <c r="AF109" s="2569"/>
      <c r="AG109" s="2569"/>
      <c r="AH109" s="2569"/>
      <c r="AI109" s="2569"/>
      <c r="AJ109" s="2569"/>
      <c r="AK109" s="2569"/>
      <c r="AL109" s="2569"/>
      <c r="AM109" s="2569"/>
      <c r="AN109" s="2569"/>
      <c r="AO109" s="2563"/>
      <c r="AP109" s="2563"/>
      <c r="AQ109" s="2510"/>
    </row>
    <row r="110" spans="1:45" ht="30.75" customHeight="1" x14ac:dyDescent="0.2">
      <c r="A110" s="2600"/>
      <c r="B110" s="2601"/>
      <c r="C110" s="2601"/>
      <c r="D110" s="2602"/>
      <c r="E110" s="2601"/>
      <c r="F110" s="2601"/>
      <c r="G110" s="2602"/>
      <c r="H110" s="2603"/>
      <c r="I110" s="2603"/>
      <c r="J110" s="2599"/>
      <c r="K110" s="2522"/>
      <c r="L110" s="2522"/>
      <c r="M110" s="2605"/>
      <c r="N110" s="2608"/>
      <c r="O110" s="2608"/>
      <c r="P110" s="2610"/>
      <c r="Q110" s="2612"/>
      <c r="R110" s="2575"/>
      <c r="S110" s="2577"/>
      <c r="T110" s="2513"/>
      <c r="U110" s="1443" t="s">
        <v>284</v>
      </c>
      <c r="V110" s="1407">
        <v>18000000</v>
      </c>
      <c r="W110" s="1677">
        <v>20</v>
      </c>
      <c r="X110" s="1695" t="s">
        <v>275</v>
      </c>
      <c r="Y110" s="2569"/>
      <c r="Z110" s="2572"/>
      <c r="AA110" s="2569"/>
      <c r="AB110" s="2569"/>
      <c r="AC110" s="2569"/>
      <c r="AD110" s="2569"/>
      <c r="AE110" s="2569"/>
      <c r="AF110" s="2569"/>
      <c r="AG110" s="2569"/>
      <c r="AH110" s="2569"/>
      <c r="AI110" s="2569"/>
      <c r="AJ110" s="2569"/>
      <c r="AK110" s="2569"/>
      <c r="AL110" s="2569"/>
      <c r="AM110" s="2569"/>
      <c r="AN110" s="2569"/>
      <c r="AO110" s="2563"/>
      <c r="AP110" s="2563"/>
      <c r="AQ110" s="2510"/>
    </row>
    <row r="111" spans="1:45" ht="72" customHeight="1" x14ac:dyDescent="0.2">
      <c r="A111" s="2600"/>
      <c r="B111" s="2601"/>
      <c r="C111" s="2601"/>
      <c r="D111" s="2602"/>
      <c r="E111" s="2601"/>
      <c r="F111" s="2601"/>
      <c r="G111" s="2602"/>
      <c r="H111" s="2603"/>
      <c r="I111" s="2603"/>
      <c r="J111" s="2599"/>
      <c r="K111" s="2522"/>
      <c r="L111" s="2522"/>
      <c r="M111" s="2605"/>
      <c r="N111" s="2608"/>
      <c r="O111" s="2608"/>
      <c r="P111" s="2610"/>
      <c r="Q111" s="2612"/>
      <c r="R111" s="2575"/>
      <c r="S111" s="2577"/>
      <c r="T111" s="2513" t="s">
        <v>285</v>
      </c>
      <c r="U111" s="2581" t="s">
        <v>286</v>
      </c>
      <c r="V111" s="1407">
        <f>76230000+59290000-5100000-3370000</f>
        <v>127050000</v>
      </c>
      <c r="W111" s="1677" t="s">
        <v>214</v>
      </c>
      <c r="X111" s="1695" t="s">
        <v>275</v>
      </c>
      <c r="Y111" s="2569"/>
      <c r="Z111" s="2572"/>
      <c r="AA111" s="2569"/>
      <c r="AB111" s="2569"/>
      <c r="AC111" s="2569"/>
      <c r="AD111" s="2569"/>
      <c r="AE111" s="2569"/>
      <c r="AF111" s="2569"/>
      <c r="AG111" s="2569"/>
      <c r="AH111" s="2569"/>
      <c r="AI111" s="2569"/>
      <c r="AJ111" s="2569"/>
      <c r="AK111" s="2569"/>
      <c r="AL111" s="2569"/>
      <c r="AM111" s="2569"/>
      <c r="AN111" s="2569"/>
      <c r="AO111" s="2563"/>
      <c r="AP111" s="2563"/>
      <c r="AQ111" s="2510"/>
    </row>
    <row r="112" spans="1:45" ht="71.25" customHeight="1" x14ac:dyDescent="0.2">
      <c r="A112" s="2600"/>
      <c r="B112" s="2601"/>
      <c r="C112" s="2601"/>
      <c r="D112" s="2602"/>
      <c r="E112" s="2601"/>
      <c r="F112" s="2601"/>
      <c r="G112" s="2602"/>
      <c r="H112" s="2603"/>
      <c r="I112" s="2603"/>
      <c r="J112" s="2599"/>
      <c r="K112" s="2522"/>
      <c r="L112" s="2522"/>
      <c r="M112" s="2605"/>
      <c r="N112" s="2608"/>
      <c r="O112" s="2608"/>
      <c r="P112" s="2610"/>
      <c r="Q112" s="2612"/>
      <c r="R112" s="2575"/>
      <c r="S112" s="2577"/>
      <c r="T112" s="2513"/>
      <c r="U112" s="2582"/>
      <c r="V112" s="1407">
        <f>0+33880000+8470000+5100000+11840000</f>
        <v>59290000</v>
      </c>
      <c r="W112" s="1677">
        <v>88</v>
      </c>
      <c r="X112" s="1695" t="s">
        <v>287</v>
      </c>
      <c r="Y112" s="2569"/>
      <c r="Z112" s="2572"/>
      <c r="AA112" s="2569"/>
      <c r="AB112" s="2569"/>
      <c r="AC112" s="2569"/>
      <c r="AD112" s="2569"/>
      <c r="AE112" s="2569"/>
      <c r="AF112" s="2569"/>
      <c r="AG112" s="2569"/>
      <c r="AH112" s="2569"/>
      <c r="AI112" s="2569"/>
      <c r="AJ112" s="2569"/>
      <c r="AK112" s="2569"/>
      <c r="AL112" s="2569"/>
      <c r="AM112" s="2569"/>
      <c r="AN112" s="2569"/>
      <c r="AO112" s="2563"/>
      <c r="AP112" s="2563"/>
      <c r="AQ112" s="2510"/>
    </row>
    <row r="113" spans="1:44" ht="33.75" customHeight="1" x14ac:dyDescent="0.2">
      <c r="A113" s="2600"/>
      <c r="B113" s="2601"/>
      <c r="C113" s="2601"/>
      <c r="D113" s="2602"/>
      <c r="E113" s="2601"/>
      <c r="F113" s="2601"/>
      <c r="G113" s="2602"/>
      <c r="H113" s="2603"/>
      <c r="I113" s="2603"/>
      <c r="J113" s="2599"/>
      <c r="K113" s="2522"/>
      <c r="L113" s="2522"/>
      <c r="M113" s="2605"/>
      <c r="N113" s="2608"/>
      <c r="O113" s="2608"/>
      <c r="P113" s="2610"/>
      <c r="Q113" s="2612"/>
      <c r="R113" s="2575"/>
      <c r="S113" s="2577"/>
      <c r="T113" s="2513"/>
      <c r="U113" s="2581" t="s">
        <v>288</v>
      </c>
      <c r="V113" s="1679">
        <f>19800000-5100000+5100000</f>
        <v>19800000</v>
      </c>
      <c r="W113" s="1677" t="s">
        <v>214</v>
      </c>
      <c r="X113" s="1678" t="s">
        <v>275</v>
      </c>
      <c r="Y113" s="2569"/>
      <c r="Z113" s="2572"/>
      <c r="AA113" s="2569"/>
      <c r="AB113" s="2569"/>
      <c r="AC113" s="2569"/>
      <c r="AD113" s="2569"/>
      <c r="AE113" s="2569"/>
      <c r="AF113" s="2569"/>
      <c r="AG113" s="2569"/>
      <c r="AH113" s="2569"/>
      <c r="AI113" s="2569"/>
      <c r="AJ113" s="2569"/>
      <c r="AK113" s="2569"/>
      <c r="AL113" s="2569"/>
      <c r="AM113" s="2569"/>
      <c r="AN113" s="2569"/>
      <c r="AO113" s="2563"/>
      <c r="AP113" s="2563"/>
      <c r="AQ113" s="2510"/>
    </row>
    <row r="114" spans="1:44" ht="37.5" customHeight="1" x14ac:dyDescent="0.2">
      <c r="A114" s="2600"/>
      <c r="B114" s="2601"/>
      <c r="C114" s="2601"/>
      <c r="D114" s="2602"/>
      <c r="E114" s="2601"/>
      <c r="F114" s="2601"/>
      <c r="G114" s="2602"/>
      <c r="H114" s="2603"/>
      <c r="I114" s="2603"/>
      <c r="J114" s="2599"/>
      <c r="K114" s="2522"/>
      <c r="L114" s="2522"/>
      <c r="M114" s="2605"/>
      <c r="N114" s="2608"/>
      <c r="O114" s="2608"/>
      <c r="P114" s="2610"/>
      <c r="Q114" s="2612"/>
      <c r="R114" s="2575"/>
      <c r="S114" s="2577"/>
      <c r="T114" s="2513"/>
      <c r="U114" s="2583"/>
      <c r="V114" s="1702">
        <f>0+5100000-5100000</f>
        <v>0</v>
      </c>
      <c r="W114" s="1677">
        <v>88</v>
      </c>
      <c r="X114" s="1678" t="s">
        <v>287</v>
      </c>
      <c r="Y114" s="2578"/>
      <c r="Z114" s="2572"/>
      <c r="AA114" s="2569"/>
      <c r="AB114" s="2569"/>
      <c r="AC114" s="2569"/>
      <c r="AD114" s="2569"/>
      <c r="AE114" s="2569"/>
      <c r="AF114" s="2569"/>
      <c r="AG114" s="2569"/>
      <c r="AH114" s="2569"/>
      <c r="AI114" s="2569"/>
      <c r="AJ114" s="2569"/>
      <c r="AK114" s="2569"/>
      <c r="AL114" s="2569"/>
      <c r="AM114" s="2569"/>
      <c r="AN114" s="2569"/>
      <c r="AO114" s="2563"/>
      <c r="AP114" s="2563"/>
      <c r="AQ114" s="2510"/>
    </row>
    <row r="115" spans="1:44" ht="38.25" customHeight="1" x14ac:dyDescent="0.2">
      <c r="A115" s="2600"/>
      <c r="B115" s="2601"/>
      <c r="C115" s="2601"/>
      <c r="D115" s="2602"/>
      <c r="E115" s="2601"/>
      <c r="F115" s="2601"/>
      <c r="G115" s="2602"/>
      <c r="H115" s="2603"/>
      <c r="I115" s="2603"/>
      <c r="J115" s="2599"/>
      <c r="K115" s="2522"/>
      <c r="L115" s="2522"/>
      <c r="M115" s="2605"/>
      <c r="N115" s="2608"/>
      <c r="O115" s="2608"/>
      <c r="P115" s="2610"/>
      <c r="Q115" s="2612"/>
      <c r="R115" s="2575"/>
      <c r="S115" s="2577"/>
      <c r="T115" s="2513"/>
      <c r="U115" s="2589" t="s">
        <v>289</v>
      </c>
      <c r="V115" s="1703">
        <f>20000+4160000</f>
        <v>4180000</v>
      </c>
      <c r="W115" s="1393">
        <v>20</v>
      </c>
      <c r="X115" s="1682" t="s">
        <v>275</v>
      </c>
      <c r="Y115" s="2578"/>
      <c r="Z115" s="2572"/>
      <c r="AA115" s="2569"/>
      <c r="AB115" s="2569"/>
      <c r="AC115" s="2569"/>
      <c r="AD115" s="2569"/>
      <c r="AE115" s="2569"/>
      <c r="AF115" s="2569"/>
      <c r="AG115" s="2569"/>
      <c r="AH115" s="2569"/>
      <c r="AI115" s="2569"/>
      <c r="AJ115" s="2569"/>
      <c r="AK115" s="2569"/>
      <c r="AL115" s="2569"/>
      <c r="AM115" s="2569"/>
      <c r="AN115" s="2569"/>
      <c r="AO115" s="2563"/>
      <c r="AP115" s="2563"/>
      <c r="AQ115" s="2510"/>
    </row>
    <row r="116" spans="1:44" ht="116.25" customHeight="1" x14ac:dyDescent="0.2">
      <c r="A116" s="2600"/>
      <c r="B116" s="2601"/>
      <c r="C116" s="2601"/>
      <c r="D116" s="2602"/>
      <c r="E116" s="2601"/>
      <c r="F116" s="2601"/>
      <c r="G116" s="2602"/>
      <c r="H116" s="2603"/>
      <c r="I116" s="2603"/>
      <c r="J116" s="2599"/>
      <c r="K116" s="2522"/>
      <c r="L116" s="2522"/>
      <c r="M116" s="2605"/>
      <c r="N116" s="2608"/>
      <c r="O116" s="2608"/>
      <c r="P116" s="2610"/>
      <c r="Q116" s="2612"/>
      <c r="R116" s="2575"/>
      <c r="S116" s="2577"/>
      <c r="T116" s="2513"/>
      <c r="U116" s="2590"/>
      <c r="V116" s="1703">
        <f>2030000-1940000</f>
        <v>90000</v>
      </c>
      <c r="W116" s="1393">
        <v>88</v>
      </c>
      <c r="X116" s="1682" t="s">
        <v>287</v>
      </c>
      <c r="Y116" s="2578"/>
      <c r="Z116" s="2572"/>
      <c r="AA116" s="2569"/>
      <c r="AB116" s="2569"/>
      <c r="AC116" s="2569"/>
      <c r="AD116" s="2569"/>
      <c r="AE116" s="2569"/>
      <c r="AF116" s="2569"/>
      <c r="AG116" s="2569"/>
      <c r="AH116" s="2569"/>
      <c r="AI116" s="2569"/>
      <c r="AJ116" s="2569"/>
      <c r="AK116" s="2569"/>
      <c r="AL116" s="2569"/>
      <c r="AM116" s="2569"/>
      <c r="AN116" s="2569"/>
      <c r="AO116" s="2563"/>
      <c r="AP116" s="2563"/>
      <c r="AQ116" s="2510"/>
      <c r="AR116" s="2419"/>
    </row>
    <row r="117" spans="1:44" ht="51" customHeight="1" x14ac:dyDescent="0.2">
      <c r="A117" s="2600"/>
      <c r="B117" s="2601"/>
      <c r="C117" s="2601"/>
      <c r="D117" s="2602"/>
      <c r="E117" s="2601"/>
      <c r="F117" s="2601"/>
      <c r="G117" s="2602"/>
      <c r="H117" s="2603"/>
      <c r="I117" s="2603"/>
      <c r="J117" s="2599"/>
      <c r="K117" s="2522"/>
      <c r="L117" s="2522"/>
      <c r="M117" s="2605"/>
      <c r="N117" s="2608"/>
      <c r="O117" s="2608"/>
      <c r="P117" s="2610"/>
      <c r="Q117" s="2612"/>
      <c r="R117" s="2575"/>
      <c r="S117" s="2577"/>
      <c r="T117" s="2513"/>
      <c r="U117" s="2616" t="s">
        <v>290</v>
      </c>
      <c r="V117" s="1704">
        <f>72600000+29800000+1000000</f>
        <v>103400000</v>
      </c>
      <c r="W117" s="1705" t="s">
        <v>214</v>
      </c>
      <c r="X117" s="1706" t="s">
        <v>275</v>
      </c>
      <c r="Y117" s="2578"/>
      <c r="Z117" s="2572"/>
      <c r="AA117" s="2569"/>
      <c r="AB117" s="2569"/>
      <c r="AC117" s="2569"/>
      <c r="AD117" s="2569"/>
      <c r="AE117" s="2569"/>
      <c r="AF117" s="2569"/>
      <c r="AG117" s="2569"/>
      <c r="AH117" s="2569"/>
      <c r="AI117" s="2569"/>
      <c r="AJ117" s="2569"/>
      <c r="AK117" s="2569"/>
      <c r="AL117" s="2569"/>
      <c r="AM117" s="2569"/>
      <c r="AN117" s="2569"/>
      <c r="AO117" s="2563"/>
      <c r="AP117" s="2563"/>
      <c r="AQ117" s="2510"/>
    </row>
    <row r="118" spans="1:44" ht="57.75" customHeight="1" x14ac:dyDescent="0.2">
      <c r="A118" s="2600"/>
      <c r="B118" s="2601"/>
      <c r="C118" s="2601"/>
      <c r="D118" s="2602"/>
      <c r="E118" s="2601"/>
      <c r="F118" s="2601"/>
      <c r="G118" s="2602"/>
      <c r="H118" s="2603"/>
      <c r="I118" s="2603"/>
      <c r="J118" s="2599"/>
      <c r="K118" s="2522"/>
      <c r="L118" s="2522"/>
      <c r="M118" s="2605"/>
      <c r="N118" s="2608"/>
      <c r="O118" s="2608"/>
      <c r="P118" s="2610"/>
      <c r="Q118" s="2612"/>
      <c r="R118" s="2575"/>
      <c r="S118" s="2577"/>
      <c r="T118" s="2513"/>
      <c r="U118" s="2582"/>
      <c r="V118" s="1688">
        <f>0+33900000+8200000-9900000</f>
        <v>32200000</v>
      </c>
      <c r="W118" s="1689">
        <v>88</v>
      </c>
      <c r="X118" s="1694" t="s">
        <v>264</v>
      </c>
      <c r="Y118" s="2569"/>
      <c r="Z118" s="2572"/>
      <c r="AA118" s="2569"/>
      <c r="AB118" s="2569"/>
      <c r="AC118" s="2569"/>
      <c r="AD118" s="2569"/>
      <c r="AE118" s="2569"/>
      <c r="AF118" s="2569"/>
      <c r="AG118" s="2569"/>
      <c r="AH118" s="2569"/>
      <c r="AI118" s="2569"/>
      <c r="AJ118" s="2569"/>
      <c r="AK118" s="2569"/>
      <c r="AL118" s="2569"/>
      <c r="AM118" s="2569"/>
      <c r="AN118" s="2569"/>
      <c r="AO118" s="2563"/>
      <c r="AP118" s="2563"/>
      <c r="AQ118" s="2510"/>
    </row>
    <row r="119" spans="1:44" ht="38.25" customHeight="1" x14ac:dyDescent="0.2">
      <c r="A119" s="2600"/>
      <c r="B119" s="2601"/>
      <c r="C119" s="2601"/>
      <c r="D119" s="2602"/>
      <c r="E119" s="2601"/>
      <c r="F119" s="2601"/>
      <c r="G119" s="2602"/>
      <c r="H119" s="2603"/>
      <c r="I119" s="2603"/>
      <c r="J119" s="2599"/>
      <c r="K119" s="2522"/>
      <c r="L119" s="2522"/>
      <c r="M119" s="2605"/>
      <c r="N119" s="2608"/>
      <c r="O119" s="2608"/>
      <c r="P119" s="2610"/>
      <c r="Q119" s="2612"/>
      <c r="R119" s="2575"/>
      <c r="S119" s="2577"/>
      <c r="T119" s="2513"/>
      <c r="U119" s="2581" t="s">
        <v>291</v>
      </c>
      <c r="V119" s="1407">
        <f>2100000</f>
        <v>2100000</v>
      </c>
      <c r="W119" s="1677" t="s">
        <v>214</v>
      </c>
      <c r="X119" s="1695" t="s">
        <v>275</v>
      </c>
      <c r="Y119" s="2569"/>
      <c r="Z119" s="2572"/>
      <c r="AA119" s="2569"/>
      <c r="AB119" s="2569"/>
      <c r="AC119" s="2569"/>
      <c r="AD119" s="2569"/>
      <c r="AE119" s="2569"/>
      <c r="AF119" s="2569"/>
      <c r="AG119" s="2569"/>
      <c r="AH119" s="2569"/>
      <c r="AI119" s="2569"/>
      <c r="AJ119" s="2569"/>
      <c r="AK119" s="2569"/>
      <c r="AL119" s="2569"/>
      <c r="AM119" s="2569"/>
      <c r="AN119" s="2569"/>
      <c r="AO119" s="2563"/>
      <c r="AP119" s="2563"/>
      <c r="AQ119" s="2510"/>
    </row>
    <row r="120" spans="1:44" ht="38.25" customHeight="1" x14ac:dyDescent="0.2">
      <c r="A120" s="2600"/>
      <c r="B120" s="2601"/>
      <c r="C120" s="2601"/>
      <c r="D120" s="2602"/>
      <c r="E120" s="2601"/>
      <c r="F120" s="2601"/>
      <c r="G120" s="2602"/>
      <c r="H120" s="2603"/>
      <c r="I120" s="2603"/>
      <c r="J120" s="2599"/>
      <c r="K120" s="2522"/>
      <c r="L120" s="2522"/>
      <c r="M120" s="2605"/>
      <c r="N120" s="2608"/>
      <c r="O120" s="2608"/>
      <c r="P120" s="2610"/>
      <c r="Q120" s="2612"/>
      <c r="R120" s="2575"/>
      <c r="S120" s="2577"/>
      <c r="T120" s="2513"/>
      <c r="U120" s="2617"/>
      <c r="V120" s="1407">
        <f>2100000</f>
        <v>2100000</v>
      </c>
      <c r="W120" s="1677">
        <v>88</v>
      </c>
      <c r="X120" s="1678" t="s">
        <v>287</v>
      </c>
      <c r="Y120" s="2569"/>
      <c r="Z120" s="2572"/>
      <c r="AA120" s="2569"/>
      <c r="AB120" s="2569"/>
      <c r="AC120" s="2569"/>
      <c r="AD120" s="2569"/>
      <c r="AE120" s="2569"/>
      <c r="AF120" s="2569"/>
      <c r="AG120" s="2569"/>
      <c r="AH120" s="2569"/>
      <c r="AI120" s="2569"/>
      <c r="AJ120" s="2569"/>
      <c r="AK120" s="2569"/>
      <c r="AL120" s="2569"/>
      <c r="AM120" s="2569"/>
      <c r="AN120" s="2569"/>
      <c r="AO120" s="2563"/>
      <c r="AP120" s="2563"/>
      <c r="AQ120" s="2510"/>
    </row>
    <row r="121" spans="1:44" ht="53.25" customHeight="1" x14ac:dyDescent="0.2">
      <c r="A121" s="2600"/>
      <c r="B121" s="2601"/>
      <c r="C121" s="2601"/>
      <c r="D121" s="2602"/>
      <c r="E121" s="2601"/>
      <c r="F121" s="2601"/>
      <c r="G121" s="2602"/>
      <c r="H121" s="2603"/>
      <c r="I121" s="2603"/>
      <c r="J121" s="2599"/>
      <c r="K121" s="2522"/>
      <c r="L121" s="2522"/>
      <c r="M121" s="2605"/>
      <c r="N121" s="2608"/>
      <c r="O121" s="2608"/>
      <c r="P121" s="2610"/>
      <c r="Q121" s="2612"/>
      <c r="R121" s="2575"/>
      <c r="S121" s="2577"/>
      <c r="T121" s="2580"/>
      <c r="U121" s="2584" t="s">
        <v>292</v>
      </c>
      <c r="V121" s="2585">
        <f>4500000-2250000</f>
        <v>2250000</v>
      </c>
      <c r="W121" s="2587" t="s">
        <v>214</v>
      </c>
      <c r="X121" s="2587" t="s">
        <v>275</v>
      </c>
      <c r="Y121" s="2578"/>
      <c r="Z121" s="2572"/>
      <c r="AA121" s="2569"/>
      <c r="AB121" s="2569"/>
      <c r="AC121" s="2569"/>
      <c r="AD121" s="2569"/>
      <c r="AE121" s="2569"/>
      <c r="AF121" s="2569"/>
      <c r="AG121" s="2569"/>
      <c r="AH121" s="2569"/>
      <c r="AI121" s="2569"/>
      <c r="AJ121" s="2569"/>
      <c r="AK121" s="2569"/>
      <c r="AL121" s="2569"/>
      <c r="AM121" s="2569"/>
      <c r="AN121" s="2569"/>
      <c r="AO121" s="2563"/>
      <c r="AP121" s="2563"/>
      <c r="AQ121" s="2510"/>
    </row>
    <row r="122" spans="1:44" ht="66" customHeight="1" x14ac:dyDescent="0.2">
      <c r="A122" s="2600"/>
      <c r="B122" s="2601"/>
      <c r="C122" s="2601"/>
      <c r="D122" s="2602"/>
      <c r="E122" s="2601"/>
      <c r="F122" s="2601"/>
      <c r="G122" s="2602"/>
      <c r="H122" s="2603"/>
      <c r="I122" s="2603"/>
      <c r="J122" s="2599"/>
      <c r="K122" s="2522"/>
      <c r="L122" s="2522"/>
      <c r="M122" s="2605"/>
      <c r="N122" s="2608"/>
      <c r="O122" s="2608"/>
      <c r="P122" s="2610"/>
      <c r="Q122" s="2612"/>
      <c r="R122" s="2575"/>
      <c r="S122" s="2577"/>
      <c r="T122" s="2580"/>
      <c r="U122" s="2584"/>
      <c r="V122" s="2586"/>
      <c r="W122" s="2588"/>
      <c r="X122" s="2588"/>
      <c r="Y122" s="2578"/>
      <c r="Z122" s="2572"/>
      <c r="AA122" s="2569"/>
      <c r="AB122" s="2569"/>
      <c r="AC122" s="2569"/>
      <c r="AD122" s="2569"/>
      <c r="AE122" s="2569"/>
      <c r="AF122" s="2569"/>
      <c r="AG122" s="2569"/>
      <c r="AH122" s="2569"/>
      <c r="AI122" s="2569"/>
      <c r="AJ122" s="2569"/>
      <c r="AK122" s="2569"/>
      <c r="AL122" s="2569"/>
      <c r="AM122" s="2569"/>
      <c r="AN122" s="2569"/>
      <c r="AO122" s="2563"/>
      <c r="AP122" s="2563"/>
      <c r="AQ122" s="2510"/>
    </row>
    <row r="123" spans="1:44" ht="76.5" customHeight="1" x14ac:dyDescent="0.2">
      <c r="A123" s="2600"/>
      <c r="B123" s="2601"/>
      <c r="C123" s="2601"/>
      <c r="D123" s="2602"/>
      <c r="E123" s="2601"/>
      <c r="F123" s="2601"/>
      <c r="G123" s="2602"/>
      <c r="H123" s="2603"/>
      <c r="I123" s="2603"/>
      <c r="J123" s="2599"/>
      <c r="K123" s="2522"/>
      <c r="L123" s="2522"/>
      <c r="M123" s="2605"/>
      <c r="N123" s="2608"/>
      <c r="O123" s="2608"/>
      <c r="P123" s="2610"/>
      <c r="Q123" s="2612"/>
      <c r="R123" s="2575"/>
      <c r="S123" s="2577"/>
      <c r="T123" s="2513"/>
      <c r="U123" s="1293" t="s">
        <v>293</v>
      </c>
      <c r="V123" s="1707">
        <f>0+2250000</f>
        <v>2250000</v>
      </c>
      <c r="W123" s="1393">
        <v>20</v>
      </c>
      <c r="X123" s="1682" t="s">
        <v>215</v>
      </c>
      <c r="Y123" s="2579"/>
      <c r="Z123" s="2573"/>
      <c r="AA123" s="2570"/>
      <c r="AB123" s="2570"/>
      <c r="AC123" s="2570"/>
      <c r="AD123" s="2570"/>
      <c r="AE123" s="2570"/>
      <c r="AF123" s="2570"/>
      <c r="AG123" s="2570"/>
      <c r="AH123" s="2570"/>
      <c r="AI123" s="2570"/>
      <c r="AJ123" s="2570"/>
      <c r="AK123" s="2570"/>
      <c r="AL123" s="2570"/>
      <c r="AM123" s="2570"/>
      <c r="AN123" s="2570"/>
      <c r="AO123" s="2563"/>
      <c r="AP123" s="2563"/>
      <c r="AQ123" s="2510"/>
    </row>
    <row r="124" spans="1:44" ht="81" customHeight="1" x14ac:dyDescent="0.2">
      <c r="A124" s="1464"/>
      <c r="B124" s="1466"/>
      <c r="C124" s="1466"/>
      <c r="D124" s="1465"/>
      <c r="E124" s="1466"/>
      <c r="F124" s="1466"/>
      <c r="G124" s="1465"/>
      <c r="H124" s="1466"/>
      <c r="I124" s="1466"/>
      <c r="J124" s="2509">
        <v>266</v>
      </c>
      <c r="K124" s="2512" t="s">
        <v>294</v>
      </c>
      <c r="L124" s="2515" t="s">
        <v>295</v>
      </c>
      <c r="M124" s="2517">
        <v>1</v>
      </c>
      <c r="N124" s="2519" t="s">
        <v>296</v>
      </c>
      <c r="O124" s="2519" t="s">
        <v>297</v>
      </c>
      <c r="P124" s="2593" t="s">
        <v>298</v>
      </c>
      <c r="Q124" s="2508">
        <v>1</v>
      </c>
      <c r="R124" s="2595">
        <f>SUM(V124:V135)</f>
        <v>48000000</v>
      </c>
      <c r="S124" s="2513" t="s">
        <v>299</v>
      </c>
      <c r="T124" s="2540" t="s">
        <v>300</v>
      </c>
      <c r="U124" s="1635" t="s">
        <v>301</v>
      </c>
      <c r="V124" s="1708">
        <v>4800000</v>
      </c>
      <c r="W124" s="1689" t="s">
        <v>214</v>
      </c>
      <c r="X124" s="1694" t="s">
        <v>215</v>
      </c>
      <c r="Y124" s="2547">
        <v>282326</v>
      </c>
      <c r="Z124" s="2552">
        <v>292684</v>
      </c>
      <c r="AA124" s="2547">
        <v>135912</v>
      </c>
      <c r="AB124" s="2547">
        <v>45122</v>
      </c>
      <c r="AC124" s="2547">
        <v>307101</v>
      </c>
      <c r="AD124" s="2547">
        <v>86875</v>
      </c>
      <c r="AE124" s="2547">
        <v>2145</v>
      </c>
      <c r="AF124" s="2547">
        <v>12718</v>
      </c>
      <c r="AG124" s="2547">
        <v>26</v>
      </c>
      <c r="AH124" s="2547">
        <v>37</v>
      </c>
      <c r="AI124" s="2547"/>
      <c r="AJ124" s="2547"/>
      <c r="AK124" s="2547">
        <v>43029</v>
      </c>
      <c r="AL124" s="2564">
        <f>AL100</f>
        <v>16982</v>
      </c>
      <c r="AM124" s="2547">
        <v>60013</v>
      </c>
      <c r="AN124" s="2564">
        <f>Y124+Z124</f>
        <v>575010</v>
      </c>
      <c r="AO124" s="2563">
        <v>43102</v>
      </c>
      <c r="AP124" s="2563">
        <v>43465</v>
      </c>
      <c r="AQ124" s="2510" t="s">
        <v>249</v>
      </c>
    </row>
    <row r="125" spans="1:44" ht="35.25" customHeight="1" x14ac:dyDescent="0.2">
      <c r="A125" s="1464"/>
      <c r="B125" s="1466"/>
      <c r="C125" s="1466"/>
      <c r="D125" s="1465"/>
      <c r="E125" s="1466"/>
      <c r="F125" s="1466"/>
      <c r="G125" s="1465"/>
      <c r="H125" s="1466"/>
      <c r="I125" s="1466"/>
      <c r="J125" s="2510"/>
      <c r="K125" s="2513"/>
      <c r="L125" s="2516"/>
      <c r="M125" s="2518"/>
      <c r="N125" s="2520"/>
      <c r="O125" s="2520"/>
      <c r="P125" s="2543"/>
      <c r="Q125" s="2594"/>
      <c r="R125" s="2596"/>
      <c r="S125" s="2513"/>
      <c r="T125" s="2597"/>
      <c r="U125" s="1635" t="s">
        <v>302</v>
      </c>
      <c r="V125" s="1709">
        <v>2120000</v>
      </c>
      <c r="W125" s="1677">
        <v>20</v>
      </c>
      <c r="X125" s="1695" t="s">
        <v>215</v>
      </c>
      <c r="Y125" s="2562"/>
      <c r="Z125" s="2591"/>
      <c r="AA125" s="2562"/>
      <c r="AB125" s="2562"/>
      <c r="AC125" s="2562"/>
      <c r="AD125" s="2562"/>
      <c r="AE125" s="2562"/>
      <c r="AF125" s="2562"/>
      <c r="AG125" s="2562"/>
      <c r="AH125" s="2562"/>
      <c r="AI125" s="2562"/>
      <c r="AJ125" s="2562"/>
      <c r="AK125" s="2562"/>
      <c r="AL125" s="2565"/>
      <c r="AM125" s="2562"/>
      <c r="AN125" s="2565"/>
      <c r="AO125" s="2563"/>
      <c r="AP125" s="2563"/>
      <c r="AQ125" s="2510"/>
    </row>
    <row r="126" spans="1:44" ht="22.5" customHeight="1" x14ac:dyDescent="0.2">
      <c r="A126" s="1464"/>
      <c r="B126" s="1466"/>
      <c r="C126" s="1466"/>
      <c r="D126" s="1465"/>
      <c r="E126" s="1466"/>
      <c r="F126" s="1466"/>
      <c r="G126" s="1465"/>
      <c r="H126" s="1466"/>
      <c r="I126" s="1466"/>
      <c r="J126" s="2510"/>
      <c r="K126" s="2513"/>
      <c r="L126" s="2516"/>
      <c r="M126" s="2518"/>
      <c r="N126" s="2520"/>
      <c r="O126" s="2520"/>
      <c r="P126" s="2543"/>
      <c r="Q126" s="2594"/>
      <c r="R126" s="2596"/>
      <c r="S126" s="2513"/>
      <c r="T126" s="2597"/>
      <c r="U126" s="1191" t="s">
        <v>303</v>
      </c>
      <c r="V126" s="1709">
        <v>14250000</v>
      </c>
      <c r="W126" s="1677">
        <v>20</v>
      </c>
      <c r="X126" s="1695" t="s">
        <v>215</v>
      </c>
      <c r="Y126" s="2562"/>
      <c r="Z126" s="2591"/>
      <c r="AA126" s="2562"/>
      <c r="AB126" s="2562"/>
      <c r="AC126" s="2562"/>
      <c r="AD126" s="2562"/>
      <c r="AE126" s="2562"/>
      <c r="AF126" s="2562"/>
      <c r="AG126" s="2562"/>
      <c r="AH126" s="2562"/>
      <c r="AI126" s="2562"/>
      <c r="AJ126" s="2562"/>
      <c r="AK126" s="2562"/>
      <c r="AL126" s="2565"/>
      <c r="AM126" s="2562"/>
      <c r="AN126" s="2565"/>
      <c r="AO126" s="2563"/>
      <c r="AP126" s="2563"/>
      <c r="AQ126" s="2510"/>
    </row>
    <row r="127" spans="1:44" ht="91.5" customHeight="1" x14ac:dyDescent="0.2">
      <c r="A127" s="1464"/>
      <c r="B127" s="1466"/>
      <c r="C127" s="1466"/>
      <c r="D127" s="1465"/>
      <c r="E127" s="1466"/>
      <c r="F127" s="1466"/>
      <c r="G127" s="1465"/>
      <c r="H127" s="1466"/>
      <c r="I127" s="1466"/>
      <c r="J127" s="2510"/>
      <c r="K127" s="2513"/>
      <c r="L127" s="2516"/>
      <c r="M127" s="2518"/>
      <c r="N127" s="2520"/>
      <c r="O127" s="2520"/>
      <c r="P127" s="2543"/>
      <c r="Q127" s="2594"/>
      <c r="R127" s="2596"/>
      <c r="S127" s="2513"/>
      <c r="T127" s="2597"/>
      <c r="U127" s="1635" t="s">
        <v>304</v>
      </c>
      <c r="V127" s="1709">
        <v>2850000</v>
      </c>
      <c r="W127" s="1677" t="s">
        <v>214</v>
      </c>
      <c r="X127" s="1695" t="s">
        <v>215</v>
      </c>
      <c r="Y127" s="2562"/>
      <c r="Z127" s="2591"/>
      <c r="AA127" s="2562"/>
      <c r="AB127" s="2562"/>
      <c r="AC127" s="2562"/>
      <c r="AD127" s="2562"/>
      <c r="AE127" s="2562"/>
      <c r="AF127" s="2562"/>
      <c r="AG127" s="2562"/>
      <c r="AH127" s="2562"/>
      <c r="AI127" s="2562"/>
      <c r="AJ127" s="2562"/>
      <c r="AK127" s="2562"/>
      <c r="AL127" s="2565"/>
      <c r="AM127" s="2562"/>
      <c r="AN127" s="2565"/>
      <c r="AO127" s="2563"/>
      <c r="AP127" s="2563"/>
      <c r="AQ127" s="2510"/>
    </row>
    <row r="128" spans="1:44" ht="28.5" customHeight="1" x14ac:dyDescent="0.2">
      <c r="A128" s="1464"/>
      <c r="B128" s="1466"/>
      <c r="C128" s="1466"/>
      <c r="D128" s="1465"/>
      <c r="E128" s="1466"/>
      <c r="F128" s="1466"/>
      <c r="G128" s="1465"/>
      <c r="H128" s="1466"/>
      <c r="I128" s="1466"/>
      <c r="J128" s="2510"/>
      <c r="K128" s="2513"/>
      <c r="L128" s="2516"/>
      <c r="M128" s="2518"/>
      <c r="N128" s="2520"/>
      <c r="O128" s="2520"/>
      <c r="P128" s="2543"/>
      <c r="Q128" s="2594"/>
      <c r="R128" s="2596"/>
      <c r="S128" s="2513"/>
      <c r="T128" s="2597"/>
      <c r="U128" s="1635" t="s">
        <v>305</v>
      </c>
      <c r="V128" s="1709">
        <v>1200000</v>
      </c>
      <c r="W128" s="1677">
        <v>20</v>
      </c>
      <c r="X128" s="1695" t="s">
        <v>215</v>
      </c>
      <c r="Y128" s="2562"/>
      <c r="Z128" s="2591"/>
      <c r="AA128" s="2562"/>
      <c r="AB128" s="2562"/>
      <c r="AC128" s="2562"/>
      <c r="AD128" s="2562"/>
      <c r="AE128" s="2562"/>
      <c r="AF128" s="2562"/>
      <c r="AG128" s="2562"/>
      <c r="AH128" s="2562"/>
      <c r="AI128" s="2562"/>
      <c r="AJ128" s="2562"/>
      <c r="AK128" s="2562"/>
      <c r="AL128" s="2565"/>
      <c r="AM128" s="2562"/>
      <c r="AN128" s="2565"/>
      <c r="AO128" s="2563"/>
      <c r="AP128" s="2563"/>
      <c r="AQ128" s="2510"/>
    </row>
    <row r="129" spans="1:45" ht="31.5" customHeight="1" x14ac:dyDescent="0.2">
      <c r="A129" s="1464"/>
      <c r="B129" s="1466"/>
      <c r="C129" s="1466"/>
      <c r="D129" s="1465"/>
      <c r="E129" s="1466"/>
      <c r="F129" s="1466"/>
      <c r="G129" s="1465"/>
      <c r="H129" s="1466"/>
      <c r="I129" s="1466"/>
      <c r="J129" s="2510"/>
      <c r="K129" s="2513"/>
      <c r="L129" s="2516"/>
      <c r="M129" s="2518"/>
      <c r="N129" s="2520"/>
      <c r="O129" s="2520"/>
      <c r="P129" s="2543"/>
      <c r="Q129" s="2594"/>
      <c r="R129" s="2596"/>
      <c r="S129" s="2513"/>
      <c r="T129" s="2597"/>
      <c r="U129" s="1635" t="s">
        <v>306</v>
      </c>
      <c r="V129" s="1709">
        <v>1200000</v>
      </c>
      <c r="W129" s="1677">
        <v>20</v>
      </c>
      <c r="X129" s="1695" t="s">
        <v>215</v>
      </c>
      <c r="Y129" s="2562"/>
      <c r="Z129" s="2591"/>
      <c r="AA129" s="2562"/>
      <c r="AB129" s="2562"/>
      <c r="AC129" s="2562"/>
      <c r="AD129" s="2562"/>
      <c r="AE129" s="2562"/>
      <c r="AF129" s="2562"/>
      <c r="AG129" s="2562"/>
      <c r="AH129" s="2562"/>
      <c r="AI129" s="2562"/>
      <c r="AJ129" s="2562"/>
      <c r="AK129" s="2562"/>
      <c r="AL129" s="2565"/>
      <c r="AM129" s="2562"/>
      <c r="AN129" s="2565"/>
      <c r="AO129" s="2563"/>
      <c r="AP129" s="2563"/>
      <c r="AQ129" s="2510"/>
    </row>
    <row r="130" spans="1:45" ht="31.5" customHeight="1" x14ac:dyDescent="0.2">
      <c r="A130" s="1464"/>
      <c r="B130" s="1466"/>
      <c r="C130" s="1466"/>
      <c r="D130" s="1465"/>
      <c r="E130" s="1466"/>
      <c r="F130" s="1466"/>
      <c r="G130" s="1465"/>
      <c r="H130" s="1466"/>
      <c r="I130" s="1466"/>
      <c r="J130" s="2510"/>
      <c r="K130" s="2513"/>
      <c r="L130" s="2516"/>
      <c r="M130" s="2518"/>
      <c r="N130" s="2520"/>
      <c r="O130" s="2520"/>
      <c r="P130" s="2543"/>
      <c r="Q130" s="2594"/>
      <c r="R130" s="2596"/>
      <c r="S130" s="2513"/>
      <c r="T130" s="2597"/>
      <c r="U130" s="1635" t="s">
        <v>307</v>
      </c>
      <c r="V130" s="1709">
        <v>300000</v>
      </c>
      <c r="W130" s="1677">
        <v>20</v>
      </c>
      <c r="X130" s="1695" t="s">
        <v>215</v>
      </c>
      <c r="Y130" s="2562"/>
      <c r="Z130" s="2591"/>
      <c r="AA130" s="2562"/>
      <c r="AB130" s="2562"/>
      <c r="AC130" s="2562"/>
      <c r="AD130" s="2562"/>
      <c r="AE130" s="2562"/>
      <c r="AF130" s="2562"/>
      <c r="AG130" s="2562"/>
      <c r="AH130" s="2562"/>
      <c r="AI130" s="2562"/>
      <c r="AJ130" s="2562"/>
      <c r="AK130" s="2562"/>
      <c r="AL130" s="2565"/>
      <c r="AM130" s="2562"/>
      <c r="AN130" s="2565"/>
      <c r="AO130" s="2563"/>
      <c r="AP130" s="2563"/>
      <c r="AQ130" s="2510"/>
    </row>
    <row r="131" spans="1:45" ht="28.5" x14ac:dyDescent="0.2">
      <c r="A131" s="1464"/>
      <c r="B131" s="1466"/>
      <c r="C131" s="1466"/>
      <c r="D131" s="1465"/>
      <c r="E131" s="1466"/>
      <c r="F131" s="1466"/>
      <c r="G131" s="1465"/>
      <c r="H131" s="1466"/>
      <c r="I131" s="1466"/>
      <c r="J131" s="2510"/>
      <c r="K131" s="2513"/>
      <c r="L131" s="2516"/>
      <c r="M131" s="2518"/>
      <c r="N131" s="2520"/>
      <c r="O131" s="2520"/>
      <c r="P131" s="2543"/>
      <c r="Q131" s="2594"/>
      <c r="R131" s="2596"/>
      <c r="S131" s="2513"/>
      <c r="T131" s="2597"/>
      <c r="U131" s="1635" t="s">
        <v>308</v>
      </c>
      <c r="V131" s="1709">
        <v>3760000</v>
      </c>
      <c r="W131" s="1677">
        <v>20</v>
      </c>
      <c r="X131" s="1695" t="s">
        <v>215</v>
      </c>
      <c r="Y131" s="2562"/>
      <c r="Z131" s="2591"/>
      <c r="AA131" s="2562"/>
      <c r="AB131" s="2562"/>
      <c r="AC131" s="2562"/>
      <c r="AD131" s="2562"/>
      <c r="AE131" s="2562"/>
      <c r="AF131" s="2562"/>
      <c r="AG131" s="2562"/>
      <c r="AH131" s="2562"/>
      <c r="AI131" s="2562"/>
      <c r="AJ131" s="2562"/>
      <c r="AK131" s="2562"/>
      <c r="AL131" s="2565"/>
      <c r="AM131" s="2562"/>
      <c r="AN131" s="2565"/>
      <c r="AO131" s="2563"/>
      <c r="AP131" s="2563"/>
      <c r="AQ131" s="2510"/>
    </row>
    <row r="132" spans="1:45" ht="32.25" customHeight="1" x14ac:dyDescent="0.2">
      <c r="A132" s="1464"/>
      <c r="B132" s="1466"/>
      <c r="C132" s="1466"/>
      <c r="D132" s="1465"/>
      <c r="E132" s="1466"/>
      <c r="F132" s="1466"/>
      <c r="G132" s="1465"/>
      <c r="H132" s="1466"/>
      <c r="I132" s="1466"/>
      <c r="J132" s="2510"/>
      <c r="K132" s="2513"/>
      <c r="L132" s="2516"/>
      <c r="M132" s="2518"/>
      <c r="N132" s="2520"/>
      <c r="O132" s="2520"/>
      <c r="P132" s="2543"/>
      <c r="Q132" s="2594"/>
      <c r="R132" s="2596"/>
      <c r="S132" s="2513"/>
      <c r="T132" s="2597"/>
      <c r="U132" s="1635" t="s">
        <v>309</v>
      </c>
      <c r="V132" s="1709">
        <v>3760000</v>
      </c>
      <c r="W132" s="1677">
        <v>20</v>
      </c>
      <c r="X132" s="1695" t="s">
        <v>215</v>
      </c>
      <c r="Y132" s="2562"/>
      <c r="Z132" s="2591"/>
      <c r="AA132" s="2562"/>
      <c r="AB132" s="2562"/>
      <c r="AC132" s="2562"/>
      <c r="AD132" s="2562"/>
      <c r="AE132" s="2562"/>
      <c r="AF132" s="2562"/>
      <c r="AG132" s="2562"/>
      <c r="AH132" s="2562"/>
      <c r="AI132" s="2562"/>
      <c r="AJ132" s="2562"/>
      <c r="AK132" s="2562"/>
      <c r="AL132" s="2565"/>
      <c r="AM132" s="2562"/>
      <c r="AN132" s="2565"/>
      <c r="AO132" s="2563"/>
      <c r="AP132" s="2563"/>
      <c r="AQ132" s="2510"/>
    </row>
    <row r="133" spans="1:45" ht="32.25" customHeight="1" x14ac:dyDescent="0.2">
      <c r="A133" s="1464"/>
      <c r="B133" s="1466"/>
      <c r="C133" s="1466"/>
      <c r="D133" s="1465"/>
      <c r="E133" s="1466"/>
      <c r="F133" s="1466"/>
      <c r="G133" s="1465"/>
      <c r="H133" s="1466"/>
      <c r="I133" s="1466"/>
      <c r="J133" s="2510"/>
      <c r="K133" s="2513"/>
      <c r="L133" s="2516"/>
      <c r="M133" s="2518"/>
      <c r="N133" s="2520"/>
      <c r="O133" s="2520"/>
      <c r="P133" s="2543"/>
      <c r="Q133" s="2594"/>
      <c r="R133" s="2596"/>
      <c r="S133" s="2513"/>
      <c r="T133" s="2597"/>
      <c r="U133" s="1633" t="s">
        <v>310</v>
      </c>
      <c r="V133" s="1710">
        <f>0+3500000</f>
        <v>3500000</v>
      </c>
      <c r="W133" s="1677">
        <v>88</v>
      </c>
      <c r="X133" s="1678" t="s">
        <v>264</v>
      </c>
      <c r="Y133" s="2562"/>
      <c r="Z133" s="2591"/>
      <c r="AA133" s="2562"/>
      <c r="AB133" s="2562"/>
      <c r="AC133" s="2562"/>
      <c r="AD133" s="2562"/>
      <c r="AE133" s="2562"/>
      <c r="AF133" s="2562"/>
      <c r="AG133" s="2562"/>
      <c r="AH133" s="2562"/>
      <c r="AI133" s="2562"/>
      <c r="AJ133" s="2562"/>
      <c r="AK133" s="2562"/>
      <c r="AL133" s="2565"/>
      <c r="AM133" s="2562"/>
      <c r="AN133" s="2565"/>
      <c r="AO133" s="2563"/>
      <c r="AP133" s="2563"/>
      <c r="AQ133" s="2510"/>
    </row>
    <row r="134" spans="1:45" ht="32.25" customHeight="1" x14ac:dyDescent="0.2">
      <c r="A134" s="1464"/>
      <c r="B134" s="1466"/>
      <c r="C134" s="1466"/>
      <c r="D134" s="1465"/>
      <c r="E134" s="1466"/>
      <c r="F134" s="1466"/>
      <c r="G134" s="1465"/>
      <c r="H134" s="1466"/>
      <c r="I134" s="1466"/>
      <c r="J134" s="2510"/>
      <c r="K134" s="2513"/>
      <c r="L134" s="2516"/>
      <c r="M134" s="2518"/>
      <c r="N134" s="2520"/>
      <c r="O134" s="2520"/>
      <c r="P134" s="2543"/>
      <c r="Q134" s="2594"/>
      <c r="R134" s="2596"/>
      <c r="S134" s="2513"/>
      <c r="T134" s="2519"/>
      <c r="U134" s="1633" t="s">
        <v>311</v>
      </c>
      <c r="V134" s="1710">
        <f>0+6500000</f>
        <v>6500000</v>
      </c>
      <c r="W134" s="1677">
        <v>88</v>
      </c>
      <c r="X134" s="1678" t="s">
        <v>264</v>
      </c>
      <c r="Y134" s="2562"/>
      <c r="Z134" s="2591"/>
      <c r="AA134" s="2562"/>
      <c r="AB134" s="2562"/>
      <c r="AC134" s="2562"/>
      <c r="AD134" s="2562"/>
      <c r="AE134" s="2562"/>
      <c r="AF134" s="2562"/>
      <c r="AG134" s="2562"/>
      <c r="AH134" s="2562"/>
      <c r="AI134" s="2562"/>
      <c r="AJ134" s="2562"/>
      <c r="AK134" s="2562"/>
      <c r="AL134" s="2565"/>
      <c r="AM134" s="2562"/>
      <c r="AN134" s="2565"/>
      <c r="AO134" s="2563"/>
      <c r="AP134" s="2563"/>
      <c r="AQ134" s="2510"/>
    </row>
    <row r="135" spans="1:45" ht="89.25" customHeight="1" x14ac:dyDescent="0.2">
      <c r="A135" s="1464"/>
      <c r="B135" s="1466"/>
      <c r="C135" s="1466"/>
      <c r="D135" s="1465"/>
      <c r="E135" s="1466"/>
      <c r="F135" s="1466"/>
      <c r="G135" s="2416"/>
      <c r="H135" s="2432"/>
      <c r="I135" s="2432"/>
      <c r="J135" s="2511"/>
      <c r="K135" s="2514"/>
      <c r="L135" s="2516"/>
      <c r="M135" s="2518"/>
      <c r="N135" s="2520"/>
      <c r="O135" s="2520"/>
      <c r="P135" s="2543"/>
      <c r="Q135" s="2594"/>
      <c r="R135" s="2596"/>
      <c r="S135" s="2513"/>
      <c r="T135" s="1432" t="s">
        <v>312</v>
      </c>
      <c r="U135" s="1633" t="s">
        <v>313</v>
      </c>
      <c r="V135" s="1710">
        <v>3760000</v>
      </c>
      <c r="W135" s="1677" t="s">
        <v>214</v>
      </c>
      <c r="X135" s="1678" t="s">
        <v>215</v>
      </c>
      <c r="Y135" s="2517"/>
      <c r="Z135" s="2592"/>
      <c r="AA135" s="2517"/>
      <c r="AB135" s="2517"/>
      <c r="AC135" s="2517"/>
      <c r="AD135" s="2517"/>
      <c r="AE135" s="2517"/>
      <c r="AF135" s="2517"/>
      <c r="AG135" s="2517"/>
      <c r="AH135" s="2517"/>
      <c r="AI135" s="2517"/>
      <c r="AJ135" s="2517"/>
      <c r="AK135" s="2517"/>
      <c r="AL135" s="2566"/>
      <c r="AM135" s="2517"/>
      <c r="AN135" s="2566"/>
      <c r="AO135" s="2563"/>
      <c r="AP135" s="2563"/>
      <c r="AQ135" s="2510"/>
    </row>
    <row r="136" spans="1:45" s="1251" customFormat="1" ht="42" customHeight="1" x14ac:dyDescent="0.2">
      <c r="A136" s="1249"/>
      <c r="B136" s="1250"/>
      <c r="C136" s="1250"/>
      <c r="D136" s="1250"/>
      <c r="E136" s="1250"/>
      <c r="F136" s="1250"/>
      <c r="G136" s="2433"/>
      <c r="H136" s="2432"/>
      <c r="I136" s="2432"/>
      <c r="J136" s="2545">
        <v>267</v>
      </c>
      <c r="K136" s="2546" t="s">
        <v>314</v>
      </c>
      <c r="L136" s="2523" t="s">
        <v>315</v>
      </c>
      <c r="M136" s="2526">
        <v>1</v>
      </c>
      <c r="N136" s="2520" t="s">
        <v>316</v>
      </c>
      <c r="O136" s="2541" t="s">
        <v>317</v>
      </c>
      <c r="P136" s="2543" t="s">
        <v>318</v>
      </c>
      <c r="Q136" s="2506">
        <f>SUM(V136+V137)/R136</f>
        <v>0.10732699054937611</v>
      </c>
      <c r="R136" s="2548">
        <f>SUM(V136:V156)</f>
        <v>232187634</v>
      </c>
      <c r="S136" s="2513" t="s">
        <v>319</v>
      </c>
      <c r="T136" s="2560" t="s">
        <v>320</v>
      </c>
      <c r="U136" s="2553" t="s">
        <v>321</v>
      </c>
      <c r="V136" s="1686">
        <v>9500000</v>
      </c>
      <c r="W136" s="1393" t="s">
        <v>214</v>
      </c>
      <c r="X136" s="1682" t="s">
        <v>275</v>
      </c>
      <c r="Y136" s="2550">
        <v>294321</v>
      </c>
      <c r="Z136" s="2551">
        <v>283947</v>
      </c>
      <c r="AA136" s="2518">
        <v>135754</v>
      </c>
      <c r="AB136" s="2518">
        <v>44640</v>
      </c>
      <c r="AC136" s="2518">
        <v>308178</v>
      </c>
      <c r="AD136" s="2518">
        <v>89696</v>
      </c>
      <c r="AE136" s="2518">
        <v>2145</v>
      </c>
      <c r="AF136" s="2518">
        <v>12718</v>
      </c>
      <c r="AG136" s="2518">
        <v>26</v>
      </c>
      <c r="AH136" s="2518">
        <v>37</v>
      </c>
      <c r="AI136" s="2518"/>
      <c r="AJ136" s="2518"/>
      <c r="AK136" s="2518">
        <v>54612</v>
      </c>
      <c r="AL136" s="2518">
        <v>16982</v>
      </c>
      <c r="AM136" s="2547">
        <v>1010</v>
      </c>
      <c r="AN136" s="2518">
        <f>Y136+Z136</f>
        <v>578268</v>
      </c>
      <c r="AO136" s="2563">
        <v>43102</v>
      </c>
      <c r="AP136" s="2563">
        <v>43465</v>
      </c>
      <c r="AQ136" s="2510" t="s">
        <v>249</v>
      </c>
      <c r="AR136" s="2420"/>
      <c r="AS136" s="2420"/>
    </row>
    <row r="137" spans="1:45" ht="45.75" customHeight="1" x14ac:dyDescent="0.2">
      <c r="B137" s="1466"/>
      <c r="C137" s="1466"/>
      <c r="D137" s="1466"/>
      <c r="E137" s="1466"/>
      <c r="F137" s="1466"/>
      <c r="G137" s="2432"/>
      <c r="H137" s="2432"/>
      <c r="I137" s="2432"/>
      <c r="J137" s="2545"/>
      <c r="K137" s="2546"/>
      <c r="L137" s="2525"/>
      <c r="M137" s="2527"/>
      <c r="N137" s="2520"/>
      <c r="O137" s="2541"/>
      <c r="P137" s="2543"/>
      <c r="Q137" s="2508"/>
      <c r="R137" s="2548"/>
      <c r="S137" s="2513"/>
      <c r="T137" s="2561"/>
      <c r="U137" s="2553"/>
      <c r="V137" s="1686">
        <f>0+15420000</f>
        <v>15420000</v>
      </c>
      <c r="W137" s="1677">
        <v>88</v>
      </c>
      <c r="X137" s="1678" t="s">
        <v>264</v>
      </c>
      <c r="Y137" s="2550"/>
      <c r="Z137" s="2551"/>
      <c r="AA137" s="2518"/>
      <c r="AB137" s="2518"/>
      <c r="AC137" s="2518"/>
      <c r="AD137" s="2518"/>
      <c r="AE137" s="2518"/>
      <c r="AF137" s="2518"/>
      <c r="AG137" s="2518"/>
      <c r="AH137" s="2518"/>
      <c r="AI137" s="2518"/>
      <c r="AJ137" s="2518"/>
      <c r="AK137" s="2518"/>
      <c r="AL137" s="2518"/>
      <c r="AM137" s="2562"/>
      <c r="AN137" s="2518"/>
      <c r="AO137" s="2563"/>
      <c r="AP137" s="2563"/>
      <c r="AQ137" s="2510"/>
    </row>
    <row r="138" spans="1:45" ht="22.5" customHeight="1" x14ac:dyDescent="0.2">
      <c r="A138" s="1464"/>
      <c r="B138" s="1466"/>
      <c r="C138" s="1466"/>
      <c r="D138" s="1465"/>
      <c r="E138" s="1466"/>
      <c r="F138" s="1466"/>
      <c r="G138" s="1465"/>
      <c r="H138" s="1466"/>
      <c r="I138" s="234"/>
      <c r="J138" s="2528">
        <v>268</v>
      </c>
      <c r="K138" s="2713" t="s">
        <v>322</v>
      </c>
      <c r="L138" s="2523" t="s">
        <v>323</v>
      </c>
      <c r="M138" s="2526">
        <v>12</v>
      </c>
      <c r="N138" s="2520"/>
      <c r="O138" s="2541"/>
      <c r="P138" s="2543"/>
      <c r="Q138" s="2506">
        <f>SUM(V138:V140)/R136</f>
        <v>0.13075631753928807</v>
      </c>
      <c r="R138" s="2548"/>
      <c r="S138" s="2513"/>
      <c r="T138" s="2513" t="s">
        <v>324</v>
      </c>
      <c r="U138" s="2554" t="s">
        <v>325</v>
      </c>
      <c r="V138" s="1711">
        <v>19720000</v>
      </c>
      <c r="W138" s="1684" t="s">
        <v>214</v>
      </c>
      <c r="X138" s="1684" t="s">
        <v>275</v>
      </c>
      <c r="Y138" s="2550"/>
      <c r="Z138" s="2551"/>
      <c r="AA138" s="2518"/>
      <c r="AB138" s="2518"/>
      <c r="AC138" s="2518"/>
      <c r="AD138" s="2518"/>
      <c r="AE138" s="2518"/>
      <c r="AF138" s="2518"/>
      <c r="AG138" s="2518"/>
      <c r="AH138" s="2518"/>
      <c r="AI138" s="2518"/>
      <c r="AJ138" s="2518"/>
      <c r="AK138" s="2518"/>
      <c r="AL138" s="2518"/>
      <c r="AM138" s="2562"/>
      <c r="AN138" s="2518"/>
      <c r="AO138" s="2563"/>
      <c r="AP138" s="2563"/>
      <c r="AQ138" s="2510"/>
    </row>
    <row r="139" spans="1:45" ht="31.5" customHeight="1" x14ac:dyDescent="0.2">
      <c r="A139" s="1464"/>
      <c r="B139" s="1466"/>
      <c r="C139" s="1466"/>
      <c r="D139" s="1465"/>
      <c r="E139" s="1466"/>
      <c r="F139" s="1466"/>
      <c r="G139" s="1465"/>
      <c r="H139" s="1466"/>
      <c r="I139" s="234"/>
      <c r="J139" s="2528"/>
      <c r="K139" s="2713"/>
      <c r="L139" s="2524"/>
      <c r="M139" s="2724"/>
      <c r="N139" s="2520"/>
      <c r="O139" s="2541"/>
      <c r="P139" s="2543"/>
      <c r="Q139" s="2507"/>
      <c r="R139" s="2548"/>
      <c r="S139" s="2513"/>
      <c r="T139" s="2513"/>
      <c r="U139" s="2555"/>
      <c r="V139" s="1686">
        <f>0+9860000</f>
        <v>9860000</v>
      </c>
      <c r="W139" s="1393">
        <v>88</v>
      </c>
      <c r="X139" s="1682" t="s">
        <v>264</v>
      </c>
      <c r="Y139" s="2550"/>
      <c r="Z139" s="2551"/>
      <c r="AA139" s="2518"/>
      <c r="AB139" s="2518"/>
      <c r="AC139" s="2518"/>
      <c r="AD139" s="2518"/>
      <c r="AE139" s="2518"/>
      <c r="AF139" s="2518"/>
      <c r="AG139" s="2518"/>
      <c r="AH139" s="2518"/>
      <c r="AI139" s="2518"/>
      <c r="AJ139" s="2518"/>
      <c r="AK139" s="2518"/>
      <c r="AL139" s="2518"/>
      <c r="AM139" s="2562"/>
      <c r="AN139" s="2518"/>
      <c r="AO139" s="2563"/>
      <c r="AP139" s="2563"/>
      <c r="AQ139" s="2510"/>
    </row>
    <row r="140" spans="1:45" ht="32.25" customHeight="1" x14ac:dyDescent="0.2">
      <c r="A140" s="1464"/>
      <c r="B140" s="1466"/>
      <c r="C140" s="1466"/>
      <c r="D140" s="1465"/>
      <c r="E140" s="1466"/>
      <c r="F140" s="1466"/>
      <c r="G140" s="1465"/>
      <c r="H140" s="1466"/>
      <c r="I140" s="234"/>
      <c r="J140" s="2534"/>
      <c r="K140" s="2536"/>
      <c r="L140" s="2525"/>
      <c r="M140" s="2527"/>
      <c r="N140" s="2520"/>
      <c r="O140" s="2541"/>
      <c r="P140" s="2543"/>
      <c r="Q140" s="2508"/>
      <c r="R140" s="2548"/>
      <c r="S140" s="2513"/>
      <c r="T140" s="2513"/>
      <c r="U140" s="736" t="s">
        <v>326</v>
      </c>
      <c r="V140" s="1688">
        <v>780000</v>
      </c>
      <c r="W140" s="1712" t="s">
        <v>214</v>
      </c>
      <c r="X140" s="1712" t="s">
        <v>275</v>
      </c>
      <c r="Y140" s="2518"/>
      <c r="Z140" s="2551"/>
      <c r="AA140" s="2518"/>
      <c r="AB140" s="2518"/>
      <c r="AC140" s="2518"/>
      <c r="AD140" s="2518"/>
      <c r="AE140" s="2518"/>
      <c r="AF140" s="2518"/>
      <c r="AG140" s="2518"/>
      <c r="AH140" s="2518"/>
      <c r="AI140" s="2518"/>
      <c r="AJ140" s="2518"/>
      <c r="AK140" s="2518"/>
      <c r="AL140" s="2518"/>
      <c r="AM140" s="2562"/>
      <c r="AN140" s="2518"/>
      <c r="AO140" s="2563"/>
      <c r="AP140" s="2563"/>
      <c r="AQ140" s="2510"/>
    </row>
    <row r="141" spans="1:45" ht="51.75" customHeight="1" x14ac:dyDescent="0.2">
      <c r="A141" s="1464"/>
      <c r="B141" s="1466"/>
      <c r="C141" s="1466"/>
      <c r="D141" s="1465"/>
      <c r="E141" s="1466"/>
      <c r="F141" s="1466"/>
      <c r="G141" s="1465"/>
      <c r="H141" s="1466"/>
      <c r="I141" s="234"/>
      <c r="J141" s="2533">
        <v>269</v>
      </c>
      <c r="K141" s="2535" t="s">
        <v>327</v>
      </c>
      <c r="L141" s="2523" t="s">
        <v>328</v>
      </c>
      <c r="M141" s="2526">
        <v>12</v>
      </c>
      <c r="N141" s="2520"/>
      <c r="O141" s="2541"/>
      <c r="P141" s="2543"/>
      <c r="Q141" s="2537">
        <f>SUM(V141:V142)/R136</f>
        <v>9.0444093159586611E-2</v>
      </c>
      <c r="R141" s="2548"/>
      <c r="S141" s="2513"/>
      <c r="T141" s="2513"/>
      <c r="U141" s="736" t="s">
        <v>329</v>
      </c>
      <c r="V141" s="1407">
        <v>20300000</v>
      </c>
      <c r="W141" s="1713" t="s">
        <v>214</v>
      </c>
      <c r="X141" s="1713" t="s">
        <v>275</v>
      </c>
      <c r="Y141" s="2518"/>
      <c r="Z141" s="2551"/>
      <c r="AA141" s="2518"/>
      <c r="AB141" s="2518"/>
      <c r="AC141" s="2518"/>
      <c r="AD141" s="2518"/>
      <c r="AE141" s="2518"/>
      <c r="AF141" s="2518"/>
      <c r="AG141" s="2518"/>
      <c r="AH141" s="2518"/>
      <c r="AI141" s="2518"/>
      <c r="AJ141" s="2518"/>
      <c r="AK141" s="2518"/>
      <c r="AL141" s="2518"/>
      <c r="AM141" s="2562"/>
      <c r="AN141" s="2518"/>
      <c r="AO141" s="2563"/>
      <c r="AP141" s="2563"/>
      <c r="AQ141" s="2510"/>
    </row>
    <row r="142" spans="1:45" ht="35.25" customHeight="1" x14ac:dyDescent="0.2">
      <c r="A142" s="1464"/>
      <c r="B142" s="1466"/>
      <c r="C142" s="1466"/>
      <c r="D142" s="1465"/>
      <c r="E142" s="1466"/>
      <c r="F142" s="1466"/>
      <c r="G142" s="1465"/>
      <c r="H142" s="1466"/>
      <c r="I142" s="234"/>
      <c r="J142" s="2534"/>
      <c r="K142" s="2536"/>
      <c r="L142" s="2525"/>
      <c r="M142" s="2527"/>
      <c r="N142" s="2520"/>
      <c r="O142" s="2541"/>
      <c r="P142" s="2543"/>
      <c r="Q142" s="2508"/>
      <c r="R142" s="2548"/>
      <c r="S142" s="2513"/>
      <c r="T142" s="2513"/>
      <c r="U142" s="736" t="s">
        <v>326</v>
      </c>
      <c r="V142" s="1407">
        <v>700000</v>
      </c>
      <c r="W142" s="1713" t="s">
        <v>214</v>
      </c>
      <c r="X142" s="1713" t="s">
        <v>275</v>
      </c>
      <c r="Y142" s="2518"/>
      <c r="Z142" s="2551"/>
      <c r="AA142" s="2518"/>
      <c r="AB142" s="2518"/>
      <c r="AC142" s="2518"/>
      <c r="AD142" s="2518"/>
      <c r="AE142" s="2518"/>
      <c r="AF142" s="2518"/>
      <c r="AG142" s="2518"/>
      <c r="AH142" s="2518"/>
      <c r="AI142" s="2518"/>
      <c r="AJ142" s="2518"/>
      <c r="AK142" s="2518"/>
      <c r="AL142" s="2518"/>
      <c r="AM142" s="2562"/>
      <c r="AN142" s="2518"/>
      <c r="AO142" s="2563"/>
      <c r="AP142" s="2563"/>
      <c r="AQ142" s="2510"/>
    </row>
    <row r="143" spans="1:45" ht="61.5" customHeight="1" x14ac:dyDescent="0.2">
      <c r="A143" s="1464"/>
      <c r="B143" s="1466"/>
      <c r="C143" s="1466"/>
      <c r="D143" s="1465"/>
      <c r="E143" s="1466"/>
      <c r="F143" s="1466"/>
      <c r="G143" s="1465"/>
      <c r="H143" s="1466"/>
      <c r="I143" s="234"/>
      <c r="J143" s="2533">
        <v>270</v>
      </c>
      <c r="K143" s="2535" t="s">
        <v>330</v>
      </c>
      <c r="L143" s="2523" t="s">
        <v>331</v>
      </c>
      <c r="M143" s="2526">
        <v>12</v>
      </c>
      <c r="N143" s="2520"/>
      <c r="O143" s="2541"/>
      <c r="P143" s="2543"/>
      <c r="Q143" s="2537">
        <f>SUM(V143:V144)/R136</f>
        <v>9.0444093159586611E-2</v>
      </c>
      <c r="R143" s="2548"/>
      <c r="S143" s="2513"/>
      <c r="T143" s="2513"/>
      <c r="U143" s="736" t="s">
        <v>332</v>
      </c>
      <c r="V143" s="1407">
        <v>20300000</v>
      </c>
      <c r="W143" s="1713" t="s">
        <v>214</v>
      </c>
      <c r="X143" s="1713" t="s">
        <v>275</v>
      </c>
      <c r="Y143" s="2518"/>
      <c r="Z143" s="2551"/>
      <c r="AA143" s="2518"/>
      <c r="AB143" s="2518"/>
      <c r="AC143" s="2518"/>
      <c r="AD143" s="2518"/>
      <c r="AE143" s="2518"/>
      <c r="AF143" s="2518"/>
      <c r="AG143" s="2518"/>
      <c r="AH143" s="2518"/>
      <c r="AI143" s="2518"/>
      <c r="AJ143" s="2518"/>
      <c r="AK143" s="2518"/>
      <c r="AL143" s="2518"/>
      <c r="AM143" s="2562"/>
      <c r="AN143" s="2518"/>
      <c r="AO143" s="2563"/>
      <c r="AP143" s="2563"/>
      <c r="AQ143" s="2510"/>
    </row>
    <row r="144" spans="1:45" ht="36.75" customHeight="1" x14ac:dyDescent="0.2">
      <c r="A144" s="1464"/>
      <c r="B144" s="1466"/>
      <c r="C144" s="1466"/>
      <c r="D144" s="1465"/>
      <c r="E144" s="1466"/>
      <c r="F144" s="1466"/>
      <c r="G144" s="1465"/>
      <c r="H144" s="1466"/>
      <c r="I144" s="234"/>
      <c r="J144" s="2534"/>
      <c r="K144" s="2536"/>
      <c r="L144" s="2525"/>
      <c r="M144" s="2527"/>
      <c r="N144" s="2520"/>
      <c r="O144" s="2541"/>
      <c r="P144" s="2543"/>
      <c r="Q144" s="2508"/>
      <c r="R144" s="2548"/>
      <c r="S144" s="2513"/>
      <c r="T144" s="2513"/>
      <c r="U144" s="736" t="s">
        <v>326</v>
      </c>
      <c r="V144" s="1407">
        <v>700000</v>
      </c>
      <c r="W144" s="1713" t="s">
        <v>214</v>
      </c>
      <c r="X144" s="1713" t="s">
        <v>275</v>
      </c>
      <c r="Y144" s="2518"/>
      <c r="Z144" s="2551"/>
      <c r="AA144" s="2518"/>
      <c r="AB144" s="2518"/>
      <c r="AC144" s="2518"/>
      <c r="AD144" s="2518"/>
      <c r="AE144" s="2518"/>
      <c r="AF144" s="2518"/>
      <c r="AG144" s="2518"/>
      <c r="AH144" s="2518"/>
      <c r="AI144" s="2518"/>
      <c r="AJ144" s="2518"/>
      <c r="AK144" s="2518"/>
      <c r="AL144" s="2518"/>
      <c r="AM144" s="2562"/>
      <c r="AN144" s="2518"/>
      <c r="AO144" s="2563"/>
      <c r="AP144" s="2563"/>
      <c r="AQ144" s="2510"/>
    </row>
    <row r="145" spans="1:63" ht="34.5" customHeight="1" x14ac:dyDescent="0.2">
      <c r="A145" s="1464"/>
      <c r="B145" s="1466"/>
      <c r="C145" s="1466"/>
      <c r="D145" s="1465"/>
      <c r="E145" s="1466"/>
      <c r="F145" s="1466"/>
      <c r="G145" s="1465"/>
      <c r="H145" s="1466"/>
      <c r="I145" s="234"/>
      <c r="J145" s="2533">
        <v>271</v>
      </c>
      <c r="K145" s="2535" t="s">
        <v>333</v>
      </c>
      <c r="L145" s="2523" t="s">
        <v>331</v>
      </c>
      <c r="M145" s="2526">
        <v>12</v>
      </c>
      <c r="N145" s="2520"/>
      <c r="O145" s="2541"/>
      <c r="P145" s="2543"/>
      <c r="Q145" s="2506">
        <f>SUM(V145:V147)/R136</f>
        <v>0.17326504132429379</v>
      </c>
      <c r="R145" s="2548"/>
      <c r="S145" s="2513"/>
      <c r="T145" s="2513"/>
      <c r="U145" s="2556" t="s">
        <v>334</v>
      </c>
      <c r="V145" s="1407">
        <v>37410000</v>
      </c>
      <c r="W145" s="1713">
        <v>20</v>
      </c>
      <c r="X145" s="1713" t="s">
        <v>275</v>
      </c>
      <c r="Y145" s="2518"/>
      <c r="Z145" s="2551"/>
      <c r="AA145" s="2518"/>
      <c r="AB145" s="2518"/>
      <c r="AC145" s="2518"/>
      <c r="AD145" s="2518"/>
      <c r="AE145" s="2518"/>
      <c r="AF145" s="2518"/>
      <c r="AG145" s="2518"/>
      <c r="AH145" s="2518"/>
      <c r="AI145" s="2518"/>
      <c r="AJ145" s="2518"/>
      <c r="AK145" s="2518"/>
      <c r="AL145" s="2518"/>
      <c r="AM145" s="2562"/>
      <c r="AN145" s="2518"/>
      <c r="AO145" s="2563"/>
      <c r="AP145" s="2563"/>
      <c r="AQ145" s="2510"/>
    </row>
    <row r="146" spans="1:63" ht="27.75" customHeight="1" x14ac:dyDescent="0.2">
      <c r="A146" s="1464"/>
      <c r="B146" s="1466"/>
      <c r="C146" s="1466"/>
      <c r="D146" s="1465"/>
      <c r="E146" s="1466"/>
      <c r="F146" s="1466"/>
      <c r="G146" s="1465"/>
      <c r="H146" s="1466"/>
      <c r="I146" s="234"/>
      <c r="J146" s="2528"/>
      <c r="K146" s="2530"/>
      <c r="L146" s="2524"/>
      <c r="M146" s="2724"/>
      <c r="N146" s="2540"/>
      <c r="O146" s="2542"/>
      <c r="P146" s="2544"/>
      <c r="Q146" s="2507"/>
      <c r="R146" s="2549"/>
      <c r="S146" s="2514"/>
      <c r="T146" s="2514"/>
      <c r="U146" s="2557"/>
      <c r="V146" s="1679">
        <f>0+2030000</f>
        <v>2030000</v>
      </c>
      <c r="W146" s="1713">
        <v>88</v>
      </c>
      <c r="X146" s="1713" t="s">
        <v>163</v>
      </c>
      <c r="Y146" s="2547"/>
      <c r="Z146" s="2552"/>
      <c r="AA146" s="2547"/>
      <c r="AB146" s="2547"/>
      <c r="AC146" s="2547"/>
      <c r="AD146" s="2547"/>
      <c r="AE146" s="2547"/>
      <c r="AF146" s="2547"/>
      <c r="AG146" s="2547"/>
      <c r="AH146" s="2547"/>
      <c r="AI146" s="2547"/>
      <c r="AJ146" s="2547"/>
      <c r="AK146" s="2547"/>
      <c r="AL146" s="2547"/>
      <c r="AM146" s="2562"/>
      <c r="AN146" s="2547"/>
      <c r="AO146" s="2567"/>
      <c r="AP146" s="2567"/>
      <c r="AQ146" s="2511"/>
    </row>
    <row r="147" spans="1:63" ht="37.5" customHeight="1" x14ac:dyDescent="0.2">
      <c r="A147" s="1464"/>
      <c r="B147" s="1466"/>
      <c r="C147" s="1466"/>
      <c r="D147" s="1465"/>
      <c r="E147" s="1466"/>
      <c r="F147" s="1466"/>
      <c r="G147" s="1465"/>
      <c r="H147" s="1466"/>
      <c r="I147" s="234"/>
      <c r="J147" s="2534"/>
      <c r="K147" s="2536"/>
      <c r="L147" s="2525"/>
      <c r="M147" s="2527"/>
      <c r="N147" s="2540"/>
      <c r="O147" s="2542"/>
      <c r="P147" s="2544"/>
      <c r="Q147" s="2508"/>
      <c r="R147" s="2549"/>
      <c r="S147" s="2514"/>
      <c r="T147" s="2514"/>
      <c r="U147" s="736" t="s">
        <v>326</v>
      </c>
      <c r="V147" s="1679">
        <v>790000</v>
      </c>
      <c r="W147" s="1713" t="s">
        <v>214</v>
      </c>
      <c r="X147" s="1713" t="s">
        <v>275</v>
      </c>
      <c r="Y147" s="2547"/>
      <c r="Z147" s="2552"/>
      <c r="AA147" s="2547"/>
      <c r="AB147" s="2547"/>
      <c r="AC147" s="2547"/>
      <c r="AD147" s="2547"/>
      <c r="AE147" s="2547"/>
      <c r="AF147" s="2547"/>
      <c r="AG147" s="2547"/>
      <c r="AH147" s="2547"/>
      <c r="AI147" s="2547"/>
      <c r="AJ147" s="2547"/>
      <c r="AK147" s="2547"/>
      <c r="AL147" s="2547"/>
      <c r="AM147" s="2562"/>
      <c r="AN147" s="2547"/>
      <c r="AO147" s="2567"/>
      <c r="AP147" s="2567"/>
      <c r="AQ147" s="2511"/>
    </row>
    <row r="148" spans="1:63" ht="36" customHeight="1" x14ac:dyDescent="0.2">
      <c r="A148" s="1464"/>
      <c r="B148" s="1466"/>
      <c r="C148" s="1466"/>
      <c r="D148" s="1465"/>
      <c r="E148" s="1466"/>
      <c r="F148" s="1466"/>
      <c r="G148" s="1465"/>
      <c r="H148" s="1466"/>
      <c r="I148" s="234"/>
      <c r="J148" s="2533">
        <v>272</v>
      </c>
      <c r="K148" s="2535" t="s">
        <v>335</v>
      </c>
      <c r="L148" s="2523" t="s">
        <v>331</v>
      </c>
      <c r="M148" s="2526">
        <v>12</v>
      </c>
      <c r="N148" s="2540"/>
      <c r="O148" s="2542"/>
      <c r="P148" s="2544"/>
      <c r="Q148" s="2506">
        <f>SUM(V148:V150)/R136</f>
        <v>0.17326504132429379</v>
      </c>
      <c r="R148" s="2549"/>
      <c r="S148" s="2514"/>
      <c r="T148" s="2514"/>
      <c r="U148" s="2556" t="s">
        <v>336</v>
      </c>
      <c r="V148" s="1679">
        <v>37410000</v>
      </c>
      <c r="W148" s="1713" t="s">
        <v>214</v>
      </c>
      <c r="X148" s="1713" t="s">
        <v>275</v>
      </c>
      <c r="Y148" s="2547"/>
      <c r="Z148" s="2552"/>
      <c r="AA148" s="2547"/>
      <c r="AB148" s="2547"/>
      <c r="AC148" s="2547"/>
      <c r="AD148" s="2547"/>
      <c r="AE148" s="2547"/>
      <c r="AF148" s="2547"/>
      <c r="AG148" s="2547"/>
      <c r="AH148" s="2547"/>
      <c r="AI148" s="2547"/>
      <c r="AJ148" s="2547"/>
      <c r="AK148" s="2547"/>
      <c r="AL148" s="2547"/>
      <c r="AM148" s="2562"/>
      <c r="AN148" s="2547"/>
      <c r="AO148" s="2567"/>
      <c r="AP148" s="2567"/>
      <c r="AQ148" s="2511"/>
    </row>
    <row r="149" spans="1:63" ht="36" customHeight="1" x14ac:dyDescent="0.2">
      <c r="A149" s="1464"/>
      <c r="B149" s="1466"/>
      <c r="C149" s="1466"/>
      <c r="D149" s="1465"/>
      <c r="E149" s="1466"/>
      <c r="F149" s="1466"/>
      <c r="G149" s="1465"/>
      <c r="H149" s="1466"/>
      <c r="I149" s="234"/>
      <c r="J149" s="2528"/>
      <c r="K149" s="2530"/>
      <c r="L149" s="2524"/>
      <c r="M149" s="2724"/>
      <c r="N149" s="2540"/>
      <c r="O149" s="2542"/>
      <c r="P149" s="2544"/>
      <c r="Q149" s="2507"/>
      <c r="R149" s="2549"/>
      <c r="S149" s="2514"/>
      <c r="T149" s="2514"/>
      <c r="U149" s="2557"/>
      <c r="V149" s="1679">
        <f>0+2030000</f>
        <v>2030000</v>
      </c>
      <c r="W149" s="1713">
        <v>88</v>
      </c>
      <c r="X149" s="1713" t="s">
        <v>264</v>
      </c>
      <c r="Y149" s="2547"/>
      <c r="Z149" s="2552"/>
      <c r="AA149" s="2547"/>
      <c r="AB149" s="2547"/>
      <c r="AC149" s="2547"/>
      <c r="AD149" s="2547"/>
      <c r="AE149" s="2547"/>
      <c r="AF149" s="2547"/>
      <c r="AG149" s="2547"/>
      <c r="AH149" s="2547"/>
      <c r="AI149" s="2547"/>
      <c r="AJ149" s="2547"/>
      <c r="AK149" s="2547"/>
      <c r="AL149" s="2547"/>
      <c r="AM149" s="2562"/>
      <c r="AN149" s="2547"/>
      <c r="AO149" s="2567"/>
      <c r="AP149" s="2567"/>
      <c r="AQ149" s="2511"/>
    </row>
    <row r="150" spans="1:63" ht="40.5" customHeight="1" x14ac:dyDescent="0.2">
      <c r="A150" s="1464"/>
      <c r="B150" s="1466"/>
      <c r="C150" s="1466"/>
      <c r="D150" s="1465"/>
      <c r="E150" s="1466"/>
      <c r="F150" s="1466"/>
      <c r="G150" s="1465"/>
      <c r="H150" s="1466"/>
      <c r="I150" s="234"/>
      <c r="J150" s="2528"/>
      <c r="K150" s="2530"/>
      <c r="L150" s="2525"/>
      <c r="M150" s="2527"/>
      <c r="N150" s="2540"/>
      <c r="O150" s="2542"/>
      <c r="P150" s="2544"/>
      <c r="Q150" s="2508"/>
      <c r="R150" s="2549"/>
      <c r="S150" s="2514"/>
      <c r="T150" s="2514"/>
      <c r="U150" s="737" t="s">
        <v>326</v>
      </c>
      <c r="V150" s="1679">
        <v>790000</v>
      </c>
      <c r="W150" s="1713">
        <v>20</v>
      </c>
      <c r="X150" s="1713" t="s">
        <v>275</v>
      </c>
      <c r="Y150" s="2547"/>
      <c r="Z150" s="2552"/>
      <c r="AA150" s="2547"/>
      <c r="AB150" s="2547"/>
      <c r="AC150" s="2547"/>
      <c r="AD150" s="2547"/>
      <c r="AE150" s="2547"/>
      <c r="AF150" s="2547"/>
      <c r="AG150" s="2547"/>
      <c r="AH150" s="2547"/>
      <c r="AI150" s="2547"/>
      <c r="AJ150" s="2547"/>
      <c r="AK150" s="2547"/>
      <c r="AL150" s="2547"/>
      <c r="AM150" s="2562"/>
      <c r="AN150" s="2547"/>
      <c r="AO150" s="2567"/>
      <c r="AP150" s="2567"/>
      <c r="AQ150" s="2511"/>
    </row>
    <row r="151" spans="1:63" ht="40.5" customHeight="1" x14ac:dyDescent="0.2">
      <c r="A151" s="1464"/>
      <c r="B151" s="1466"/>
      <c r="C151" s="1466"/>
      <c r="D151" s="1465"/>
      <c r="E151" s="1466"/>
      <c r="F151" s="1466"/>
      <c r="G151" s="1465"/>
      <c r="H151" s="1466"/>
      <c r="I151" s="1466"/>
      <c r="J151" s="1300">
        <v>273</v>
      </c>
      <c r="K151" s="1301" t="s">
        <v>337</v>
      </c>
      <c r="L151" s="1360" t="s">
        <v>328</v>
      </c>
      <c r="M151" s="1170">
        <v>12</v>
      </c>
      <c r="N151" s="2540"/>
      <c r="O151" s="2542"/>
      <c r="P151" s="2544"/>
      <c r="Q151" s="1447">
        <f>SUM(V151)/R136</f>
        <v>8.1830370001530744E-3</v>
      </c>
      <c r="R151" s="2549"/>
      <c r="S151" s="2514"/>
      <c r="T151" s="2514"/>
      <c r="U151" s="737" t="s">
        <v>326</v>
      </c>
      <c r="V151" s="1679">
        <v>1900000</v>
      </c>
      <c r="W151" s="1713" t="s">
        <v>214</v>
      </c>
      <c r="X151" s="1713" t="s">
        <v>275</v>
      </c>
      <c r="Y151" s="2547"/>
      <c r="Z151" s="2552"/>
      <c r="AA151" s="2547"/>
      <c r="AB151" s="2547"/>
      <c r="AC151" s="2547"/>
      <c r="AD151" s="2547"/>
      <c r="AE151" s="2547"/>
      <c r="AF151" s="2547"/>
      <c r="AG151" s="2547"/>
      <c r="AH151" s="2547"/>
      <c r="AI151" s="2547"/>
      <c r="AJ151" s="2547"/>
      <c r="AK151" s="2547"/>
      <c r="AL151" s="2547"/>
      <c r="AM151" s="2562"/>
      <c r="AN151" s="2547"/>
      <c r="AO151" s="2567"/>
      <c r="AP151" s="2567"/>
      <c r="AQ151" s="2511"/>
    </row>
    <row r="152" spans="1:63" ht="35.25" customHeight="1" x14ac:dyDescent="0.2">
      <c r="A152" s="1464"/>
      <c r="B152" s="1466"/>
      <c r="C152" s="1466"/>
      <c r="D152" s="1465"/>
      <c r="E152" s="1466"/>
      <c r="F152" s="1466"/>
      <c r="G152" s="1465"/>
      <c r="H152" s="1466"/>
      <c r="I152" s="1466"/>
      <c r="J152" s="2538">
        <v>274</v>
      </c>
      <c r="K152" s="2539" t="s">
        <v>338</v>
      </c>
      <c r="L152" s="2720" t="s">
        <v>328</v>
      </c>
      <c r="M152" s="2526">
        <v>12</v>
      </c>
      <c r="N152" s="2540"/>
      <c r="O152" s="2542"/>
      <c r="P152" s="2544"/>
      <c r="Q152" s="2506">
        <f>SUM(V152:V154)/R136</f>
        <v>0.15573611469765009</v>
      </c>
      <c r="R152" s="2549"/>
      <c r="S152" s="2514"/>
      <c r="T152" s="2514"/>
      <c r="U152" s="2558" t="s">
        <v>339</v>
      </c>
      <c r="V152" s="1679">
        <v>20300000</v>
      </c>
      <c r="W152" s="1713">
        <v>20</v>
      </c>
      <c r="X152" s="1713" t="s">
        <v>275</v>
      </c>
      <c r="Y152" s="2547"/>
      <c r="Z152" s="2552"/>
      <c r="AA152" s="2547"/>
      <c r="AB152" s="2547"/>
      <c r="AC152" s="2547"/>
      <c r="AD152" s="2547"/>
      <c r="AE152" s="2547"/>
      <c r="AF152" s="2547"/>
      <c r="AG152" s="2547"/>
      <c r="AH152" s="2547"/>
      <c r="AI152" s="2547"/>
      <c r="AJ152" s="2547"/>
      <c r="AK152" s="2547"/>
      <c r="AL152" s="2547"/>
      <c r="AM152" s="2562"/>
      <c r="AN152" s="2547"/>
      <c r="AO152" s="2567"/>
      <c r="AP152" s="2567"/>
      <c r="AQ152" s="2511"/>
    </row>
    <row r="153" spans="1:63" ht="28.5" customHeight="1" x14ac:dyDescent="0.2">
      <c r="A153" s="1464"/>
      <c r="B153" s="1466"/>
      <c r="C153" s="1466"/>
      <c r="D153" s="1465"/>
      <c r="E153" s="1466"/>
      <c r="F153" s="1466"/>
      <c r="G153" s="1465"/>
      <c r="H153" s="1466"/>
      <c r="I153" s="1466"/>
      <c r="J153" s="2538"/>
      <c r="K153" s="2539"/>
      <c r="L153" s="2721"/>
      <c r="M153" s="2724"/>
      <c r="N153" s="2540"/>
      <c r="O153" s="2542"/>
      <c r="P153" s="2544"/>
      <c r="Q153" s="2507"/>
      <c r="R153" s="2549"/>
      <c r="S153" s="2514"/>
      <c r="T153" s="2514"/>
      <c r="U153" s="2559"/>
      <c r="V153" s="1679">
        <f>0+15660000</f>
        <v>15660000</v>
      </c>
      <c r="W153" s="1713">
        <v>88</v>
      </c>
      <c r="X153" s="1713" t="s">
        <v>163</v>
      </c>
      <c r="Y153" s="2547"/>
      <c r="Z153" s="2552"/>
      <c r="AA153" s="2547"/>
      <c r="AB153" s="2547"/>
      <c r="AC153" s="2547"/>
      <c r="AD153" s="2547"/>
      <c r="AE153" s="2547"/>
      <c r="AF153" s="2547"/>
      <c r="AG153" s="2547"/>
      <c r="AH153" s="2547"/>
      <c r="AI153" s="2547"/>
      <c r="AJ153" s="2547"/>
      <c r="AK153" s="2547"/>
      <c r="AL153" s="2547"/>
      <c r="AM153" s="2562"/>
      <c r="AN153" s="2547"/>
      <c r="AO153" s="2567"/>
      <c r="AP153" s="2567"/>
      <c r="AQ153" s="2511"/>
    </row>
    <row r="154" spans="1:63" ht="35.25" customHeight="1" x14ac:dyDescent="0.2">
      <c r="A154" s="1464"/>
      <c r="B154" s="1466"/>
      <c r="C154" s="1466"/>
      <c r="D154" s="1465"/>
      <c r="E154" s="1466"/>
      <c r="F154" s="1466"/>
      <c r="G154" s="1465"/>
      <c r="H154" s="1466"/>
      <c r="I154" s="1466"/>
      <c r="J154" s="2538"/>
      <c r="K154" s="2539"/>
      <c r="L154" s="2722"/>
      <c r="M154" s="2527"/>
      <c r="N154" s="2540"/>
      <c r="O154" s="2542"/>
      <c r="P154" s="2544"/>
      <c r="Q154" s="2508"/>
      <c r="R154" s="2549"/>
      <c r="S154" s="2514"/>
      <c r="T154" s="2514"/>
      <c r="U154" s="736" t="s">
        <v>326</v>
      </c>
      <c r="V154" s="1679">
        <v>200000</v>
      </c>
      <c r="W154" s="1713">
        <v>20</v>
      </c>
      <c r="X154" s="1713" t="s">
        <v>275</v>
      </c>
      <c r="Y154" s="2547"/>
      <c r="Z154" s="2552"/>
      <c r="AA154" s="2547"/>
      <c r="AB154" s="2547"/>
      <c r="AC154" s="2547"/>
      <c r="AD154" s="2547"/>
      <c r="AE154" s="2547"/>
      <c r="AF154" s="2547"/>
      <c r="AG154" s="2547"/>
      <c r="AH154" s="2547"/>
      <c r="AI154" s="2547"/>
      <c r="AJ154" s="2547"/>
      <c r="AK154" s="2547"/>
      <c r="AL154" s="2547"/>
      <c r="AM154" s="2562"/>
      <c r="AN154" s="2547"/>
      <c r="AO154" s="2567"/>
      <c r="AP154" s="2567"/>
      <c r="AQ154" s="2511"/>
    </row>
    <row r="155" spans="1:63" ht="48.75" customHeight="1" x14ac:dyDescent="0.2">
      <c r="A155" s="1464"/>
      <c r="B155" s="1466"/>
      <c r="C155" s="1466"/>
      <c r="D155" s="1465"/>
      <c r="E155" s="1466"/>
      <c r="F155" s="1466"/>
      <c r="G155" s="1465"/>
      <c r="H155" s="1466"/>
      <c r="I155" s="234"/>
      <c r="J155" s="2528">
        <v>260</v>
      </c>
      <c r="K155" s="2530" t="s">
        <v>340</v>
      </c>
      <c r="L155" s="2523" t="s">
        <v>341</v>
      </c>
      <c r="M155" s="2526">
        <v>12</v>
      </c>
      <c r="N155" s="2540"/>
      <c r="O155" s="2542"/>
      <c r="P155" s="2544"/>
      <c r="Q155" s="2506">
        <f>SUM(V155:V156)/R136</f>
        <v>7.057927124577186E-2</v>
      </c>
      <c r="R155" s="2549"/>
      <c r="S155" s="2514"/>
      <c r="T155" s="2514"/>
      <c r="U155" s="736" t="s">
        <v>342</v>
      </c>
      <c r="V155" s="1679">
        <v>15950000</v>
      </c>
      <c r="W155" s="1713">
        <v>20</v>
      </c>
      <c r="X155" s="1713" t="s">
        <v>275</v>
      </c>
      <c r="Y155" s="2547"/>
      <c r="Z155" s="2552"/>
      <c r="AA155" s="2547"/>
      <c r="AB155" s="2547"/>
      <c r="AC155" s="2547"/>
      <c r="AD155" s="2547"/>
      <c r="AE155" s="2547"/>
      <c r="AF155" s="2547"/>
      <c r="AG155" s="2547"/>
      <c r="AH155" s="2547"/>
      <c r="AI155" s="2547"/>
      <c r="AJ155" s="2547"/>
      <c r="AK155" s="2547"/>
      <c r="AL155" s="2547"/>
      <c r="AM155" s="2562"/>
      <c r="AN155" s="2547"/>
      <c r="AO155" s="2567"/>
      <c r="AP155" s="2567"/>
      <c r="AQ155" s="2511"/>
    </row>
    <row r="156" spans="1:63" ht="39" customHeight="1" thickBot="1" x14ac:dyDescent="0.25">
      <c r="A156" s="1464"/>
      <c r="B156" s="1466"/>
      <c r="C156" s="1466"/>
      <c r="D156" s="1465"/>
      <c r="E156" s="1466"/>
      <c r="F156" s="1466"/>
      <c r="G156" s="1465"/>
      <c r="H156" s="1466"/>
      <c r="I156" s="234"/>
      <c r="J156" s="2529"/>
      <c r="K156" s="2531"/>
      <c r="L156" s="2723"/>
      <c r="M156" s="2725"/>
      <c r="N156" s="2540"/>
      <c r="O156" s="2542"/>
      <c r="P156" s="2544"/>
      <c r="Q156" s="2532"/>
      <c r="R156" s="2549"/>
      <c r="S156" s="2514"/>
      <c r="T156" s="2514"/>
      <c r="U156" s="736" t="s">
        <v>326</v>
      </c>
      <c r="V156" s="1679">
        <v>437634</v>
      </c>
      <c r="W156" s="1713" t="s">
        <v>214</v>
      </c>
      <c r="X156" s="1713" t="s">
        <v>275</v>
      </c>
      <c r="Y156" s="2547"/>
      <c r="Z156" s="2552"/>
      <c r="AA156" s="2547"/>
      <c r="AB156" s="2547"/>
      <c r="AC156" s="2547"/>
      <c r="AD156" s="2547"/>
      <c r="AE156" s="2547"/>
      <c r="AF156" s="2547"/>
      <c r="AG156" s="2547"/>
      <c r="AH156" s="2547"/>
      <c r="AI156" s="2547"/>
      <c r="AJ156" s="2547"/>
      <c r="AK156" s="2547"/>
      <c r="AL156" s="2547"/>
      <c r="AM156" s="2562"/>
      <c r="AN156" s="2547"/>
      <c r="AO156" s="2567"/>
      <c r="AP156" s="2567"/>
      <c r="AQ156" s="2511"/>
    </row>
    <row r="157" spans="1:63" ht="39.75" customHeight="1" thickBot="1" x14ac:dyDescent="0.25">
      <c r="A157" s="235"/>
      <c r="B157" s="236"/>
      <c r="C157" s="236"/>
      <c r="D157" s="236"/>
      <c r="E157" s="236"/>
      <c r="F157" s="236"/>
      <c r="G157" s="236"/>
      <c r="H157" s="236"/>
      <c r="I157" s="236"/>
      <c r="J157" s="23"/>
      <c r="K157" s="237"/>
      <c r="L157" s="238"/>
      <c r="M157" s="238"/>
      <c r="N157" s="239" t="s">
        <v>343</v>
      </c>
      <c r="O157" s="240"/>
      <c r="P157" s="237"/>
      <c r="Q157" s="241"/>
      <c r="R157" s="1259">
        <f>SUM(R8:R156)</f>
        <v>1489487634</v>
      </c>
      <c r="S157" s="242"/>
      <c r="T157" s="237"/>
      <c r="U157" s="243"/>
      <c r="V157" s="1714">
        <f>SUM(V8:V156)</f>
        <v>1489487634</v>
      </c>
      <c r="W157" s="1715"/>
      <c r="X157" s="1716"/>
      <c r="Y157" s="244"/>
      <c r="Z157" s="244"/>
      <c r="AA157" s="244"/>
      <c r="AB157" s="244"/>
      <c r="AC157" s="244"/>
      <c r="AD157" s="244"/>
      <c r="AE157" s="244"/>
      <c r="AF157" s="244"/>
      <c r="AG157" s="244"/>
      <c r="AH157" s="244"/>
      <c r="AI157" s="244"/>
      <c r="AJ157" s="244"/>
      <c r="AK157" s="244"/>
      <c r="AL157" s="244"/>
      <c r="AM157" s="244"/>
      <c r="AN157" s="244"/>
      <c r="AO157" s="245"/>
      <c r="AP157" s="246"/>
      <c r="AQ157" s="247"/>
    </row>
    <row r="158" spans="1:63" ht="39.75" customHeight="1" x14ac:dyDescent="0.25">
      <c r="B158" s="1466"/>
      <c r="C158" s="1480"/>
      <c r="D158" s="1480"/>
      <c r="E158" s="1466"/>
      <c r="F158" s="1466"/>
      <c r="G158" s="1466"/>
      <c r="H158" s="1466"/>
      <c r="I158" s="1466"/>
      <c r="N158" s="1555"/>
      <c r="O158" s="1555"/>
      <c r="V158" s="1260"/>
      <c r="X158" s="1599"/>
    </row>
    <row r="159" spans="1:63" s="249" customFormat="1" ht="39.75" customHeight="1" x14ac:dyDescent="0.2">
      <c r="A159" s="248"/>
      <c r="B159" s="1466"/>
      <c r="C159" s="1466"/>
      <c r="D159" s="1466"/>
      <c r="E159" s="1466"/>
      <c r="F159" s="1466"/>
      <c r="G159" s="1466"/>
      <c r="H159" s="1466"/>
      <c r="I159" s="1466"/>
      <c r="J159" s="138"/>
      <c r="L159" s="178"/>
      <c r="M159" s="178"/>
      <c r="N159" s="1555"/>
      <c r="O159" s="1558"/>
      <c r="P159" s="1466"/>
      <c r="Q159" s="205"/>
      <c r="R159" s="257"/>
      <c r="S159" s="258"/>
      <c r="V159" s="1261"/>
      <c r="W159" s="253"/>
      <c r="X159" s="1599"/>
      <c r="Y159" s="3"/>
      <c r="Z159" s="3"/>
      <c r="AA159" s="3"/>
      <c r="AB159" s="3"/>
      <c r="AC159" s="3"/>
      <c r="AD159" s="3"/>
      <c r="AE159" s="3"/>
      <c r="AF159" s="3"/>
      <c r="AG159" s="3"/>
      <c r="AH159" s="3"/>
      <c r="AI159" s="3"/>
      <c r="AJ159" s="3"/>
      <c r="AK159" s="3"/>
      <c r="AL159" s="3"/>
      <c r="AM159" s="3"/>
      <c r="AN159" s="3"/>
      <c r="AO159" s="254"/>
      <c r="AP159" s="255"/>
      <c r="AQ159" s="205"/>
      <c r="AR159" s="1721"/>
      <c r="AS159" s="1721"/>
      <c r="AT159" s="3"/>
      <c r="AU159" s="3"/>
      <c r="AV159" s="3"/>
      <c r="AW159" s="3"/>
      <c r="AX159" s="3"/>
      <c r="AY159" s="3"/>
      <c r="AZ159" s="3"/>
      <c r="BA159" s="3"/>
      <c r="BB159" s="3"/>
      <c r="BC159" s="3"/>
      <c r="BD159" s="3"/>
      <c r="BE159" s="3"/>
      <c r="BF159" s="3"/>
      <c r="BG159" s="3"/>
      <c r="BH159" s="3"/>
      <c r="BI159" s="3"/>
      <c r="BJ159" s="3"/>
      <c r="BK159" s="3"/>
    </row>
    <row r="160" spans="1:63" s="249" customFormat="1" ht="17.25" customHeight="1" x14ac:dyDescent="0.25">
      <c r="A160" s="248"/>
      <c r="B160" s="1466"/>
      <c r="C160" s="1466"/>
      <c r="D160" s="1466"/>
      <c r="E160" s="1466"/>
      <c r="F160" s="1466"/>
      <c r="G160" s="1466"/>
      <c r="H160" s="1466"/>
      <c r="I160" s="1466"/>
      <c r="J160" s="138"/>
      <c r="L160" s="178"/>
      <c r="M160" s="178"/>
      <c r="N160" s="259" t="s">
        <v>344</v>
      </c>
      <c r="O160" s="259"/>
      <c r="P160" s="26"/>
      <c r="Q160" s="27"/>
      <c r="R160" s="260"/>
      <c r="S160" s="27"/>
      <c r="V160" s="1261"/>
      <c r="W160" s="253"/>
      <c r="X160" s="1599"/>
      <c r="Y160" s="3"/>
      <c r="Z160" s="3"/>
      <c r="AA160" s="3"/>
      <c r="AB160" s="3"/>
      <c r="AC160" s="3"/>
      <c r="AD160" s="3"/>
      <c r="AE160" s="3"/>
      <c r="AF160" s="3"/>
      <c r="AG160" s="3"/>
      <c r="AH160" s="3"/>
      <c r="AI160" s="3"/>
      <c r="AJ160" s="3"/>
      <c r="AK160" s="3"/>
      <c r="AL160" s="3"/>
      <c r="AM160" s="3"/>
      <c r="AN160" s="3"/>
      <c r="AO160" s="254"/>
      <c r="AP160" s="255"/>
      <c r="AQ160" s="205"/>
      <c r="AR160" s="1721"/>
      <c r="AS160" s="1721"/>
      <c r="AT160" s="3"/>
      <c r="AU160" s="3"/>
      <c r="AV160" s="3"/>
      <c r="AW160" s="3"/>
      <c r="AX160" s="3"/>
      <c r="AY160" s="3"/>
      <c r="AZ160" s="3"/>
      <c r="BA160" s="3"/>
      <c r="BB160" s="3"/>
      <c r="BC160" s="3"/>
      <c r="BD160" s="3"/>
      <c r="BE160" s="3"/>
      <c r="BF160" s="3"/>
      <c r="BG160" s="3"/>
      <c r="BH160" s="3"/>
      <c r="BI160" s="3"/>
      <c r="BJ160" s="3"/>
      <c r="BK160" s="3"/>
    </row>
    <row r="161" spans="1:63" s="249" customFormat="1" ht="17.25" customHeight="1" x14ac:dyDescent="0.25">
      <c r="A161" s="248"/>
      <c r="B161" s="1466"/>
      <c r="C161" s="1466"/>
      <c r="D161" s="1466"/>
      <c r="E161" s="1466"/>
      <c r="F161" s="1466"/>
      <c r="G161" s="1466"/>
      <c r="H161" s="1466"/>
      <c r="I161" s="1466"/>
      <c r="J161" s="138"/>
      <c r="L161" s="178"/>
      <c r="M161" s="178"/>
      <c r="N161" s="260" t="s">
        <v>345</v>
      </c>
      <c r="O161" s="260"/>
      <c r="P161" s="27"/>
      <c r="Q161" s="27"/>
      <c r="R161" s="260"/>
      <c r="S161" s="27"/>
      <c r="V161" s="1261"/>
      <c r="W161" s="253"/>
      <c r="X161" s="1599"/>
      <c r="Y161" s="3"/>
      <c r="Z161" s="3"/>
      <c r="AA161" s="3"/>
      <c r="AB161" s="3"/>
      <c r="AC161" s="3"/>
      <c r="AD161" s="3"/>
      <c r="AE161" s="3"/>
      <c r="AF161" s="3"/>
      <c r="AG161" s="3"/>
      <c r="AH161" s="3"/>
      <c r="AI161" s="3"/>
      <c r="AJ161" s="3"/>
      <c r="AK161" s="3"/>
      <c r="AL161" s="3"/>
      <c r="AM161" s="3"/>
      <c r="AN161" s="3"/>
      <c r="AO161" s="254"/>
      <c r="AP161" s="255"/>
      <c r="AQ161" s="205"/>
      <c r="AR161" s="1721"/>
      <c r="AS161" s="1721"/>
      <c r="AT161" s="3"/>
      <c r="AU161" s="3"/>
      <c r="AV161" s="3"/>
      <c r="AW161" s="3"/>
      <c r="AX161" s="3"/>
      <c r="AY161" s="3"/>
      <c r="AZ161" s="3"/>
      <c r="BA161" s="3"/>
      <c r="BB161" s="3"/>
      <c r="BC161" s="3"/>
      <c r="BD161" s="3"/>
      <c r="BE161" s="3"/>
      <c r="BF161" s="3"/>
      <c r="BG161" s="3"/>
      <c r="BH161" s="3"/>
      <c r="BI161" s="3"/>
      <c r="BJ161" s="3"/>
      <c r="BK161" s="3"/>
    </row>
  </sheetData>
  <sheetProtection password="A60F" sheet="1" objects="1" scenarios="1"/>
  <mergeCells count="394">
    <mergeCell ref="L148:L150"/>
    <mergeCell ref="L152:L154"/>
    <mergeCell ref="L155:L156"/>
    <mergeCell ref="M148:M150"/>
    <mergeCell ref="M152:M154"/>
    <mergeCell ref="M155:M156"/>
    <mergeCell ref="L141:L142"/>
    <mergeCell ref="M141:M142"/>
    <mergeCell ref="M138:M140"/>
    <mergeCell ref="L143:L144"/>
    <mergeCell ref="L145:L147"/>
    <mergeCell ref="M143:M144"/>
    <mergeCell ref="M145:M147"/>
    <mergeCell ref="M84:M93"/>
    <mergeCell ref="K84:K93"/>
    <mergeCell ref="J94:J99"/>
    <mergeCell ref="K94:K99"/>
    <mergeCell ref="L94:L99"/>
    <mergeCell ref="M94:M99"/>
    <mergeCell ref="K138:K140"/>
    <mergeCell ref="T100:T107"/>
    <mergeCell ref="T34:T43"/>
    <mergeCell ref="T44:T45"/>
    <mergeCell ref="E50:K50"/>
    <mergeCell ref="H51:K51"/>
    <mergeCell ref="F66:K66"/>
    <mergeCell ref="J52:J65"/>
    <mergeCell ref="K52:K65"/>
    <mergeCell ref="L52:L65"/>
    <mergeCell ref="E84:F93"/>
    <mergeCell ref="G84:G93"/>
    <mergeCell ref="H84:I93"/>
    <mergeCell ref="J84:J93"/>
    <mergeCell ref="L84:L93"/>
    <mergeCell ref="J68:J76"/>
    <mergeCell ref="K68:K76"/>
    <mergeCell ref="L68:L76"/>
    <mergeCell ref="L80:L83"/>
    <mergeCell ref="K6:K7"/>
    <mergeCell ref="L6:L7"/>
    <mergeCell ref="M6:M7"/>
    <mergeCell ref="N6:N7"/>
    <mergeCell ref="O6:O7"/>
    <mergeCell ref="P6:P7"/>
    <mergeCell ref="U6:U7"/>
    <mergeCell ref="V6:V7"/>
    <mergeCell ref="P11:P32"/>
    <mergeCell ref="Q11:Q32"/>
    <mergeCell ref="A1:AO4"/>
    <mergeCell ref="A5:M5"/>
    <mergeCell ref="N5:AQ5"/>
    <mergeCell ref="A6:A7"/>
    <mergeCell ref="B6:C7"/>
    <mergeCell ref="D6:D7"/>
    <mergeCell ref="E6:F7"/>
    <mergeCell ref="G6:G7"/>
    <mergeCell ref="H6:I7"/>
    <mergeCell ref="J6:J7"/>
    <mergeCell ref="AQ6:AQ7"/>
    <mergeCell ref="AN6:AN7"/>
    <mergeCell ref="AO6:AO7"/>
    <mergeCell ref="AP6:AP7"/>
    <mergeCell ref="W6:W7"/>
    <mergeCell ref="X6:X7"/>
    <mergeCell ref="Y6:Z6"/>
    <mergeCell ref="AA6:AD6"/>
    <mergeCell ref="AE6:AJ6"/>
    <mergeCell ref="AK6:AM6"/>
    <mergeCell ref="Q6:Q7"/>
    <mergeCell ref="R6:R7"/>
    <mergeCell ref="S6:S7"/>
    <mergeCell ref="T6:T7"/>
    <mergeCell ref="Y11:Y32"/>
    <mergeCell ref="T12:T32"/>
    <mergeCell ref="H10:K10"/>
    <mergeCell ref="J11:J32"/>
    <mergeCell ref="K11:K32"/>
    <mergeCell ref="L11:L32"/>
    <mergeCell ref="M11:M32"/>
    <mergeCell ref="N11:N32"/>
    <mergeCell ref="B8:K8"/>
    <mergeCell ref="E9:K9"/>
    <mergeCell ref="S11:S32"/>
    <mergeCell ref="O11:O32"/>
    <mergeCell ref="R11:R32"/>
    <mergeCell ref="AO34:AO49"/>
    <mergeCell ref="AP34:AP49"/>
    <mergeCell ref="AQ34:AQ49"/>
    <mergeCell ref="T46:T49"/>
    <mergeCell ref="H33:K33"/>
    <mergeCell ref="J34:J49"/>
    <mergeCell ref="K34:K49"/>
    <mergeCell ref="L34:L49"/>
    <mergeCell ref="M34:M49"/>
    <mergeCell ref="N34:N49"/>
    <mergeCell ref="S34:S49"/>
    <mergeCell ref="AI34:AI49"/>
    <mergeCell ref="AJ34:AJ49"/>
    <mergeCell ref="AK34:AK49"/>
    <mergeCell ref="AL34:AL49"/>
    <mergeCell ref="AM34:AM49"/>
    <mergeCell ref="AN34:AN49"/>
    <mergeCell ref="AC34:AC49"/>
    <mergeCell ref="AD34:AD49"/>
    <mergeCell ref="AE34:AE49"/>
    <mergeCell ref="AF34:AF49"/>
    <mergeCell ref="AG34:AG49"/>
    <mergeCell ref="AH34:AH49"/>
    <mergeCell ref="Y34:Y49"/>
    <mergeCell ref="AP11:AP32"/>
    <mergeCell ref="AQ11:AQ32"/>
    <mergeCell ref="AM11:AM32"/>
    <mergeCell ref="AN11:AN32"/>
    <mergeCell ref="AO11:AO32"/>
    <mergeCell ref="Z11:Z32"/>
    <mergeCell ref="AA11:AA32"/>
    <mergeCell ref="AB11:AB32"/>
    <mergeCell ref="AC11:AC32"/>
    <mergeCell ref="AJ11:AJ32"/>
    <mergeCell ref="AK11:AK32"/>
    <mergeCell ref="AL11:AL32"/>
    <mergeCell ref="AD11:AD32"/>
    <mergeCell ref="AE11:AE32"/>
    <mergeCell ref="AF11:AF32"/>
    <mergeCell ref="AG11:AG32"/>
    <mergeCell ref="AH11:AH32"/>
    <mergeCell ref="AI11:AI32"/>
    <mergeCell ref="Z34:Z49"/>
    <mergeCell ref="AA34:AA49"/>
    <mergeCell ref="AB34:AB49"/>
    <mergeCell ref="O34:O49"/>
    <mergeCell ref="P34:P49"/>
    <mergeCell ref="Q34:Q49"/>
    <mergeCell ref="R34:R49"/>
    <mergeCell ref="AQ52:AQ65"/>
    <mergeCell ref="T64:T65"/>
    <mergeCell ref="AJ52:AJ65"/>
    <mergeCell ref="AK52:AK65"/>
    <mergeCell ref="AL52:AL65"/>
    <mergeCell ref="AM52:AM65"/>
    <mergeCell ref="AN52:AN65"/>
    <mergeCell ref="AO52:AO65"/>
    <mergeCell ref="AD52:AD65"/>
    <mergeCell ref="AE52:AE65"/>
    <mergeCell ref="AF52:AF65"/>
    <mergeCell ref="AG52:AG65"/>
    <mergeCell ref="AH52:AH65"/>
    <mergeCell ref="AI52:AI65"/>
    <mergeCell ref="Y52:Y65"/>
    <mergeCell ref="Z52:Z65"/>
    <mergeCell ref="AA52:AA65"/>
    <mergeCell ref="AB52:AB65"/>
    <mergeCell ref="AC52:AC65"/>
    <mergeCell ref="P52:P65"/>
    <mergeCell ref="Q52:Q65"/>
    <mergeCell ref="M80:M83"/>
    <mergeCell ref="AP52:AP65"/>
    <mergeCell ref="R52:R65"/>
    <mergeCell ref="S52:S65"/>
    <mergeCell ref="T52:T55"/>
    <mergeCell ref="M52:M65"/>
    <mergeCell ref="N52:N65"/>
    <mergeCell ref="O52:O65"/>
    <mergeCell ref="AA68:AA83"/>
    <mergeCell ref="AB68:AB83"/>
    <mergeCell ref="AC68:AC83"/>
    <mergeCell ref="P68:P83"/>
    <mergeCell ref="Q68:Q76"/>
    <mergeCell ref="R68:R83"/>
    <mergeCell ref="AP68:AP83"/>
    <mergeCell ref="T68:T76"/>
    <mergeCell ref="Q80:Q83"/>
    <mergeCell ref="T80:T83"/>
    <mergeCell ref="O68:O83"/>
    <mergeCell ref="T56:T63"/>
    <mergeCell ref="AQ68:AQ83"/>
    <mergeCell ref="J80:J83"/>
    <mergeCell ref="K80:K83"/>
    <mergeCell ref="AJ68:AJ83"/>
    <mergeCell ref="AK68:AK83"/>
    <mergeCell ref="AL68:AL83"/>
    <mergeCell ref="AM68:AM83"/>
    <mergeCell ref="AN68:AN83"/>
    <mergeCell ref="AO68:AO83"/>
    <mergeCell ref="AD68:AD83"/>
    <mergeCell ref="AE68:AE83"/>
    <mergeCell ref="AF68:AF83"/>
    <mergeCell ref="AG68:AG83"/>
    <mergeCell ref="AH68:AH83"/>
    <mergeCell ref="AI68:AI83"/>
    <mergeCell ref="Y68:Y83"/>
    <mergeCell ref="Z68:Z83"/>
    <mergeCell ref="S68:S83"/>
    <mergeCell ref="U70:U71"/>
    <mergeCell ref="U72:U73"/>
    <mergeCell ref="U80:U81"/>
    <mergeCell ref="U82:U83"/>
    <mergeCell ref="M68:M76"/>
    <mergeCell ref="N68:N83"/>
    <mergeCell ref="AP84:AP93"/>
    <mergeCell ref="AQ84:AQ93"/>
    <mergeCell ref="AG84:AG93"/>
    <mergeCell ref="AH84:AH93"/>
    <mergeCell ref="AI84:AI93"/>
    <mergeCell ref="AJ84:AJ93"/>
    <mergeCell ref="AK84:AK93"/>
    <mergeCell ref="AL84:AL93"/>
    <mergeCell ref="AA84:AA93"/>
    <mergeCell ref="AB84:AB93"/>
    <mergeCell ref="AC84:AC93"/>
    <mergeCell ref="AD84:AD93"/>
    <mergeCell ref="AE84:AE93"/>
    <mergeCell ref="AF84:AF93"/>
    <mergeCell ref="AM84:AM93"/>
    <mergeCell ref="AN84:AN93"/>
    <mergeCell ref="AO84:AO93"/>
    <mergeCell ref="AG94:AG99"/>
    <mergeCell ref="AH94:AH99"/>
    <mergeCell ref="AI94:AI99"/>
    <mergeCell ref="Y94:Y99"/>
    <mergeCell ref="Z94:Z99"/>
    <mergeCell ref="N94:N99"/>
    <mergeCell ref="O94:O99"/>
    <mergeCell ref="S84:S93"/>
    <mergeCell ref="Y84:Y93"/>
    <mergeCell ref="Z84:Z93"/>
    <mergeCell ref="U84:U85"/>
    <mergeCell ref="U86:U87"/>
    <mergeCell ref="U88:U89"/>
    <mergeCell ref="N84:N93"/>
    <mergeCell ref="O84:O93"/>
    <mergeCell ref="P84:P93"/>
    <mergeCell ref="Q84:Q93"/>
    <mergeCell ref="R84:R93"/>
    <mergeCell ref="U90:U91"/>
    <mergeCell ref="T84:T89"/>
    <mergeCell ref="T90:T93"/>
    <mergeCell ref="AQ100:AQ123"/>
    <mergeCell ref="AF100:AF123"/>
    <mergeCell ref="AG100:AG123"/>
    <mergeCell ref="AB94:AB99"/>
    <mergeCell ref="AC94:AC99"/>
    <mergeCell ref="M100:M123"/>
    <mergeCell ref="N100:N123"/>
    <mergeCell ref="O100:O123"/>
    <mergeCell ref="P100:P123"/>
    <mergeCell ref="Q100:Q123"/>
    <mergeCell ref="AH100:AH123"/>
    <mergeCell ref="AF94:AF99"/>
    <mergeCell ref="P94:P99"/>
    <mergeCell ref="Q94:Q99"/>
    <mergeCell ref="R94:R99"/>
    <mergeCell ref="S94:S99"/>
    <mergeCell ref="T94:T99"/>
    <mergeCell ref="U111:U112"/>
    <mergeCell ref="U117:U118"/>
    <mergeCell ref="U119:U120"/>
    <mergeCell ref="U94:U95"/>
    <mergeCell ref="U96:U97"/>
    <mergeCell ref="U98:U99"/>
    <mergeCell ref="AM100:AM123"/>
    <mergeCell ref="AD124:AD135"/>
    <mergeCell ref="AE124:AE135"/>
    <mergeCell ref="AF124:AF135"/>
    <mergeCell ref="AP94:AP99"/>
    <mergeCell ref="AQ94:AQ99"/>
    <mergeCell ref="A100:A123"/>
    <mergeCell ref="B100:C123"/>
    <mergeCell ref="D100:D123"/>
    <mergeCell ref="E100:F123"/>
    <mergeCell ref="G100:G123"/>
    <mergeCell ref="H100:I123"/>
    <mergeCell ref="J100:J123"/>
    <mergeCell ref="K100:K123"/>
    <mergeCell ref="AJ94:AJ99"/>
    <mergeCell ref="AK94:AK99"/>
    <mergeCell ref="AL94:AL99"/>
    <mergeCell ref="AM94:AM99"/>
    <mergeCell ref="AN94:AN99"/>
    <mergeCell ref="AO94:AO99"/>
    <mergeCell ref="AD94:AD99"/>
    <mergeCell ref="AE94:AE99"/>
    <mergeCell ref="AA94:AA99"/>
    <mergeCell ref="AO100:AO123"/>
    <mergeCell ref="AP100:AP123"/>
    <mergeCell ref="Z124:Z135"/>
    <mergeCell ref="AA124:AA135"/>
    <mergeCell ref="AB124:AB135"/>
    <mergeCell ref="AC124:AC135"/>
    <mergeCell ref="P124:P135"/>
    <mergeCell ref="Q124:Q135"/>
    <mergeCell ref="R124:R135"/>
    <mergeCell ref="S124:S135"/>
    <mergeCell ref="Y124:Y135"/>
    <mergeCell ref="T124:T134"/>
    <mergeCell ref="AN100:AN123"/>
    <mergeCell ref="Z100:Z123"/>
    <mergeCell ref="AA100:AA123"/>
    <mergeCell ref="AB100:AB123"/>
    <mergeCell ref="AC100:AC123"/>
    <mergeCell ref="AD100:AD123"/>
    <mergeCell ref="AE100:AE123"/>
    <mergeCell ref="R100:R123"/>
    <mergeCell ref="S100:S123"/>
    <mergeCell ref="Y100:Y123"/>
    <mergeCell ref="T108:T110"/>
    <mergeCell ref="T111:T123"/>
    <mergeCell ref="AJ100:AJ123"/>
    <mergeCell ref="AK100:AK123"/>
    <mergeCell ref="AI100:AI123"/>
    <mergeCell ref="AL100:AL123"/>
    <mergeCell ref="U106:U107"/>
    <mergeCell ref="U113:U114"/>
    <mergeCell ref="U103:U104"/>
    <mergeCell ref="U121:U122"/>
    <mergeCell ref="V121:V122"/>
    <mergeCell ref="W121:W122"/>
    <mergeCell ref="X121:X122"/>
    <mergeCell ref="U115:U116"/>
    <mergeCell ref="AG124:AG135"/>
    <mergeCell ref="AH124:AH135"/>
    <mergeCell ref="AI124:AI135"/>
    <mergeCell ref="AP124:AP135"/>
    <mergeCell ref="AQ124:AQ135"/>
    <mergeCell ref="AM124:AM135"/>
    <mergeCell ref="AN124:AN135"/>
    <mergeCell ref="AO124:AO135"/>
    <mergeCell ref="AM136:AM156"/>
    <mergeCell ref="AN136:AN156"/>
    <mergeCell ref="AO136:AO156"/>
    <mergeCell ref="AP136:AP156"/>
    <mergeCell ref="AJ124:AJ135"/>
    <mergeCell ref="AK124:AK135"/>
    <mergeCell ref="AL124:AL135"/>
    <mergeCell ref="AQ136:AQ156"/>
    <mergeCell ref="AL136:AL156"/>
    <mergeCell ref="AF136:AF156"/>
    <mergeCell ref="AG136:AG156"/>
    <mergeCell ref="AH136:AH156"/>
    <mergeCell ref="AI136:AI156"/>
    <mergeCell ref="AJ136:AJ156"/>
    <mergeCell ref="AK136:AK156"/>
    <mergeCell ref="R136:R156"/>
    <mergeCell ref="S136:S156"/>
    <mergeCell ref="Y136:Y156"/>
    <mergeCell ref="T138:T156"/>
    <mergeCell ref="Z136:Z156"/>
    <mergeCell ref="AA136:AA156"/>
    <mergeCell ref="AB136:AB156"/>
    <mergeCell ref="AC136:AC156"/>
    <mergeCell ref="AD136:AD156"/>
    <mergeCell ref="AE136:AE156"/>
    <mergeCell ref="U136:U137"/>
    <mergeCell ref="U138:U139"/>
    <mergeCell ref="U145:U146"/>
    <mergeCell ref="U148:U149"/>
    <mergeCell ref="U152:U153"/>
    <mergeCell ref="T136:T137"/>
    <mergeCell ref="J155:J156"/>
    <mergeCell ref="K155:K156"/>
    <mergeCell ref="Q155:Q156"/>
    <mergeCell ref="J141:J142"/>
    <mergeCell ref="K141:K142"/>
    <mergeCell ref="Q141:Q142"/>
    <mergeCell ref="J143:J144"/>
    <mergeCell ref="K143:K144"/>
    <mergeCell ref="Q143:Q144"/>
    <mergeCell ref="J145:J147"/>
    <mergeCell ref="K145:K147"/>
    <mergeCell ref="Q145:Q147"/>
    <mergeCell ref="J148:J150"/>
    <mergeCell ref="K148:K150"/>
    <mergeCell ref="Q148:Q150"/>
    <mergeCell ref="J152:J154"/>
    <mergeCell ref="K152:K154"/>
    <mergeCell ref="Q152:Q154"/>
    <mergeCell ref="N136:N156"/>
    <mergeCell ref="O136:O156"/>
    <mergeCell ref="P136:P156"/>
    <mergeCell ref="J136:J137"/>
    <mergeCell ref="K136:K137"/>
    <mergeCell ref="J138:J140"/>
    <mergeCell ref="Q138:Q140"/>
    <mergeCell ref="J124:J135"/>
    <mergeCell ref="K124:K135"/>
    <mergeCell ref="L124:L135"/>
    <mergeCell ref="M124:M135"/>
    <mergeCell ref="N124:N135"/>
    <mergeCell ref="O124:O135"/>
    <mergeCell ref="L100:L123"/>
    <mergeCell ref="Q136:Q137"/>
    <mergeCell ref="L138:L140"/>
    <mergeCell ref="L136:L137"/>
    <mergeCell ref="M136:M137"/>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T29"/>
  <sheetViews>
    <sheetView showGridLines="0" topLeftCell="N1" zoomScale="60" zoomScaleNormal="60" workbookViewId="0">
      <selection activeCell="N22" sqref="N22"/>
    </sheetView>
  </sheetViews>
  <sheetFormatPr baseColWidth="10" defaultColWidth="11.42578125" defaultRowHeight="15.75" x14ac:dyDescent="0.25"/>
  <cols>
    <col min="1" max="1" width="15.140625" style="21" customWidth="1"/>
    <col min="2" max="10" width="15.140625" style="3" customWidth="1"/>
    <col min="11" max="11" width="50.5703125" style="249" customWidth="1"/>
    <col min="12" max="12" width="28.7109375" style="178" customWidth="1"/>
    <col min="13" max="13" width="25.140625" style="250" customWidth="1"/>
    <col min="14" max="14" width="36.7109375" style="178" customWidth="1"/>
    <col min="15" max="15" width="24.5703125" style="178" customWidth="1"/>
    <col min="16" max="16" width="24.5703125" style="249" customWidth="1"/>
    <col min="17" max="17" width="17.85546875" style="310" customWidth="1"/>
    <col min="18" max="18" width="27.5703125" style="311" bestFit="1" customWidth="1"/>
    <col min="19" max="19" width="37.28515625" style="249" customWidth="1"/>
    <col min="20" max="20" width="48.42578125" style="249" customWidth="1"/>
    <col min="21" max="21" width="32" style="249" customWidth="1"/>
    <col min="22" max="22" width="32.7109375" style="312" customWidth="1"/>
    <col min="23" max="23" width="18.5703125" style="253" customWidth="1"/>
    <col min="24" max="24" width="16.7109375" style="249" customWidth="1"/>
    <col min="25" max="25" width="10.42578125" style="3" customWidth="1"/>
    <col min="26" max="26" width="10.5703125" style="3" customWidth="1"/>
    <col min="27" max="27" width="11.85546875" style="3" customWidth="1"/>
    <col min="28" max="28" width="10.140625" style="3" customWidth="1"/>
    <col min="29" max="29" width="10.5703125" style="3" customWidth="1"/>
    <col min="30" max="30" width="9.5703125" style="3" customWidth="1"/>
    <col min="31" max="31" width="9.28515625" style="3" customWidth="1"/>
    <col min="32" max="32" width="8.85546875" style="3" customWidth="1"/>
    <col min="33" max="35" width="8" style="3" customWidth="1"/>
    <col min="36" max="36" width="8.7109375" style="3" customWidth="1"/>
    <col min="37" max="37" width="9.85546875" style="3" customWidth="1"/>
    <col min="38" max="38" width="10.5703125" style="3" customWidth="1"/>
    <col min="39" max="39" width="9.85546875" style="3" customWidth="1"/>
    <col min="40" max="40" width="13.140625" style="3" customWidth="1"/>
    <col min="41" max="41" width="25.42578125" style="254" customWidth="1"/>
    <col min="42" max="42" width="23" style="255" customWidth="1"/>
    <col min="43" max="43" width="27.42578125" style="205" customWidth="1"/>
    <col min="44" max="254" width="11.42578125" style="3"/>
    <col min="257" max="257" width="13" bestFit="1" customWidth="1"/>
    <col min="258" max="258" width="6.85546875" customWidth="1"/>
    <col min="259" max="259" width="14.28515625" customWidth="1"/>
    <col min="260" max="260" width="14" customWidth="1"/>
    <col min="261" max="261" width="17.85546875" customWidth="1"/>
    <col min="262" max="262" width="3.5703125" customWidth="1"/>
    <col min="263" max="263" width="13.28515625" customWidth="1"/>
    <col min="264" max="264" width="5.85546875" customWidth="1"/>
    <col min="265" max="265" width="23.28515625" customWidth="1"/>
    <col min="266" max="266" width="17.140625" customWidth="1"/>
    <col min="267" max="267" width="50.5703125" customWidth="1"/>
    <col min="268" max="268" width="28.7109375" customWidth="1"/>
    <col min="269" max="269" width="25.140625" customWidth="1"/>
    <col min="270" max="270" width="36.7109375" customWidth="1"/>
    <col min="271" max="272" width="24.5703125" customWidth="1"/>
    <col min="273" max="273" width="17.85546875" customWidth="1"/>
    <col min="274" max="274" width="27.5703125" bestFit="1" customWidth="1"/>
    <col min="275" max="275" width="37.28515625" customWidth="1"/>
    <col min="276" max="276" width="48.42578125" customWidth="1"/>
    <col min="277" max="277" width="32" customWidth="1"/>
    <col min="278" max="278" width="32.7109375" customWidth="1"/>
    <col min="279" max="279" width="18.5703125" customWidth="1"/>
    <col min="280" max="280" width="16.7109375" customWidth="1"/>
    <col min="281" max="281" width="10.42578125" customWidth="1"/>
    <col min="282" max="282" width="10.5703125" customWidth="1"/>
    <col min="283" max="283" width="9.28515625" customWidth="1"/>
    <col min="284" max="284" width="10.140625" customWidth="1"/>
    <col min="285" max="285" width="8.42578125" customWidth="1"/>
    <col min="286" max="286" width="9.5703125" customWidth="1"/>
    <col min="287" max="287" width="9.28515625" customWidth="1"/>
    <col min="288" max="288" width="8.85546875" customWidth="1"/>
    <col min="289" max="291" width="8" customWidth="1"/>
    <col min="292" max="292" width="8.7109375" customWidth="1"/>
    <col min="293" max="293" width="8.140625" customWidth="1"/>
    <col min="294" max="294" width="10.5703125" customWidth="1"/>
    <col min="295" max="295" width="9.85546875" customWidth="1"/>
    <col min="296" max="296" width="13.140625" customWidth="1"/>
    <col min="297" max="297" width="25.42578125" customWidth="1"/>
    <col min="298" max="298" width="30.85546875" customWidth="1"/>
    <col min="299" max="299" width="27.42578125" customWidth="1"/>
    <col min="513" max="513" width="13" bestFit="1" customWidth="1"/>
    <col min="514" max="514" width="6.85546875" customWidth="1"/>
    <col min="515" max="515" width="14.28515625" customWidth="1"/>
    <col min="516" max="516" width="14" customWidth="1"/>
    <col min="517" max="517" width="17.85546875" customWidth="1"/>
    <col min="518" max="518" width="3.5703125" customWidth="1"/>
    <col min="519" max="519" width="13.28515625" customWidth="1"/>
    <col min="520" max="520" width="5.85546875" customWidth="1"/>
    <col min="521" max="521" width="23.28515625" customWidth="1"/>
    <col min="522" max="522" width="17.140625" customWidth="1"/>
    <col min="523" max="523" width="50.5703125" customWidth="1"/>
    <col min="524" max="524" width="28.7109375" customWidth="1"/>
    <col min="525" max="525" width="25.140625" customWidth="1"/>
    <col min="526" max="526" width="36.7109375" customWidth="1"/>
    <col min="527" max="528" width="24.5703125" customWidth="1"/>
    <col min="529" max="529" width="17.85546875" customWidth="1"/>
    <col min="530" max="530" width="27.5703125" bestFit="1" customWidth="1"/>
    <col min="531" max="531" width="37.28515625" customWidth="1"/>
    <col min="532" max="532" width="48.42578125" customWidth="1"/>
    <col min="533" max="533" width="32" customWidth="1"/>
    <col min="534" max="534" width="32.7109375" customWidth="1"/>
    <col min="535" max="535" width="18.5703125" customWidth="1"/>
    <col min="536" max="536" width="16.7109375" customWidth="1"/>
    <col min="537" max="537" width="10.42578125" customWidth="1"/>
    <col min="538" max="538" width="10.5703125" customWidth="1"/>
    <col min="539" max="539" width="9.28515625" customWidth="1"/>
    <col min="540" max="540" width="10.140625" customWidth="1"/>
    <col min="541" max="541" width="8.42578125" customWidth="1"/>
    <col min="542" max="542" width="9.5703125" customWidth="1"/>
    <col min="543" max="543" width="9.28515625" customWidth="1"/>
    <col min="544" max="544" width="8.85546875" customWidth="1"/>
    <col min="545" max="547" width="8" customWidth="1"/>
    <col min="548" max="548" width="8.7109375" customWidth="1"/>
    <col min="549" max="549" width="8.140625" customWidth="1"/>
    <col min="550" max="550" width="10.5703125" customWidth="1"/>
    <col min="551" max="551" width="9.85546875" customWidth="1"/>
    <col min="552" max="552" width="13.140625" customWidth="1"/>
    <col min="553" max="553" width="25.42578125" customWidth="1"/>
    <col min="554" max="554" width="30.85546875" customWidth="1"/>
    <col min="555" max="555" width="27.42578125" customWidth="1"/>
    <col min="769" max="769" width="13" bestFit="1" customWidth="1"/>
    <col min="770" max="770" width="6.85546875" customWidth="1"/>
    <col min="771" max="771" width="14.28515625" customWidth="1"/>
    <col min="772" max="772" width="14" customWidth="1"/>
    <col min="773" max="773" width="17.85546875" customWidth="1"/>
    <col min="774" max="774" width="3.5703125" customWidth="1"/>
    <col min="775" max="775" width="13.28515625" customWidth="1"/>
    <col min="776" max="776" width="5.85546875" customWidth="1"/>
    <col min="777" max="777" width="23.28515625" customWidth="1"/>
    <col min="778" max="778" width="17.140625" customWidth="1"/>
    <col min="779" max="779" width="50.5703125" customWidth="1"/>
    <col min="780" max="780" width="28.7109375" customWidth="1"/>
    <col min="781" max="781" width="25.140625" customWidth="1"/>
    <col min="782" max="782" width="36.7109375" customWidth="1"/>
    <col min="783" max="784" width="24.5703125" customWidth="1"/>
    <col min="785" max="785" width="17.85546875" customWidth="1"/>
    <col min="786" max="786" width="27.5703125" bestFit="1" customWidth="1"/>
    <col min="787" max="787" width="37.28515625" customWidth="1"/>
    <col min="788" max="788" width="48.42578125" customWidth="1"/>
    <col min="789" max="789" width="32" customWidth="1"/>
    <col min="790" max="790" width="32.7109375" customWidth="1"/>
    <col min="791" max="791" width="18.5703125" customWidth="1"/>
    <col min="792" max="792" width="16.7109375" customWidth="1"/>
    <col min="793" max="793" width="10.42578125" customWidth="1"/>
    <col min="794" max="794" width="10.5703125" customWidth="1"/>
    <col min="795" max="795" width="9.28515625" customWidth="1"/>
    <col min="796" max="796" width="10.140625" customWidth="1"/>
    <col min="797" max="797" width="8.42578125" customWidth="1"/>
    <col min="798" max="798" width="9.5703125" customWidth="1"/>
    <col min="799" max="799" width="9.28515625" customWidth="1"/>
    <col min="800" max="800" width="8.85546875" customWidth="1"/>
    <col min="801" max="803" width="8" customWidth="1"/>
    <col min="804" max="804" width="8.7109375" customWidth="1"/>
    <col min="805" max="805" width="8.140625" customWidth="1"/>
    <col min="806" max="806" width="10.5703125" customWidth="1"/>
    <col min="807" max="807" width="9.85546875" customWidth="1"/>
    <col min="808" max="808" width="13.140625" customWidth="1"/>
    <col min="809" max="809" width="25.42578125" customWidth="1"/>
    <col min="810" max="810" width="30.85546875" customWidth="1"/>
    <col min="811" max="811" width="27.42578125" customWidth="1"/>
    <col min="1025" max="1025" width="13" bestFit="1" customWidth="1"/>
    <col min="1026" max="1026" width="6.85546875" customWidth="1"/>
    <col min="1027" max="1027" width="14.28515625" customWidth="1"/>
    <col min="1028" max="1028" width="14" customWidth="1"/>
    <col min="1029" max="1029" width="17.85546875" customWidth="1"/>
    <col min="1030" max="1030" width="3.5703125" customWidth="1"/>
    <col min="1031" max="1031" width="13.28515625" customWidth="1"/>
    <col min="1032" max="1032" width="5.85546875" customWidth="1"/>
    <col min="1033" max="1033" width="23.28515625" customWidth="1"/>
    <col min="1034" max="1034" width="17.140625" customWidth="1"/>
    <col min="1035" max="1035" width="50.5703125" customWidth="1"/>
    <col min="1036" max="1036" width="28.7109375" customWidth="1"/>
    <col min="1037" max="1037" width="25.140625" customWidth="1"/>
    <col min="1038" max="1038" width="36.7109375" customWidth="1"/>
    <col min="1039" max="1040" width="24.5703125" customWidth="1"/>
    <col min="1041" max="1041" width="17.85546875" customWidth="1"/>
    <col min="1042" max="1042" width="27.5703125" bestFit="1" customWidth="1"/>
    <col min="1043" max="1043" width="37.28515625" customWidth="1"/>
    <col min="1044" max="1044" width="48.42578125" customWidth="1"/>
    <col min="1045" max="1045" width="32" customWidth="1"/>
    <col min="1046" max="1046" width="32.7109375" customWidth="1"/>
    <col min="1047" max="1047" width="18.5703125" customWidth="1"/>
    <col min="1048" max="1048" width="16.7109375" customWidth="1"/>
    <col min="1049" max="1049" width="10.42578125" customWidth="1"/>
    <col min="1050" max="1050" width="10.5703125" customWidth="1"/>
    <col min="1051" max="1051" width="9.28515625" customWidth="1"/>
    <col min="1052" max="1052" width="10.140625" customWidth="1"/>
    <col min="1053" max="1053" width="8.42578125" customWidth="1"/>
    <col min="1054" max="1054" width="9.5703125" customWidth="1"/>
    <col min="1055" max="1055" width="9.28515625" customWidth="1"/>
    <col min="1056" max="1056" width="8.85546875" customWidth="1"/>
    <col min="1057" max="1059" width="8" customWidth="1"/>
    <col min="1060" max="1060" width="8.7109375" customWidth="1"/>
    <col min="1061" max="1061" width="8.140625" customWidth="1"/>
    <col min="1062" max="1062" width="10.5703125" customWidth="1"/>
    <col min="1063" max="1063" width="9.85546875" customWidth="1"/>
    <col min="1064" max="1064" width="13.140625" customWidth="1"/>
    <col min="1065" max="1065" width="25.42578125" customWidth="1"/>
    <col min="1066" max="1066" width="30.85546875" customWidth="1"/>
    <col min="1067" max="1067" width="27.42578125" customWidth="1"/>
    <col min="1281" max="1281" width="13" bestFit="1" customWidth="1"/>
    <col min="1282" max="1282" width="6.85546875" customWidth="1"/>
    <col min="1283" max="1283" width="14.28515625" customWidth="1"/>
    <col min="1284" max="1284" width="14" customWidth="1"/>
    <col min="1285" max="1285" width="17.85546875" customWidth="1"/>
    <col min="1286" max="1286" width="3.5703125" customWidth="1"/>
    <col min="1287" max="1287" width="13.28515625" customWidth="1"/>
    <col min="1288" max="1288" width="5.85546875" customWidth="1"/>
    <col min="1289" max="1289" width="23.28515625" customWidth="1"/>
    <col min="1290" max="1290" width="17.140625" customWidth="1"/>
    <col min="1291" max="1291" width="50.5703125" customWidth="1"/>
    <col min="1292" max="1292" width="28.7109375" customWidth="1"/>
    <col min="1293" max="1293" width="25.140625" customWidth="1"/>
    <col min="1294" max="1294" width="36.7109375" customWidth="1"/>
    <col min="1295" max="1296" width="24.5703125" customWidth="1"/>
    <col min="1297" max="1297" width="17.85546875" customWidth="1"/>
    <col min="1298" max="1298" width="27.5703125" bestFit="1" customWidth="1"/>
    <col min="1299" max="1299" width="37.28515625" customWidth="1"/>
    <col min="1300" max="1300" width="48.42578125" customWidth="1"/>
    <col min="1301" max="1301" width="32" customWidth="1"/>
    <col min="1302" max="1302" width="32.7109375" customWidth="1"/>
    <col min="1303" max="1303" width="18.5703125" customWidth="1"/>
    <col min="1304" max="1304" width="16.7109375" customWidth="1"/>
    <col min="1305" max="1305" width="10.42578125" customWidth="1"/>
    <col min="1306" max="1306" width="10.5703125" customWidth="1"/>
    <col min="1307" max="1307" width="9.28515625" customWidth="1"/>
    <col min="1308" max="1308" width="10.140625" customWidth="1"/>
    <col min="1309" max="1309" width="8.42578125" customWidth="1"/>
    <col min="1310" max="1310" width="9.5703125" customWidth="1"/>
    <col min="1311" max="1311" width="9.28515625" customWidth="1"/>
    <col min="1312" max="1312" width="8.85546875" customWidth="1"/>
    <col min="1313" max="1315" width="8" customWidth="1"/>
    <col min="1316" max="1316" width="8.7109375" customWidth="1"/>
    <col min="1317" max="1317" width="8.140625" customWidth="1"/>
    <col min="1318" max="1318" width="10.5703125" customWidth="1"/>
    <col min="1319" max="1319" width="9.85546875" customWidth="1"/>
    <col min="1320" max="1320" width="13.140625" customWidth="1"/>
    <col min="1321" max="1321" width="25.42578125" customWidth="1"/>
    <col min="1322" max="1322" width="30.85546875" customWidth="1"/>
    <col min="1323" max="1323" width="27.42578125" customWidth="1"/>
    <col min="1537" max="1537" width="13" bestFit="1" customWidth="1"/>
    <col min="1538" max="1538" width="6.85546875" customWidth="1"/>
    <col min="1539" max="1539" width="14.28515625" customWidth="1"/>
    <col min="1540" max="1540" width="14" customWidth="1"/>
    <col min="1541" max="1541" width="17.85546875" customWidth="1"/>
    <col min="1542" max="1542" width="3.5703125" customWidth="1"/>
    <col min="1543" max="1543" width="13.28515625" customWidth="1"/>
    <col min="1544" max="1544" width="5.85546875" customWidth="1"/>
    <col min="1545" max="1545" width="23.28515625" customWidth="1"/>
    <col min="1546" max="1546" width="17.140625" customWidth="1"/>
    <col min="1547" max="1547" width="50.5703125" customWidth="1"/>
    <col min="1548" max="1548" width="28.7109375" customWidth="1"/>
    <col min="1549" max="1549" width="25.140625" customWidth="1"/>
    <col min="1550" max="1550" width="36.7109375" customWidth="1"/>
    <col min="1551" max="1552" width="24.5703125" customWidth="1"/>
    <col min="1553" max="1553" width="17.85546875" customWidth="1"/>
    <col min="1554" max="1554" width="27.5703125" bestFit="1" customWidth="1"/>
    <col min="1555" max="1555" width="37.28515625" customWidth="1"/>
    <col min="1556" max="1556" width="48.42578125" customWidth="1"/>
    <col min="1557" max="1557" width="32" customWidth="1"/>
    <col min="1558" max="1558" width="32.7109375" customWidth="1"/>
    <col min="1559" max="1559" width="18.5703125" customWidth="1"/>
    <col min="1560" max="1560" width="16.7109375" customWidth="1"/>
    <col min="1561" max="1561" width="10.42578125" customWidth="1"/>
    <col min="1562" max="1562" width="10.5703125" customWidth="1"/>
    <col min="1563" max="1563" width="9.28515625" customWidth="1"/>
    <col min="1564" max="1564" width="10.140625" customWidth="1"/>
    <col min="1565" max="1565" width="8.42578125" customWidth="1"/>
    <col min="1566" max="1566" width="9.5703125" customWidth="1"/>
    <col min="1567" max="1567" width="9.28515625" customWidth="1"/>
    <col min="1568" max="1568" width="8.85546875" customWidth="1"/>
    <col min="1569" max="1571" width="8" customWidth="1"/>
    <col min="1572" max="1572" width="8.7109375" customWidth="1"/>
    <col min="1573" max="1573" width="8.140625" customWidth="1"/>
    <col min="1574" max="1574" width="10.5703125" customWidth="1"/>
    <col min="1575" max="1575" width="9.85546875" customWidth="1"/>
    <col min="1576" max="1576" width="13.140625" customWidth="1"/>
    <col min="1577" max="1577" width="25.42578125" customWidth="1"/>
    <col min="1578" max="1578" width="30.85546875" customWidth="1"/>
    <col min="1579" max="1579" width="27.42578125" customWidth="1"/>
    <col min="1793" max="1793" width="13" bestFit="1" customWidth="1"/>
    <col min="1794" max="1794" width="6.85546875" customWidth="1"/>
    <col min="1795" max="1795" width="14.28515625" customWidth="1"/>
    <col min="1796" max="1796" width="14" customWidth="1"/>
    <col min="1797" max="1797" width="17.85546875" customWidth="1"/>
    <col min="1798" max="1798" width="3.5703125" customWidth="1"/>
    <col min="1799" max="1799" width="13.28515625" customWidth="1"/>
    <col min="1800" max="1800" width="5.85546875" customWidth="1"/>
    <col min="1801" max="1801" width="23.28515625" customWidth="1"/>
    <col min="1802" max="1802" width="17.140625" customWidth="1"/>
    <col min="1803" max="1803" width="50.5703125" customWidth="1"/>
    <col min="1804" max="1804" width="28.7109375" customWidth="1"/>
    <col min="1805" max="1805" width="25.140625" customWidth="1"/>
    <col min="1806" max="1806" width="36.7109375" customWidth="1"/>
    <col min="1807" max="1808" width="24.5703125" customWidth="1"/>
    <col min="1809" max="1809" width="17.85546875" customWidth="1"/>
    <col min="1810" max="1810" width="27.5703125" bestFit="1" customWidth="1"/>
    <col min="1811" max="1811" width="37.28515625" customWidth="1"/>
    <col min="1812" max="1812" width="48.42578125" customWidth="1"/>
    <col min="1813" max="1813" width="32" customWidth="1"/>
    <col min="1814" max="1814" width="32.7109375" customWidth="1"/>
    <col min="1815" max="1815" width="18.5703125" customWidth="1"/>
    <col min="1816" max="1816" width="16.7109375" customWidth="1"/>
    <col min="1817" max="1817" width="10.42578125" customWidth="1"/>
    <col min="1818" max="1818" width="10.5703125" customWidth="1"/>
    <col min="1819" max="1819" width="9.28515625" customWidth="1"/>
    <col min="1820" max="1820" width="10.140625" customWidth="1"/>
    <col min="1821" max="1821" width="8.42578125" customWidth="1"/>
    <col min="1822" max="1822" width="9.5703125" customWidth="1"/>
    <col min="1823" max="1823" width="9.28515625" customWidth="1"/>
    <col min="1824" max="1824" width="8.85546875" customWidth="1"/>
    <col min="1825" max="1827" width="8" customWidth="1"/>
    <col min="1828" max="1828" width="8.7109375" customWidth="1"/>
    <col min="1829" max="1829" width="8.140625" customWidth="1"/>
    <col min="1830" max="1830" width="10.5703125" customWidth="1"/>
    <col min="1831" max="1831" width="9.85546875" customWidth="1"/>
    <col min="1832" max="1832" width="13.140625" customWidth="1"/>
    <col min="1833" max="1833" width="25.42578125" customWidth="1"/>
    <col min="1834" max="1834" width="30.85546875" customWidth="1"/>
    <col min="1835" max="1835" width="27.42578125" customWidth="1"/>
    <col min="2049" max="2049" width="13" bestFit="1" customWidth="1"/>
    <col min="2050" max="2050" width="6.85546875" customWidth="1"/>
    <col min="2051" max="2051" width="14.28515625" customWidth="1"/>
    <col min="2052" max="2052" width="14" customWidth="1"/>
    <col min="2053" max="2053" width="17.85546875" customWidth="1"/>
    <col min="2054" max="2054" width="3.5703125" customWidth="1"/>
    <col min="2055" max="2055" width="13.28515625" customWidth="1"/>
    <col min="2056" max="2056" width="5.85546875" customWidth="1"/>
    <col min="2057" max="2057" width="23.28515625" customWidth="1"/>
    <col min="2058" max="2058" width="17.140625" customWidth="1"/>
    <col min="2059" max="2059" width="50.5703125" customWidth="1"/>
    <col min="2060" max="2060" width="28.7109375" customWidth="1"/>
    <col min="2061" max="2061" width="25.140625" customWidth="1"/>
    <col min="2062" max="2062" width="36.7109375" customWidth="1"/>
    <col min="2063" max="2064" width="24.5703125" customWidth="1"/>
    <col min="2065" max="2065" width="17.85546875" customWidth="1"/>
    <col min="2066" max="2066" width="27.5703125" bestFit="1" customWidth="1"/>
    <col min="2067" max="2067" width="37.28515625" customWidth="1"/>
    <col min="2068" max="2068" width="48.42578125" customWidth="1"/>
    <col min="2069" max="2069" width="32" customWidth="1"/>
    <col min="2070" max="2070" width="32.7109375" customWidth="1"/>
    <col min="2071" max="2071" width="18.5703125" customWidth="1"/>
    <col min="2072" max="2072" width="16.7109375" customWidth="1"/>
    <col min="2073" max="2073" width="10.42578125" customWidth="1"/>
    <col min="2074" max="2074" width="10.5703125" customWidth="1"/>
    <col min="2075" max="2075" width="9.28515625" customWidth="1"/>
    <col min="2076" max="2076" width="10.140625" customWidth="1"/>
    <col min="2077" max="2077" width="8.42578125" customWidth="1"/>
    <col min="2078" max="2078" width="9.5703125" customWidth="1"/>
    <col min="2079" max="2079" width="9.28515625" customWidth="1"/>
    <col min="2080" max="2080" width="8.85546875" customWidth="1"/>
    <col min="2081" max="2083" width="8" customWidth="1"/>
    <col min="2084" max="2084" width="8.7109375" customWidth="1"/>
    <col min="2085" max="2085" width="8.140625" customWidth="1"/>
    <col min="2086" max="2086" width="10.5703125" customWidth="1"/>
    <col min="2087" max="2087" width="9.85546875" customWidth="1"/>
    <col min="2088" max="2088" width="13.140625" customWidth="1"/>
    <col min="2089" max="2089" width="25.42578125" customWidth="1"/>
    <col min="2090" max="2090" width="30.85546875" customWidth="1"/>
    <col min="2091" max="2091" width="27.42578125" customWidth="1"/>
    <col min="2305" max="2305" width="13" bestFit="1" customWidth="1"/>
    <col min="2306" max="2306" width="6.85546875" customWidth="1"/>
    <col min="2307" max="2307" width="14.28515625" customWidth="1"/>
    <col min="2308" max="2308" width="14" customWidth="1"/>
    <col min="2309" max="2309" width="17.85546875" customWidth="1"/>
    <col min="2310" max="2310" width="3.5703125" customWidth="1"/>
    <col min="2311" max="2311" width="13.28515625" customWidth="1"/>
    <col min="2312" max="2312" width="5.85546875" customWidth="1"/>
    <col min="2313" max="2313" width="23.28515625" customWidth="1"/>
    <col min="2314" max="2314" width="17.140625" customWidth="1"/>
    <col min="2315" max="2315" width="50.5703125" customWidth="1"/>
    <col min="2316" max="2316" width="28.7109375" customWidth="1"/>
    <col min="2317" max="2317" width="25.140625" customWidth="1"/>
    <col min="2318" max="2318" width="36.7109375" customWidth="1"/>
    <col min="2319" max="2320" width="24.5703125" customWidth="1"/>
    <col min="2321" max="2321" width="17.85546875" customWidth="1"/>
    <col min="2322" max="2322" width="27.5703125" bestFit="1" customWidth="1"/>
    <col min="2323" max="2323" width="37.28515625" customWidth="1"/>
    <col min="2324" max="2324" width="48.42578125" customWidth="1"/>
    <col min="2325" max="2325" width="32" customWidth="1"/>
    <col min="2326" max="2326" width="32.7109375" customWidth="1"/>
    <col min="2327" max="2327" width="18.5703125" customWidth="1"/>
    <col min="2328" max="2328" width="16.7109375" customWidth="1"/>
    <col min="2329" max="2329" width="10.42578125" customWidth="1"/>
    <col min="2330" max="2330" width="10.5703125" customWidth="1"/>
    <col min="2331" max="2331" width="9.28515625" customWidth="1"/>
    <col min="2332" max="2332" width="10.140625" customWidth="1"/>
    <col min="2333" max="2333" width="8.42578125" customWidth="1"/>
    <col min="2334" max="2334" width="9.5703125" customWidth="1"/>
    <col min="2335" max="2335" width="9.28515625" customWidth="1"/>
    <col min="2336" max="2336" width="8.85546875" customWidth="1"/>
    <col min="2337" max="2339" width="8" customWidth="1"/>
    <col min="2340" max="2340" width="8.7109375" customWidth="1"/>
    <col min="2341" max="2341" width="8.140625" customWidth="1"/>
    <col min="2342" max="2342" width="10.5703125" customWidth="1"/>
    <col min="2343" max="2343" width="9.85546875" customWidth="1"/>
    <col min="2344" max="2344" width="13.140625" customWidth="1"/>
    <col min="2345" max="2345" width="25.42578125" customWidth="1"/>
    <col min="2346" max="2346" width="30.85546875" customWidth="1"/>
    <col min="2347" max="2347" width="27.42578125" customWidth="1"/>
    <col min="2561" max="2561" width="13" bestFit="1" customWidth="1"/>
    <col min="2562" max="2562" width="6.85546875" customWidth="1"/>
    <col min="2563" max="2563" width="14.28515625" customWidth="1"/>
    <col min="2564" max="2564" width="14" customWidth="1"/>
    <col min="2565" max="2565" width="17.85546875" customWidth="1"/>
    <col min="2566" max="2566" width="3.5703125" customWidth="1"/>
    <col min="2567" max="2567" width="13.28515625" customWidth="1"/>
    <col min="2568" max="2568" width="5.85546875" customWidth="1"/>
    <col min="2569" max="2569" width="23.28515625" customWidth="1"/>
    <col min="2570" max="2570" width="17.140625" customWidth="1"/>
    <col min="2571" max="2571" width="50.5703125" customWidth="1"/>
    <col min="2572" max="2572" width="28.7109375" customWidth="1"/>
    <col min="2573" max="2573" width="25.140625" customWidth="1"/>
    <col min="2574" max="2574" width="36.7109375" customWidth="1"/>
    <col min="2575" max="2576" width="24.5703125" customWidth="1"/>
    <col min="2577" max="2577" width="17.85546875" customWidth="1"/>
    <col min="2578" max="2578" width="27.5703125" bestFit="1" customWidth="1"/>
    <col min="2579" max="2579" width="37.28515625" customWidth="1"/>
    <col min="2580" max="2580" width="48.42578125" customWidth="1"/>
    <col min="2581" max="2581" width="32" customWidth="1"/>
    <col min="2582" max="2582" width="32.7109375" customWidth="1"/>
    <col min="2583" max="2583" width="18.5703125" customWidth="1"/>
    <col min="2584" max="2584" width="16.7109375" customWidth="1"/>
    <col min="2585" max="2585" width="10.42578125" customWidth="1"/>
    <col min="2586" max="2586" width="10.5703125" customWidth="1"/>
    <col min="2587" max="2587" width="9.28515625" customWidth="1"/>
    <col min="2588" max="2588" width="10.140625" customWidth="1"/>
    <col min="2589" max="2589" width="8.42578125" customWidth="1"/>
    <col min="2590" max="2590" width="9.5703125" customWidth="1"/>
    <col min="2591" max="2591" width="9.28515625" customWidth="1"/>
    <col min="2592" max="2592" width="8.85546875" customWidth="1"/>
    <col min="2593" max="2595" width="8" customWidth="1"/>
    <col min="2596" max="2596" width="8.7109375" customWidth="1"/>
    <col min="2597" max="2597" width="8.140625" customWidth="1"/>
    <col min="2598" max="2598" width="10.5703125" customWidth="1"/>
    <col min="2599" max="2599" width="9.85546875" customWidth="1"/>
    <col min="2600" max="2600" width="13.140625" customWidth="1"/>
    <col min="2601" max="2601" width="25.42578125" customWidth="1"/>
    <col min="2602" max="2602" width="30.85546875" customWidth="1"/>
    <col min="2603" max="2603" width="27.42578125" customWidth="1"/>
    <col min="2817" max="2817" width="13" bestFit="1" customWidth="1"/>
    <col min="2818" max="2818" width="6.85546875" customWidth="1"/>
    <col min="2819" max="2819" width="14.28515625" customWidth="1"/>
    <col min="2820" max="2820" width="14" customWidth="1"/>
    <col min="2821" max="2821" width="17.85546875" customWidth="1"/>
    <col min="2822" max="2822" width="3.5703125" customWidth="1"/>
    <col min="2823" max="2823" width="13.28515625" customWidth="1"/>
    <col min="2824" max="2824" width="5.85546875" customWidth="1"/>
    <col min="2825" max="2825" width="23.28515625" customWidth="1"/>
    <col min="2826" max="2826" width="17.140625" customWidth="1"/>
    <col min="2827" max="2827" width="50.5703125" customWidth="1"/>
    <col min="2828" max="2828" width="28.7109375" customWidth="1"/>
    <col min="2829" max="2829" width="25.140625" customWidth="1"/>
    <col min="2830" max="2830" width="36.7109375" customWidth="1"/>
    <col min="2831" max="2832" width="24.5703125" customWidth="1"/>
    <col min="2833" max="2833" width="17.85546875" customWidth="1"/>
    <col min="2834" max="2834" width="27.5703125" bestFit="1" customWidth="1"/>
    <col min="2835" max="2835" width="37.28515625" customWidth="1"/>
    <col min="2836" max="2836" width="48.42578125" customWidth="1"/>
    <col min="2837" max="2837" width="32" customWidth="1"/>
    <col min="2838" max="2838" width="32.7109375" customWidth="1"/>
    <col min="2839" max="2839" width="18.5703125" customWidth="1"/>
    <col min="2840" max="2840" width="16.7109375" customWidth="1"/>
    <col min="2841" max="2841" width="10.42578125" customWidth="1"/>
    <col min="2842" max="2842" width="10.5703125" customWidth="1"/>
    <col min="2843" max="2843" width="9.28515625" customWidth="1"/>
    <col min="2844" max="2844" width="10.140625" customWidth="1"/>
    <col min="2845" max="2845" width="8.42578125" customWidth="1"/>
    <col min="2846" max="2846" width="9.5703125" customWidth="1"/>
    <col min="2847" max="2847" width="9.28515625" customWidth="1"/>
    <col min="2848" max="2848" width="8.85546875" customWidth="1"/>
    <col min="2849" max="2851" width="8" customWidth="1"/>
    <col min="2852" max="2852" width="8.7109375" customWidth="1"/>
    <col min="2853" max="2853" width="8.140625" customWidth="1"/>
    <col min="2854" max="2854" width="10.5703125" customWidth="1"/>
    <col min="2855" max="2855" width="9.85546875" customWidth="1"/>
    <col min="2856" max="2856" width="13.140625" customWidth="1"/>
    <col min="2857" max="2857" width="25.42578125" customWidth="1"/>
    <col min="2858" max="2858" width="30.85546875" customWidth="1"/>
    <col min="2859" max="2859" width="27.42578125" customWidth="1"/>
    <col min="3073" max="3073" width="13" bestFit="1" customWidth="1"/>
    <col min="3074" max="3074" width="6.85546875" customWidth="1"/>
    <col min="3075" max="3075" width="14.28515625" customWidth="1"/>
    <col min="3076" max="3076" width="14" customWidth="1"/>
    <col min="3077" max="3077" width="17.85546875" customWidth="1"/>
    <col min="3078" max="3078" width="3.5703125" customWidth="1"/>
    <col min="3079" max="3079" width="13.28515625" customWidth="1"/>
    <col min="3080" max="3080" width="5.85546875" customWidth="1"/>
    <col min="3081" max="3081" width="23.28515625" customWidth="1"/>
    <col min="3082" max="3082" width="17.140625" customWidth="1"/>
    <col min="3083" max="3083" width="50.5703125" customWidth="1"/>
    <col min="3084" max="3084" width="28.7109375" customWidth="1"/>
    <col min="3085" max="3085" width="25.140625" customWidth="1"/>
    <col min="3086" max="3086" width="36.7109375" customWidth="1"/>
    <col min="3087" max="3088" width="24.5703125" customWidth="1"/>
    <col min="3089" max="3089" width="17.85546875" customWidth="1"/>
    <col min="3090" max="3090" width="27.5703125" bestFit="1" customWidth="1"/>
    <col min="3091" max="3091" width="37.28515625" customWidth="1"/>
    <col min="3092" max="3092" width="48.42578125" customWidth="1"/>
    <col min="3093" max="3093" width="32" customWidth="1"/>
    <col min="3094" max="3094" width="32.7109375" customWidth="1"/>
    <col min="3095" max="3095" width="18.5703125" customWidth="1"/>
    <col min="3096" max="3096" width="16.7109375" customWidth="1"/>
    <col min="3097" max="3097" width="10.42578125" customWidth="1"/>
    <col min="3098" max="3098" width="10.5703125" customWidth="1"/>
    <col min="3099" max="3099" width="9.28515625" customWidth="1"/>
    <col min="3100" max="3100" width="10.140625" customWidth="1"/>
    <col min="3101" max="3101" width="8.42578125" customWidth="1"/>
    <col min="3102" max="3102" width="9.5703125" customWidth="1"/>
    <col min="3103" max="3103" width="9.28515625" customWidth="1"/>
    <col min="3104" max="3104" width="8.85546875" customWidth="1"/>
    <col min="3105" max="3107" width="8" customWidth="1"/>
    <col min="3108" max="3108" width="8.7109375" customWidth="1"/>
    <col min="3109" max="3109" width="8.140625" customWidth="1"/>
    <col min="3110" max="3110" width="10.5703125" customWidth="1"/>
    <col min="3111" max="3111" width="9.85546875" customWidth="1"/>
    <col min="3112" max="3112" width="13.140625" customWidth="1"/>
    <col min="3113" max="3113" width="25.42578125" customWidth="1"/>
    <col min="3114" max="3114" width="30.85546875" customWidth="1"/>
    <col min="3115" max="3115" width="27.42578125" customWidth="1"/>
    <col min="3329" max="3329" width="13" bestFit="1" customWidth="1"/>
    <col min="3330" max="3330" width="6.85546875" customWidth="1"/>
    <col min="3331" max="3331" width="14.28515625" customWidth="1"/>
    <col min="3332" max="3332" width="14" customWidth="1"/>
    <col min="3333" max="3333" width="17.85546875" customWidth="1"/>
    <col min="3334" max="3334" width="3.5703125" customWidth="1"/>
    <col min="3335" max="3335" width="13.28515625" customWidth="1"/>
    <col min="3336" max="3336" width="5.85546875" customWidth="1"/>
    <col min="3337" max="3337" width="23.28515625" customWidth="1"/>
    <col min="3338" max="3338" width="17.140625" customWidth="1"/>
    <col min="3339" max="3339" width="50.5703125" customWidth="1"/>
    <col min="3340" max="3340" width="28.7109375" customWidth="1"/>
    <col min="3341" max="3341" width="25.140625" customWidth="1"/>
    <col min="3342" max="3342" width="36.7109375" customWidth="1"/>
    <col min="3343" max="3344" width="24.5703125" customWidth="1"/>
    <col min="3345" max="3345" width="17.85546875" customWidth="1"/>
    <col min="3346" max="3346" width="27.5703125" bestFit="1" customWidth="1"/>
    <col min="3347" max="3347" width="37.28515625" customWidth="1"/>
    <col min="3348" max="3348" width="48.42578125" customWidth="1"/>
    <col min="3349" max="3349" width="32" customWidth="1"/>
    <col min="3350" max="3350" width="32.7109375" customWidth="1"/>
    <col min="3351" max="3351" width="18.5703125" customWidth="1"/>
    <col min="3352" max="3352" width="16.7109375" customWidth="1"/>
    <col min="3353" max="3353" width="10.42578125" customWidth="1"/>
    <col min="3354" max="3354" width="10.5703125" customWidth="1"/>
    <col min="3355" max="3355" width="9.28515625" customWidth="1"/>
    <col min="3356" max="3356" width="10.140625" customWidth="1"/>
    <col min="3357" max="3357" width="8.42578125" customWidth="1"/>
    <col min="3358" max="3358" width="9.5703125" customWidth="1"/>
    <col min="3359" max="3359" width="9.28515625" customWidth="1"/>
    <col min="3360" max="3360" width="8.85546875" customWidth="1"/>
    <col min="3361" max="3363" width="8" customWidth="1"/>
    <col min="3364" max="3364" width="8.7109375" customWidth="1"/>
    <col min="3365" max="3365" width="8.140625" customWidth="1"/>
    <col min="3366" max="3366" width="10.5703125" customWidth="1"/>
    <col min="3367" max="3367" width="9.85546875" customWidth="1"/>
    <col min="3368" max="3368" width="13.140625" customWidth="1"/>
    <col min="3369" max="3369" width="25.42578125" customWidth="1"/>
    <col min="3370" max="3370" width="30.85546875" customWidth="1"/>
    <col min="3371" max="3371" width="27.42578125" customWidth="1"/>
    <col min="3585" max="3585" width="13" bestFit="1" customWidth="1"/>
    <col min="3586" max="3586" width="6.85546875" customWidth="1"/>
    <col min="3587" max="3587" width="14.28515625" customWidth="1"/>
    <col min="3588" max="3588" width="14" customWidth="1"/>
    <col min="3589" max="3589" width="17.85546875" customWidth="1"/>
    <col min="3590" max="3590" width="3.5703125" customWidth="1"/>
    <col min="3591" max="3591" width="13.28515625" customWidth="1"/>
    <col min="3592" max="3592" width="5.85546875" customWidth="1"/>
    <col min="3593" max="3593" width="23.28515625" customWidth="1"/>
    <col min="3594" max="3594" width="17.140625" customWidth="1"/>
    <col min="3595" max="3595" width="50.5703125" customWidth="1"/>
    <col min="3596" max="3596" width="28.7109375" customWidth="1"/>
    <col min="3597" max="3597" width="25.140625" customWidth="1"/>
    <col min="3598" max="3598" width="36.7109375" customWidth="1"/>
    <col min="3599" max="3600" width="24.5703125" customWidth="1"/>
    <col min="3601" max="3601" width="17.85546875" customWidth="1"/>
    <col min="3602" max="3602" width="27.5703125" bestFit="1" customWidth="1"/>
    <col min="3603" max="3603" width="37.28515625" customWidth="1"/>
    <col min="3604" max="3604" width="48.42578125" customWidth="1"/>
    <col min="3605" max="3605" width="32" customWidth="1"/>
    <col min="3606" max="3606" width="32.7109375" customWidth="1"/>
    <col min="3607" max="3607" width="18.5703125" customWidth="1"/>
    <col min="3608" max="3608" width="16.7109375" customWidth="1"/>
    <col min="3609" max="3609" width="10.42578125" customWidth="1"/>
    <col min="3610" max="3610" width="10.5703125" customWidth="1"/>
    <col min="3611" max="3611" width="9.28515625" customWidth="1"/>
    <col min="3612" max="3612" width="10.140625" customWidth="1"/>
    <col min="3613" max="3613" width="8.42578125" customWidth="1"/>
    <col min="3614" max="3614" width="9.5703125" customWidth="1"/>
    <col min="3615" max="3615" width="9.28515625" customWidth="1"/>
    <col min="3616" max="3616" width="8.85546875" customWidth="1"/>
    <col min="3617" max="3619" width="8" customWidth="1"/>
    <col min="3620" max="3620" width="8.7109375" customWidth="1"/>
    <col min="3621" max="3621" width="8.140625" customWidth="1"/>
    <col min="3622" max="3622" width="10.5703125" customWidth="1"/>
    <col min="3623" max="3623" width="9.85546875" customWidth="1"/>
    <col min="3624" max="3624" width="13.140625" customWidth="1"/>
    <col min="3625" max="3625" width="25.42578125" customWidth="1"/>
    <col min="3626" max="3626" width="30.85546875" customWidth="1"/>
    <col min="3627" max="3627" width="27.42578125" customWidth="1"/>
    <col min="3841" max="3841" width="13" bestFit="1" customWidth="1"/>
    <col min="3842" max="3842" width="6.85546875" customWidth="1"/>
    <col min="3843" max="3843" width="14.28515625" customWidth="1"/>
    <col min="3844" max="3844" width="14" customWidth="1"/>
    <col min="3845" max="3845" width="17.85546875" customWidth="1"/>
    <col min="3846" max="3846" width="3.5703125" customWidth="1"/>
    <col min="3847" max="3847" width="13.28515625" customWidth="1"/>
    <col min="3848" max="3848" width="5.85546875" customWidth="1"/>
    <col min="3849" max="3849" width="23.28515625" customWidth="1"/>
    <col min="3850" max="3850" width="17.140625" customWidth="1"/>
    <col min="3851" max="3851" width="50.5703125" customWidth="1"/>
    <col min="3852" max="3852" width="28.7109375" customWidth="1"/>
    <col min="3853" max="3853" width="25.140625" customWidth="1"/>
    <col min="3854" max="3854" width="36.7109375" customWidth="1"/>
    <col min="3855" max="3856" width="24.5703125" customWidth="1"/>
    <col min="3857" max="3857" width="17.85546875" customWidth="1"/>
    <col min="3858" max="3858" width="27.5703125" bestFit="1" customWidth="1"/>
    <col min="3859" max="3859" width="37.28515625" customWidth="1"/>
    <col min="3860" max="3860" width="48.42578125" customWidth="1"/>
    <col min="3861" max="3861" width="32" customWidth="1"/>
    <col min="3862" max="3862" width="32.7109375" customWidth="1"/>
    <col min="3863" max="3863" width="18.5703125" customWidth="1"/>
    <col min="3864" max="3864" width="16.7109375" customWidth="1"/>
    <col min="3865" max="3865" width="10.42578125" customWidth="1"/>
    <col min="3866" max="3866" width="10.5703125" customWidth="1"/>
    <col min="3867" max="3867" width="9.28515625" customWidth="1"/>
    <col min="3868" max="3868" width="10.140625" customWidth="1"/>
    <col min="3869" max="3869" width="8.42578125" customWidth="1"/>
    <col min="3870" max="3870" width="9.5703125" customWidth="1"/>
    <col min="3871" max="3871" width="9.28515625" customWidth="1"/>
    <col min="3872" max="3872" width="8.85546875" customWidth="1"/>
    <col min="3873" max="3875" width="8" customWidth="1"/>
    <col min="3876" max="3876" width="8.7109375" customWidth="1"/>
    <col min="3877" max="3877" width="8.140625" customWidth="1"/>
    <col min="3878" max="3878" width="10.5703125" customWidth="1"/>
    <col min="3879" max="3879" width="9.85546875" customWidth="1"/>
    <col min="3880" max="3880" width="13.140625" customWidth="1"/>
    <col min="3881" max="3881" width="25.42578125" customWidth="1"/>
    <col min="3882" max="3882" width="30.85546875" customWidth="1"/>
    <col min="3883" max="3883" width="27.42578125" customWidth="1"/>
    <col min="4097" max="4097" width="13" bestFit="1" customWidth="1"/>
    <col min="4098" max="4098" width="6.85546875" customWidth="1"/>
    <col min="4099" max="4099" width="14.28515625" customWidth="1"/>
    <col min="4100" max="4100" width="14" customWidth="1"/>
    <col min="4101" max="4101" width="17.85546875" customWidth="1"/>
    <col min="4102" max="4102" width="3.5703125" customWidth="1"/>
    <col min="4103" max="4103" width="13.28515625" customWidth="1"/>
    <col min="4104" max="4104" width="5.85546875" customWidth="1"/>
    <col min="4105" max="4105" width="23.28515625" customWidth="1"/>
    <col min="4106" max="4106" width="17.140625" customWidth="1"/>
    <col min="4107" max="4107" width="50.5703125" customWidth="1"/>
    <col min="4108" max="4108" width="28.7109375" customWidth="1"/>
    <col min="4109" max="4109" width="25.140625" customWidth="1"/>
    <col min="4110" max="4110" width="36.7109375" customWidth="1"/>
    <col min="4111" max="4112" width="24.5703125" customWidth="1"/>
    <col min="4113" max="4113" width="17.85546875" customWidth="1"/>
    <col min="4114" max="4114" width="27.5703125" bestFit="1" customWidth="1"/>
    <col min="4115" max="4115" width="37.28515625" customWidth="1"/>
    <col min="4116" max="4116" width="48.42578125" customWidth="1"/>
    <col min="4117" max="4117" width="32" customWidth="1"/>
    <col min="4118" max="4118" width="32.7109375" customWidth="1"/>
    <col min="4119" max="4119" width="18.5703125" customWidth="1"/>
    <col min="4120" max="4120" width="16.7109375" customWidth="1"/>
    <col min="4121" max="4121" width="10.42578125" customWidth="1"/>
    <col min="4122" max="4122" width="10.5703125" customWidth="1"/>
    <col min="4123" max="4123" width="9.28515625" customWidth="1"/>
    <col min="4124" max="4124" width="10.140625" customWidth="1"/>
    <col min="4125" max="4125" width="8.42578125" customWidth="1"/>
    <col min="4126" max="4126" width="9.5703125" customWidth="1"/>
    <col min="4127" max="4127" width="9.28515625" customWidth="1"/>
    <col min="4128" max="4128" width="8.85546875" customWidth="1"/>
    <col min="4129" max="4131" width="8" customWidth="1"/>
    <col min="4132" max="4132" width="8.7109375" customWidth="1"/>
    <col min="4133" max="4133" width="8.140625" customWidth="1"/>
    <col min="4134" max="4134" width="10.5703125" customWidth="1"/>
    <col min="4135" max="4135" width="9.85546875" customWidth="1"/>
    <col min="4136" max="4136" width="13.140625" customWidth="1"/>
    <col min="4137" max="4137" width="25.42578125" customWidth="1"/>
    <col min="4138" max="4138" width="30.85546875" customWidth="1"/>
    <col min="4139" max="4139" width="27.42578125" customWidth="1"/>
    <col min="4353" max="4353" width="13" bestFit="1" customWidth="1"/>
    <col min="4354" max="4354" width="6.85546875" customWidth="1"/>
    <col min="4355" max="4355" width="14.28515625" customWidth="1"/>
    <col min="4356" max="4356" width="14" customWidth="1"/>
    <col min="4357" max="4357" width="17.85546875" customWidth="1"/>
    <col min="4358" max="4358" width="3.5703125" customWidth="1"/>
    <col min="4359" max="4359" width="13.28515625" customWidth="1"/>
    <col min="4360" max="4360" width="5.85546875" customWidth="1"/>
    <col min="4361" max="4361" width="23.28515625" customWidth="1"/>
    <col min="4362" max="4362" width="17.140625" customWidth="1"/>
    <col min="4363" max="4363" width="50.5703125" customWidth="1"/>
    <col min="4364" max="4364" width="28.7109375" customWidth="1"/>
    <col min="4365" max="4365" width="25.140625" customWidth="1"/>
    <col min="4366" max="4366" width="36.7109375" customWidth="1"/>
    <col min="4367" max="4368" width="24.5703125" customWidth="1"/>
    <col min="4369" max="4369" width="17.85546875" customWidth="1"/>
    <col min="4370" max="4370" width="27.5703125" bestFit="1" customWidth="1"/>
    <col min="4371" max="4371" width="37.28515625" customWidth="1"/>
    <col min="4372" max="4372" width="48.42578125" customWidth="1"/>
    <col min="4373" max="4373" width="32" customWidth="1"/>
    <col min="4374" max="4374" width="32.7109375" customWidth="1"/>
    <col min="4375" max="4375" width="18.5703125" customWidth="1"/>
    <col min="4376" max="4376" width="16.7109375" customWidth="1"/>
    <col min="4377" max="4377" width="10.42578125" customWidth="1"/>
    <col min="4378" max="4378" width="10.5703125" customWidth="1"/>
    <col min="4379" max="4379" width="9.28515625" customWidth="1"/>
    <col min="4380" max="4380" width="10.140625" customWidth="1"/>
    <col min="4381" max="4381" width="8.42578125" customWidth="1"/>
    <col min="4382" max="4382" width="9.5703125" customWidth="1"/>
    <col min="4383" max="4383" width="9.28515625" customWidth="1"/>
    <col min="4384" max="4384" width="8.85546875" customWidth="1"/>
    <col min="4385" max="4387" width="8" customWidth="1"/>
    <col min="4388" max="4388" width="8.7109375" customWidth="1"/>
    <col min="4389" max="4389" width="8.140625" customWidth="1"/>
    <col min="4390" max="4390" width="10.5703125" customWidth="1"/>
    <col min="4391" max="4391" width="9.85546875" customWidth="1"/>
    <col min="4392" max="4392" width="13.140625" customWidth="1"/>
    <col min="4393" max="4393" width="25.42578125" customWidth="1"/>
    <col min="4394" max="4394" width="30.85546875" customWidth="1"/>
    <col min="4395" max="4395" width="27.42578125" customWidth="1"/>
    <col min="4609" max="4609" width="13" bestFit="1" customWidth="1"/>
    <col min="4610" max="4610" width="6.85546875" customWidth="1"/>
    <col min="4611" max="4611" width="14.28515625" customWidth="1"/>
    <col min="4612" max="4612" width="14" customWidth="1"/>
    <col min="4613" max="4613" width="17.85546875" customWidth="1"/>
    <col min="4614" max="4614" width="3.5703125" customWidth="1"/>
    <col min="4615" max="4615" width="13.28515625" customWidth="1"/>
    <col min="4616" max="4616" width="5.85546875" customWidth="1"/>
    <col min="4617" max="4617" width="23.28515625" customWidth="1"/>
    <col min="4618" max="4618" width="17.140625" customWidth="1"/>
    <col min="4619" max="4619" width="50.5703125" customWidth="1"/>
    <col min="4620" max="4620" width="28.7109375" customWidth="1"/>
    <col min="4621" max="4621" width="25.140625" customWidth="1"/>
    <col min="4622" max="4622" width="36.7109375" customWidth="1"/>
    <col min="4623" max="4624" width="24.5703125" customWidth="1"/>
    <col min="4625" max="4625" width="17.85546875" customWidth="1"/>
    <col min="4626" max="4626" width="27.5703125" bestFit="1" customWidth="1"/>
    <col min="4627" max="4627" width="37.28515625" customWidth="1"/>
    <col min="4628" max="4628" width="48.42578125" customWidth="1"/>
    <col min="4629" max="4629" width="32" customWidth="1"/>
    <col min="4630" max="4630" width="32.7109375" customWidth="1"/>
    <col min="4631" max="4631" width="18.5703125" customWidth="1"/>
    <col min="4632" max="4632" width="16.7109375" customWidth="1"/>
    <col min="4633" max="4633" width="10.42578125" customWidth="1"/>
    <col min="4634" max="4634" width="10.5703125" customWidth="1"/>
    <col min="4635" max="4635" width="9.28515625" customWidth="1"/>
    <col min="4636" max="4636" width="10.140625" customWidth="1"/>
    <col min="4637" max="4637" width="8.42578125" customWidth="1"/>
    <col min="4638" max="4638" width="9.5703125" customWidth="1"/>
    <col min="4639" max="4639" width="9.28515625" customWidth="1"/>
    <col min="4640" max="4640" width="8.85546875" customWidth="1"/>
    <col min="4641" max="4643" width="8" customWidth="1"/>
    <col min="4644" max="4644" width="8.7109375" customWidth="1"/>
    <col min="4645" max="4645" width="8.140625" customWidth="1"/>
    <col min="4646" max="4646" width="10.5703125" customWidth="1"/>
    <col min="4647" max="4647" width="9.85546875" customWidth="1"/>
    <col min="4648" max="4648" width="13.140625" customWidth="1"/>
    <col min="4649" max="4649" width="25.42578125" customWidth="1"/>
    <col min="4650" max="4650" width="30.85546875" customWidth="1"/>
    <col min="4651" max="4651" width="27.42578125" customWidth="1"/>
    <col min="4865" max="4865" width="13" bestFit="1" customWidth="1"/>
    <col min="4866" max="4866" width="6.85546875" customWidth="1"/>
    <col min="4867" max="4867" width="14.28515625" customWidth="1"/>
    <col min="4868" max="4868" width="14" customWidth="1"/>
    <col min="4869" max="4869" width="17.85546875" customWidth="1"/>
    <col min="4870" max="4870" width="3.5703125" customWidth="1"/>
    <col min="4871" max="4871" width="13.28515625" customWidth="1"/>
    <col min="4872" max="4872" width="5.85546875" customWidth="1"/>
    <col min="4873" max="4873" width="23.28515625" customWidth="1"/>
    <col min="4874" max="4874" width="17.140625" customWidth="1"/>
    <col min="4875" max="4875" width="50.5703125" customWidth="1"/>
    <col min="4876" max="4876" width="28.7109375" customWidth="1"/>
    <col min="4877" max="4877" width="25.140625" customWidth="1"/>
    <col min="4878" max="4878" width="36.7109375" customWidth="1"/>
    <col min="4879" max="4880" width="24.5703125" customWidth="1"/>
    <col min="4881" max="4881" width="17.85546875" customWidth="1"/>
    <col min="4882" max="4882" width="27.5703125" bestFit="1" customWidth="1"/>
    <col min="4883" max="4883" width="37.28515625" customWidth="1"/>
    <col min="4884" max="4884" width="48.42578125" customWidth="1"/>
    <col min="4885" max="4885" width="32" customWidth="1"/>
    <col min="4886" max="4886" width="32.7109375" customWidth="1"/>
    <col min="4887" max="4887" width="18.5703125" customWidth="1"/>
    <col min="4888" max="4888" width="16.7109375" customWidth="1"/>
    <col min="4889" max="4889" width="10.42578125" customWidth="1"/>
    <col min="4890" max="4890" width="10.5703125" customWidth="1"/>
    <col min="4891" max="4891" width="9.28515625" customWidth="1"/>
    <col min="4892" max="4892" width="10.140625" customWidth="1"/>
    <col min="4893" max="4893" width="8.42578125" customWidth="1"/>
    <col min="4894" max="4894" width="9.5703125" customWidth="1"/>
    <col min="4895" max="4895" width="9.28515625" customWidth="1"/>
    <col min="4896" max="4896" width="8.85546875" customWidth="1"/>
    <col min="4897" max="4899" width="8" customWidth="1"/>
    <col min="4900" max="4900" width="8.7109375" customWidth="1"/>
    <col min="4901" max="4901" width="8.140625" customWidth="1"/>
    <col min="4902" max="4902" width="10.5703125" customWidth="1"/>
    <col min="4903" max="4903" width="9.85546875" customWidth="1"/>
    <col min="4904" max="4904" width="13.140625" customWidth="1"/>
    <col min="4905" max="4905" width="25.42578125" customWidth="1"/>
    <col min="4906" max="4906" width="30.85546875" customWidth="1"/>
    <col min="4907" max="4907" width="27.42578125" customWidth="1"/>
    <col min="5121" max="5121" width="13" bestFit="1" customWidth="1"/>
    <col min="5122" max="5122" width="6.85546875" customWidth="1"/>
    <col min="5123" max="5123" width="14.28515625" customWidth="1"/>
    <col min="5124" max="5124" width="14" customWidth="1"/>
    <col min="5125" max="5125" width="17.85546875" customWidth="1"/>
    <col min="5126" max="5126" width="3.5703125" customWidth="1"/>
    <col min="5127" max="5127" width="13.28515625" customWidth="1"/>
    <col min="5128" max="5128" width="5.85546875" customWidth="1"/>
    <col min="5129" max="5129" width="23.28515625" customWidth="1"/>
    <col min="5130" max="5130" width="17.140625" customWidth="1"/>
    <col min="5131" max="5131" width="50.5703125" customWidth="1"/>
    <col min="5132" max="5132" width="28.7109375" customWidth="1"/>
    <col min="5133" max="5133" width="25.140625" customWidth="1"/>
    <col min="5134" max="5134" width="36.7109375" customWidth="1"/>
    <col min="5135" max="5136" width="24.5703125" customWidth="1"/>
    <col min="5137" max="5137" width="17.85546875" customWidth="1"/>
    <col min="5138" max="5138" width="27.5703125" bestFit="1" customWidth="1"/>
    <col min="5139" max="5139" width="37.28515625" customWidth="1"/>
    <col min="5140" max="5140" width="48.42578125" customWidth="1"/>
    <col min="5141" max="5141" width="32" customWidth="1"/>
    <col min="5142" max="5142" width="32.7109375" customWidth="1"/>
    <col min="5143" max="5143" width="18.5703125" customWidth="1"/>
    <col min="5144" max="5144" width="16.7109375" customWidth="1"/>
    <col min="5145" max="5145" width="10.42578125" customWidth="1"/>
    <col min="5146" max="5146" width="10.5703125" customWidth="1"/>
    <col min="5147" max="5147" width="9.28515625" customWidth="1"/>
    <col min="5148" max="5148" width="10.140625" customWidth="1"/>
    <col min="5149" max="5149" width="8.42578125" customWidth="1"/>
    <col min="5150" max="5150" width="9.5703125" customWidth="1"/>
    <col min="5151" max="5151" width="9.28515625" customWidth="1"/>
    <col min="5152" max="5152" width="8.85546875" customWidth="1"/>
    <col min="5153" max="5155" width="8" customWidth="1"/>
    <col min="5156" max="5156" width="8.7109375" customWidth="1"/>
    <col min="5157" max="5157" width="8.140625" customWidth="1"/>
    <col min="5158" max="5158" width="10.5703125" customWidth="1"/>
    <col min="5159" max="5159" width="9.85546875" customWidth="1"/>
    <col min="5160" max="5160" width="13.140625" customWidth="1"/>
    <col min="5161" max="5161" width="25.42578125" customWidth="1"/>
    <col min="5162" max="5162" width="30.85546875" customWidth="1"/>
    <col min="5163" max="5163" width="27.42578125" customWidth="1"/>
    <col min="5377" max="5377" width="13" bestFit="1" customWidth="1"/>
    <col min="5378" max="5378" width="6.85546875" customWidth="1"/>
    <col min="5379" max="5379" width="14.28515625" customWidth="1"/>
    <col min="5380" max="5380" width="14" customWidth="1"/>
    <col min="5381" max="5381" width="17.85546875" customWidth="1"/>
    <col min="5382" max="5382" width="3.5703125" customWidth="1"/>
    <col min="5383" max="5383" width="13.28515625" customWidth="1"/>
    <col min="5384" max="5384" width="5.85546875" customWidth="1"/>
    <col min="5385" max="5385" width="23.28515625" customWidth="1"/>
    <col min="5386" max="5386" width="17.140625" customWidth="1"/>
    <col min="5387" max="5387" width="50.5703125" customWidth="1"/>
    <col min="5388" max="5388" width="28.7109375" customWidth="1"/>
    <col min="5389" max="5389" width="25.140625" customWidth="1"/>
    <col min="5390" max="5390" width="36.7109375" customWidth="1"/>
    <col min="5391" max="5392" width="24.5703125" customWidth="1"/>
    <col min="5393" max="5393" width="17.85546875" customWidth="1"/>
    <col min="5394" max="5394" width="27.5703125" bestFit="1" customWidth="1"/>
    <col min="5395" max="5395" width="37.28515625" customWidth="1"/>
    <col min="5396" max="5396" width="48.42578125" customWidth="1"/>
    <col min="5397" max="5397" width="32" customWidth="1"/>
    <col min="5398" max="5398" width="32.7109375" customWidth="1"/>
    <col min="5399" max="5399" width="18.5703125" customWidth="1"/>
    <col min="5400" max="5400" width="16.7109375" customWidth="1"/>
    <col min="5401" max="5401" width="10.42578125" customWidth="1"/>
    <col min="5402" max="5402" width="10.5703125" customWidth="1"/>
    <col min="5403" max="5403" width="9.28515625" customWidth="1"/>
    <col min="5404" max="5404" width="10.140625" customWidth="1"/>
    <col min="5405" max="5405" width="8.42578125" customWidth="1"/>
    <col min="5406" max="5406" width="9.5703125" customWidth="1"/>
    <col min="5407" max="5407" width="9.28515625" customWidth="1"/>
    <col min="5408" max="5408" width="8.85546875" customWidth="1"/>
    <col min="5409" max="5411" width="8" customWidth="1"/>
    <col min="5412" max="5412" width="8.7109375" customWidth="1"/>
    <col min="5413" max="5413" width="8.140625" customWidth="1"/>
    <col min="5414" max="5414" width="10.5703125" customWidth="1"/>
    <col min="5415" max="5415" width="9.85546875" customWidth="1"/>
    <col min="5416" max="5416" width="13.140625" customWidth="1"/>
    <col min="5417" max="5417" width="25.42578125" customWidth="1"/>
    <col min="5418" max="5418" width="30.85546875" customWidth="1"/>
    <col min="5419" max="5419" width="27.42578125" customWidth="1"/>
    <col min="5633" max="5633" width="13" bestFit="1" customWidth="1"/>
    <col min="5634" max="5634" width="6.85546875" customWidth="1"/>
    <col min="5635" max="5635" width="14.28515625" customWidth="1"/>
    <col min="5636" max="5636" width="14" customWidth="1"/>
    <col min="5637" max="5637" width="17.85546875" customWidth="1"/>
    <col min="5638" max="5638" width="3.5703125" customWidth="1"/>
    <col min="5639" max="5639" width="13.28515625" customWidth="1"/>
    <col min="5640" max="5640" width="5.85546875" customWidth="1"/>
    <col min="5641" max="5641" width="23.28515625" customWidth="1"/>
    <col min="5642" max="5642" width="17.140625" customWidth="1"/>
    <col min="5643" max="5643" width="50.5703125" customWidth="1"/>
    <col min="5644" max="5644" width="28.7109375" customWidth="1"/>
    <col min="5645" max="5645" width="25.140625" customWidth="1"/>
    <col min="5646" max="5646" width="36.7109375" customWidth="1"/>
    <col min="5647" max="5648" width="24.5703125" customWidth="1"/>
    <col min="5649" max="5649" width="17.85546875" customWidth="1"/>
    <col min="5650" max="5650" width="27.5703125" bestFit="1" customWidth="1"/>
    <col min="5651" max="5651" width="37.28515625" customWidth="1"/>
    <col min="5652" max="5652" width="48.42578125" customWidth="1"/>
    <col min="5653" max="5653" width="32" customWidth="1"/>
    <col min="5654" max="5654" width="32.7109375" customWidth="1"/>
    <col min="5655" max="5655" width="18.5703125" customWidth="1"/>
    <col min="5656" max="5656" width="16.7109375" customWidth="1"/>
    <col min="5657" max="5657" width="10.42578125" customWidth="1"/>
    <col min="5658" max="5658" width="10.5703125" customWidth="1"/>
    <col min="5659" max="5659" width="9.28515625" customWidth="1"/>
    <col min="5660" max="5660" width="10.140625" customWidth="1"/>
    <col min="5661" max="5661" width="8.42578125" customWidth="1"/>
    <col min="5662" max="5662" width="9.5703125" customWidth="1"/>
    <col min="5663" max="5663" width="9.28515625" customWidth="1"/>
    <col min="5664" max="5664" width="8.85546875" customWidth="1"/>
    <col min="5665" max="5667" width="8" customWidth="1"/>
    <col min="5668" max="5668" width="8.7109375" customWidth="1"/>
    <col min="5669" max="5669" width="8.140625" customWidth="1"/>
    <col min="5670" max="5670" width="10.5703125" customWidth="1"/>
    <col min="5671" max="5671" width="9.85546875" customWidth="1"/>
    <col min="5672" max="5672" width="13.140625" customWidth="1"/>
    <col min="5673" max="5673" width="25.42578125" customWidth="1"/>
    <col min="5674" max="5674" width="30.85546875" customWidth="1"/>
    <col min="5675" max="5675" width="27.42578125" customWidth="1"/>
    <col min="5889" max="5889" width="13" bestFit="1" customWidth="1"/>
    <col min="5890" max="5890" width="6.85546875" customWidth="1"/>
    <col min="5891" max="5891" width="14.28515625" customWidth="1"/>
    <col min="5892" max="5892" width="14" customWidth="1"/>
    <col min="5893" max="5893" width="17.85546875" customWidth="1"/>
    <col min="5894" max="5894" width="3.5703125" customWidth="1"/>
    <col min="5895" max="5895" width="13.28515625" customWidth="1"/>
    <col min="5896" max="5896" width="5.85546875" customWidth="1"/>
    <col min="5897" max="5897" width="23.28515625" customWidth="1"/>
    <col min="5898" max="5898" width="17.140625" customWidth="1"/>
    <col min="5899" max="5899" width="50.5703125" customWidth="1"/>
    <col min="5900" max="5900" width="28.7109375" customWidth="1"/>
    <col min="5901" max="5901" width="25.140625" customWidth="1"/>
    <col min="5902" max="5902" width="36.7109375" customWidth="1"/>
    <col min="5903" max="5904" width="24.5703125" customWidth="1"/>
    <col min="5905" max="5905" width="17.85546875" customWidth="1"/>
    <col min="5906" max="5906" width="27.5703125" bestFit="1" customWidth="1"/>
    <col min="5907" max="5907" width="37.28515625" customWidth="1"/>
    <col min="5908" max="5908" width="48.42578125" customWidth="1"/>
    <col min="5909" max="5909" width="32" customWidth="1"/>
    <col min="5910" max="5910" width="32.7109375" customWidth="1"/>
    <col min="5911" max="5911" width="18.5703125" customWidth="1"/>
    <col min="5912" max="5912" width="16.7109375" customWidth="1"/>
    <col min="5913" max="5913" width="10.42578125" customWidth="1"/>
    <col min="5914" max="5914" width="10.5703125" customWidth="1"/>
    <col min="5915" max="5915" width="9.28515625" customWidth="1"/>
    <col min="5916" max="5916" width="10.140625" customWidth="1"/>
    <col min="5917" max="5917" width="8.42578125" customWidth="1"/>
    <col min="5918" max="5918" width="9.5703125" customWidth="1"/>
    <col min="5919" max="5919" width="9.28515625" customWidth="1"/>
    <col min="5920" max="5920" width="8.85546875" customWidth="1"/>
    <col min="5921" max="5923" width="8" customWidth="1"/>
    <col min="5924" max="5924" width="8.7109375" customWidth="1"/>
    <col min="5925" max="5925" width="8.140625" customWidth="1"/>
    <col min="5926" max="5926" width="10.5703125" customWidth="1"/>
    <col min="5927" max="5927" width="9.85546875" customWidth="1"/>
    <col min="5928" max="5928" width="13.140625" customWidth="1"/>
    <col min="5929" max="5929" width="25.42578125" customWidth="1"/>
    <col min="5930" max="5930" width="30.85546875" customWidth="1"/>
    <col min="5931" max="5931" width="27.42578125" customWidth="1"/>
    <col min="6145" max="6145" width="13" bestFit="1" customWidth="1"/>
    <col min="6146" max="6146" width="6.85546875" customWidth="1"/>
    <col min="6147" max="6147" width="14.28515625" customWidth="1"/>
    <col min="6148" max="6148" width="14" customWidth="1"/>
    <col min="6149" max="6149" width="17.85546875" customWidth="1"/>
    <col min="6150" max="6150" width="3.5703125" customWidth="1"/>
    <col min="6151" max="6151" width="13.28515625" customWidth="1"/>
    <col min="6152" max="6152" width="5.85546875" customWidth="1"/>
    <col min="6153" max="6153" width="23.28515625" customWidth="1"/>
    <col min="6154" max="6154" width="17.140625" customWidth="1"/>
    <col min="6155" max="6155" width="50.5703125" customWidth="1"/>
    <col min="6156" max="6156" width="28.7109375" customWidth="1"/>
    <col min="6157" max="6157" width="25.140625" customWidth="1"/>
    <col min="6158" max="6158" width="36.7109375" customWidth="1"/>
    <col min="6159" max="6160" width="24.5703125" customWidth="1"/>
    <col min="6161" max="6161" width="17.85546875" customWidth="1"/>
    <col min="6162" max="6162" width="27.5703125" bestFit="1" customWidth="1"/>
    <col min="6163" max="6163" width="37.28515625" customWidth="1"/>
    <col min="6164" max="6164" width="48.42578125" customWidth="1"/>
    <col min="6165" max="6165" width="32" customWidth="1"/>
    <col min="6166" max="6166" width="32.7109375" customWidth="1"/>
    <col min="6167" max="6167" width="18.5703125" customWidth="1"/>
    <col min="6168" max="6168" width="16.7109375" customWidth="1"/>
    <col min="6169" max="6169" width="10.42578125" customWidth="1"/>
    <col min="6170" max="6170" width="10.5703125" customWidth="1"/>
    <col min="6171" max="6171" width="9.28515625" customWidth="1"/>
    <col min="6172" max="6172" width="10.140625" customWidth="1"/>
    <col min="6173" max="6173" width="8.42578125" customWidth="1"/>
    <col min="6174" max="6174" width="9.5703125" customWidth="1"/>
    <col min="6175" max="6175" width="9.28515625" customWidth="1"/>
    <col min="6176" max="6176" width="8.85546875" customWidth="1"/>
    <col min="6177" max="6179" width="8" customWidth="1"/>
    <col min="6180" max="6180" width="8.7109375" customWidth="1"/>
    <col min="6181" max="6181" width="8.140625" customWidth="1"/>
    <col min="6182" max="6182" width="10.5703125" customWidth="1"/>
    <col min="6183" max="6183" width="9.85546875" customWidth="1"/>
    <col min="6184" max="6184" width="13.140625" customWidth="1"/>
    <col min="6185" max="6185" width="25.42578125" customWidth="1"/>
    <col min="6186" max="6186" width="30.85546875" customWidth="1"/>
    <col min="6187" max="6187" width="27.42578125" customWidth="1"/>
    <col min="6401" max="6401" width="13" bestFit="1" customWidth="1"/>
    <col min="6402" max="6402" width="6.85546875" customWidth="1"/>
    <col min="6403" max="6403" width="14.28515625" customWidth="1"/>
    <col min="6404" max="6404" width="14" customWidth="1"/>
    <col min="6405" max="6405" width="17.85546875" customWidth="1"/>
    <col min="6406" max="6406" width="3.5703125" customWidth="1"/>
    <col min="6407" max="6407" width="13.28515625" customWidth="1"/>
    <col min="6408" max="6408" width="5.85546875" customWidth="1"/>
    <col min="6409" max="6409" width="23.28515625" customWidth="1"/>
    <col min="6410" max="6410" width="17.140625" customWidth="1"/>
    <col min="6411" max="6411" width="50.5703125" customWidth="1"/>
    <col min="6412" max="6412" width="28.7109375" customWidth="1"/>
    <col min="6413" max="6413" width="25.140625" customWidth="1"/>
    <col min="6414" max="6414" width="36.7109375" customWidth="1"/>
    <col min="6415" max="6416" width="24.5703125" customWidth="1"/>
    <col min="6417" max="6417" width="17.85546875" customWidth="1"/>
    <col min="6418" max="6418" width="27.5703125" bestFit="1" customWidth="1"/>
    <col min="6419" max="6419" width="37.28515625" customWidth="1"/>
    <col min="6420" max="6420" width="48.42578125" customWidth="1"/>
    <col min="6421" max="6421" width="32" customWidth="1"/>
    <col min="6422" max="6422" width="32.7109375" customWidth="1"/>
    <col min="6423" max="6423" width="18.5703125" customWidth="1"/>
    <col min="6424" max="6424" width="16.7109375" customWidth="1"/>
    <col min="6425" max="6425" width="10.42578125" customWidth="1"/>
    <col min="6426" max="6426" width="10.5703125" customWidth="1"/>
    <col min="6427" max="6427" width="9.28515625" customWidth="1"/>
    <col min="6428" max="6428" width="10.140625" customWidth="1"/>
    <col min="6429" max="6429" width="8.42578125" customWidth="1"/>
    <col min="6430" max="6430" width="9.5703125" customWidth="1"/>
    <col min="6431" max="6431" width="9.28515625" customWidth="1"/>
    <col min="6432" max="6432" width="8.85546875" customWidth="1"/>
    <col min="6433" max="6435" width="8" customWidth="1"/>
    <col min="6436" max="6436" width="8.7109375" customWidth="1"/>
    <col min="6437" max="6437" width="8.140625" customWidth="1"/>
    <col min="6438" max="6438" width="10.5703125" customWidth="1"/>
    <col min="6439" max="6439" width="9.85546875" customWidth="1"/>
    <col min="6440" max="6440" width="13.140625" customWidth="1"/>
    <col min="6441" max="6441" width="25.42578125" customWidth="1"/>
    <col min="6442" max="6442" width="30.85546875" customWidth="1"/>
    <col min="6443" max="6443" width="27.42578125" customWidth="1"/>
    <col min="6657" max="6657" width="13" bestFit="1" customWidth="1"/>
    <col min="6658" max="6658" width="6.85546875" customWidth="1"/>
    <col min="6659" max="6659" width="14.28515625" customWidth="1"/>
    <col min="6660" max="6660" width="14" customWidth="1"/>
    <col min="6661" max="6661" width="17.85546875" customWidth="1"/>
    <col min="6662" max="6662" width="3.5703125" customWidth="1"/>
    <col min="6663" max="6663" width="13.28515625" customWidth="1"/>
    <col min="6664" max="6664" width="5.85546875" customWidth="1"/>
    <col min="6665" max="6665" width="23.28515625" customWidth="1"/>
    <col min="6666" max="6666" width="17.140625" customWidth="1"/>
    <col min="6667" max="6667" width="50.5703125" customWidth="1"/>
    <col min="6668" max="6668" width="28.7109375" customWidth="1"/>
    <col min="6669" max="6669" width="25.140625" customWidth="1"/>
    <col min="6670" max="6670" width="36.7109375" customWidth="1"/>
    <col min="6671" max="6672" width="24.5703125" customWidth="1"/>
    <col min="6673" max="6673" width="17.85546875" customWidth="1"/>
    <col min="6674" max="6674" width="27.5703125" bestFit="1" customWidth="1"/>
    <col min="6675" max="6675" width="37.28515625" customWidth="1"/>
    <col min="6676" max="6676" width="48.42578125" customWidth="1"/>
    <col min="6677" max="6677" width="32" customWidth="1"/>
    <col min="6678" max="6678" width="32.7109375" customWidth="1"/>
    <col min="6679" max="6679" width="18.5703125" customWidth="1"/>
    <col min="6680" max="6680" width="16.7109375" customWidth="1"/>
    <col min="6681" max="6681" width="10.42578125" customWidth="1"/>
    <col min="6682" max="6682" width="10.5703125" customWidth="1"/>
    <col min="6683" max="6683" width="9.28515625" customWidth="1"/>
    <col min="6684" max="6684" width="10.140625" customWidth="1"/>
    <col min="6685" max="6685" width="8.42578125" customWidth="1"/>
    <col min="6686" max="6686" width="9.5703125" customWidth="1"/>
    <col min="6687" max="6687" width="9.28515625" customWidth="1"/>
    <col min="6688" max="6688" width="8.85546875" customWidth="1"/>
    <col min="6689" max="6691" width="8" customWidth="1"/>
    <col min="6692" max="6692" width="8.7109375" customWidth="1"/>
    <col min="6693" max="6693" width="8.140625" customWidth="1"/>
    <col min="6694" max="6694" width="10.5703125" customWidth="1"/>
    <col min="6695" max="6695" width="9.85546875" customWidth="1"/>
    <col min="6696" max="6696" width="13.140625" customWidth="1"/>
    <col min="6697" max="6697" width="25.42578125" customWidth="1"/>
    <col min="6698" max="6698" width="30.85546875" customWidth="1"/>
    <col min="6699" max="6699" width="27.42578125" customWidth="1"/>
    <col min="6913" max="6913" width="13" bestFit="1" customWidth="1"/>
    <col min="6914" max="6914" width="6.85546875" customWidth="1"/>
    <col min="6915" max="6915" width="14.28515625" customWidth="1"/>
    <col min="6916" max="6916" width="14" customWidth="1"/>
    <col min="6917" max="6917" width="17.85546875" customWidth="1"/>
    <col min="6918" max="6918" width="3.5703125" customWidth="1"/>
    <col min="6919" max="6919" width="13.28515625" customWidth="1"/>
    <col min="6920" max="6920" width="5.85546875" customWidth="1"/>
    <col min="6921" max="6921" width="23.28515625" customWidth="1"/>
    <col min="6922" max="6922" width="17.140625" customWidth="1"/>
    <col min="6923" max="6923" width="50.5703125" customWidth="1"/>
    <col min="6924" max="6924" width="28.7109375" customWidth="1"/>
    <col min="6925" max="6925" width="25.140625" customWidth="1"/>
    <col min="6926" max="6926" width="36.7109375" customWidth="1"/>
    <col min="6927" max="6928" width="24.5703125" customWidth="1"/>
    <col min="6929" max="6929" width="17.85546875" customWidth="1"/>
    <col min="6930" max="6930" width="27.5703125" bestFit="1" customWidth="1"/>
    <col min="6931" max="6931" width="37.28515625" customWidth="1"/>
    <col min="6932" max="6932" width="48.42578125" customWidth="1"/>
    <col min="6933" max="6933" width="32" customWidth="1"/>
    <col min="6934" max="6934" width="32.7109375" customWidth="1"/>
    <col min="6935" max="6935" width="18.5703125" customWidth="1"/>
    <col min="6936" max="6936" width="16.7109375" customWidth="1"/>
    <col min="6937" max="6937" width="10.42578125" customWidth="1"/>
    <col min="6938" max="6938" width="10.5703125" customWidth="1"/>
    <col min="6939" max="6939" width="9.28515625" customWidth="1"/>
    <col min="6940" max="6940" width="10.140625" customWidth="1"/>
    <col min="6941" max="6941" width="8.42578125" customWidth="1"/>
    <col min="6942" max="6942" width="9.5703125" customWidth="1"/>
    <col min="6943" max="6943" width="9.28515625" customWidth="1"/>
    <col min="6944" max="6944" width="8.85546875" customWidth="1"/>
    <col min="6945" max="6947" width="8" customWidth="1"/>
    <col min="6948" max="6948" width="8.7109375" customWidth="1"/>
    <col min="6949" max="6949" width="8.140625" customWidth="1"/>
    <col min="6950" max="6950" width="10.5703125" customWidth="1"/>
    <col min="6951" max="6951" width="9.85546875" customWidth="1"/>
    <col min="6952" max="6952" width="13.140625" customWidth="1"/>
    <col min="6953" max="6953" width="25.42578125" customWidth="1"/>
    <col min="6954" max="6954" width="30.85546875" customWidth="1"/>
    <col min="6955" max="6955" width="27.42578125" customWidth="1"/>
    <col min="7169" max="7169" width="13" bestFit="1" customWidth="1"/>
    <col min="7170" max="7170" width="6.85546875" customWidth="1"/>
    <col min="7171" max="7171" width="14.28515625" customWidth="1"/>
    <col min="7172" max="7172" width="14" customWidth="1"/>
    <col min="7173" max="7173" width="17.85546875" customWidth="1"/>
    <col min="7174" max="7174" width="3.5703125" customWidth="1"/>
    <col min="7175" max="7175" width="13.28515625" customWidth="1"/>
    <col min="7176" max="7176" width="5.85546875" customWidth="1"/>
    <col min="7177" max="7177" width="23.28515625" customWidth="1"/>
    <col min="7178" max="7178" width="17.140625" customWidth="1"/>
    <col min="7179" max="7179" width="50.5703125" customWidth="1"/>
    <col min="7180" max="7180" width="28.7109375" customWidth="1"/>
    <col min="7181" max="7181" width="25.140625" customWidth="1"/>
    <col min="7182" max="7182" width="36.7109375" customWidth="1"/>
    <col min="7183" max="7184" width="24.5703125" customWidth="1"/>
    <col min="7185" max="7185" width="17.85546875" customWidth="1"/>
    <col min="7186" max="7186" width="27.5703125" bestFit="1" customWidth="1"/>
    <col min="7187" max="7187" width="37.28515625" customWidth="1"/>
    <col min="7188" max="7188" width="48.42578125" customWidth="1"/>
    <col min="7189" max="7189" width="32" customWidth="1"/>
    <col min="7190" max="7190" width="32.7109375" customWidth="1"/>
    <col min="7191" max="7191" width="18.5703125" customWidth="1"/>
    <col min="7192" max="7192" width="16.7109375" customWidth="1"/>
    <col min="7193" max="7193" width="10.42578125" customWidth="1"/>
    <col min="7194" max="7194" width="10.5703125" customWidth="1"/>
    <col min="7195" max="7195" width="9.28515625" customWidth="1"/>
    <col min="7196" max="7196" width="10.140625" customWidth="1"/>
    <col min="7197" max="7197" width="8.42578125" customWidth="1"/>
    <col min="7198" max="7198" width="9.5703125" customWidth="1"/>
    <col min="7199" max="7199" width="9.28515625" customWidth="1"/>
    <col min="7200" max="7200" width="8.85546875" customWidth="1"/>
    <col min="7201" max="7203" width="8" customWidth="1"/>
    <col min="7204" max="7204" width="8.7109375" customWidth="1"/>
    <col min="7205" max="7205" width="8.140625" customWidth="1"/>
    <col min="7206" max="7206" width="10.5703125" customWidth="1"/>
    <col min="7207" max="7207" width="9.85546875" customWidth="1"/>
    <col min="7208" max="7208" width="13.140625" customWidth="1"/>
    <col min="7209" max="7209" width="25.42578125" customWidth="1"/>
    <col min="7210" max="7210" width="30.85546875" customWidth="1"/>
    <col min="7211" max="7211" width="27.42578125" customWidth="1"/>
    <col min="7425" max="7425" width="13" bestFit="1" customWidth="1"/>
    <col min="7426" max="7426" width="6.85546875" customWidth="1"/>
    <col min="7427" max="7427" width="14.28515625" customWidth="1"/>
    <col min="7428" max="7428" width="14" customWidth="1"/>
    <col min="7429" max="7429" width="17.85546875" customWidth="1"/>
    <col min="7430" max="7430" width="3.5703125" customWidth="1"/>
    <col min="7431" max="7431" width="13.28515625" customWidth="1"/>
    <col min="7432" max="7432" width="5.85546875" customWidth="1"/>
    <col min="7433" max="7433" width="23.28515625" customWidth="1"/>
    <col min="7434" max="7434" width="17.140625" customWidth="1"/>
    <col min="7435" max="7435" width="50.5703125" customWidth="1"/>
    <col min="7436" max="7436" width="28.7109375" customWidth="1"/>
    <col min="7437" max="7437" width="25.140625" customWidth="1"/>
    <col min="7438" max="7438" width="36.7109375" customWidth="1"/>
    <col min="7439" max="7440" width="24.5703125" customWidth="1"/>
    <col min="7441" max="7441" width="17.85546875" customWidth="1"/>
    <col min="7442" max="7442" width="27.5703125" bestFit="1" customWidth="1"/>
    <col min="7443" max="7443" width="37.28515625" customWidth="1"/>
    <col min="7444" max="7444" width="48.42578125" customWidth="1"/>
    <col min="7445" max="7445" width="32" customWidth="1"/>
    <col min="7446" max="7446" width="32.7109375" customWidth="1"/>
    <col min="7447" max="7447" width="18.5703125" customWidth="1"/>
    <col min="7448" max="7448" width="16.7109375" customWidth="1"/>
    <col min="7449" max="7449" width="10.42578125" customWidth="1"/>
    <col min="7450" max="7450" width="10.5703125" customWidth="1"/>
    <col min="7451" max="7451" width="9.28515625" customWidth="1"/>
    <col min="7452" max="7452" width="10.140625" customWidth="1"/>
    <col min="7453" max="7453" width="8.42578125" customWidth="1"/>
    <col min="7454" max="7454" width="9.5703125" customWidth="1"/>
    <col min="7455" max="7455" width="9.28515625" customWidth="1"/>
    <col min="7456" max="7456" width="8.85546875" customWidth="1"/>
    <col min="7457" max="7459" width="8" customWidth="1"/>
    <col min="7460" max="7460" width="8.7109375" customWidth="1"/>
    <col min="7461" max="7461" width="8.140625" customWidth="1"/>
    <col min="7462" max="7462" width="10.5703125" customWidth="1"/>
    <col min="7463" max="7463" width="9.85546875" customWidth="1"/>
    <col min="7464" max="7464" width="13.140625" customWidth="1"/>
    <col min="7465" max="7465" width="25.42578125" customWidth="1"/>
    <col min="7466" max="7466" width="30.85546875" customWidth="1"/>
    <col min="7467" max="7467" width="27.42578125" customWidth="1"/>
    <col min="7681" max="7681" width="13" bestFit="1" customWidth="1"/>
    <col min="7682" max="7682" width="6.85546875" customWidth="1"/>
    <col min="7683" max="7683" width="14.28515625" customWidth="1"/>
    <col min="7684" max="7684" width="14" customWidth="1"/>
    <col min="7685" max="7685" width="17.85546875" customWidth="1"/>
    <col min="7686" max="7686" width="3.5703125" customWidth="1"/>
    <col min="7687" max="7687" width="13.28515625" customWidth="1"/>
    <col min="7688" max="7688" width="5.85546875" customWidth="1"/>
    <col min="7689" max="7689" width="23.28515625" customWidth="1"/>
    <col min="7690" max="7690" width="17.140625" customWidth="1"/>
    <col min="7691" max="7691" width="50.5703125" customWidth="1"/>
    <col min="7692" max="7692" width="28.7109375" customWidth="1"/>
    <col min="7693" max="7693" width="25.140625" customWidth="1"/>
    <col min="7694" max="7694" width="36.7109375" customWidth="1"/>
    <col min="7695" max="7696" width="24.5703125" customWidth="1"/>
    <col min="7697" max="7697" width="17.85546875" customWidth="1"/>
    <col min="7698" max="7698" width="27.5703125" bestFit="1" customWidth="1"/>
    <col min="7699" max="7699" width="37.28515625" customWidth="1"/>
    <col min="7700" max="7700" width="48.42578125" customWidth="1"/>
    <col min="7701" max="7701" width="32" customWidth="1"/>
    <col min="7702" max="7702" width="32.7109375" customWidth="1"/>
    <col min="7703" max="7703" width="18.5703125" customWidth="1"/>
    <col min="7704" max="7704" width="16.7109375" customWidth="1"/>
    <col min="7705" max="7705" width="10.42578125" customWidth="1"/>
    <col min="7706" max="7706" width="10.5703125" customWidth="1"/>
    <col min="7707" max="7707" width="9.28515625" customWidth="1"/>
    <col min="7708" max="7708" width="10.140625" customWidth="1"/>
    <col min="7709" max="7709" width="8.42578125" customWidth="1"/>
    <col min="7710" max="7710" width="9.5703125" customWidth="1"/>
    <col min="7711" max="7711" width="9.28515625" customWidth="1"/>
    <col min="7712" max="7712" width="8.85546875" customWidth="1"/>
    <col min="7713" max="7715" width="8" customWidth="1"/>
    <col min="7716" max="7716" width="8.7109375" customWidth="1"/>
    <col min="7717" max="7717" width="8.140625" customWidth="1"/>
    <col min="7718" max="7718" width="10.5703125" customWidth="1"/>
    <col min="7719" max="7719" width="9.85546875" customWidth="1"/>
    <col min="7720" max="7720" width="13.140625" customWidth="1"/>
    <col min="7721" max="7721" width="25.42578125" customWidth="1"/>
    <col min="7722" max="7722" width="30.85546875" customWidth="1"/>
    <col min="7723" max="7723" width="27.42578125" customWidth="1"/>
    <col min="7937" max="7937" width="13" bestFit="1" customWidth="1"/>
    <col min="7938" max="7938" width="6.85546875" customWidth="1"/>
    <col min="7939" max="7939" width="14.28515625" customWidth="1"/>
    <col min="7940" max="7940" width="14" customWidth="1"/>
    <col min="7941" max="7941" width="17.85546875" customWidth="1"/>
    <col min="7942" max="7942" width="3.5703125" customWidth="1"/>
    <col min="7943" max="7943" width="13.28515625" customWidth="1"/>
    <col min="7944" max="7944" width="5.85546875" customWidth="1"/>
    <col min="7945" max="7945" width="23.28515625" customWidth="1"/>
    <col min="7946" max="7946" width="17.140625" customWidth="1"/>
    <col min="7947" max="7947" width="50.5703125" customWidth="1"/>
    <col min="7948" max="7948" width="28.7109375" customWidth="1"/>
    <col min="7949" max="7949" width="25.140625" customWidth="1"/>
    <col min="7950" max="7950" width="36.7109375" customWidth="1"/>
    <col min="7951" max="7952" width="24.5703125" customWidth="1"/>
    <col min="7953" max="7953" width="17.85546875" customWidth="1"/>
    <col min="7954" max="7954" width="27.5703125" bestFit="1" customWidth="1"/>
    <col min="7955" max="7955" width="37.28515625" customWidth="1"/>
    <col min="7956" max="7956" width="48.42578125" customWidth="1"/>
    <col min="7957" max="7957" width="32" customWidth="1"/>
    <col min="7958" max="7958" width="32.7109375" customWidth="1"/>
    <col min="7959" max="7959" width="18.5703125" customWidth="1"/>
    <col min="7960" max="7960" width="16.7109375" customWidth="1"/>
    <col min="7961" max="7961" width="10.42578125" customWidth="1"/>
    <col min="7962" max="7962" width="10.5703125" customWidth="1"/>
    <col min="7963" max="7963" width="9.28515625" customWidth="1"/>
    <col min="7964" max="7964" width="10.140625" customWidth="1"/>
    <col min="7965" max="7965" width="8.42578125" customWidth="1"/>
    <col min="7966" max="7966" width="9.5703125" customWidth="1"/>
    <col min="7967" max="7967" width="9.28515625" customWidth="1"/>
    <col min="7968" max="7968" width="8.85546875" customWidth="1"/>
    <col min="7969" max="7971" width="8" customWidth="1"/>
    <col min="7972" max="7972" width="8.7109375" customWidth="1"/>
    <col min="7973" max="7973" width="8.140625" customWidth="1"/>
    <col min="7974" max="7974" width="10.5703125" customWidth="1"/>
    <col min="7975" max="7975" width="9.85546875" customWidth="1"/>
    <col min="7976" max="7976" width="13.140625" customWidth="1"/>
    <col min="7977" max="7977" width="25.42578125" customWidth="1"/>
    <col min="7978" max="7978" width="30.85546875" customWidth="1"/>
    <col min="7979" max="7979" width="27.42578125" customWidth="1"/>
    <col min="8193" max="8193" width="13" bestFit="1" customWidth="1"/>
    <col min="8194" max="8194" width="6.85546875" customWidth="1"/>
    <col min="8195" max="8195" width="14.28515625" customWidth="1"/>
    <col min="8196" max="8196" width="14" customWidth="1"/>
    <col min="8197" max="8197" width="17.85546875" customWidth="1"/>
    <col min="8198" max="8198" width="3.5703125" customWidth="1"/>
    <col min="8199" max="8199" width="13.28515625" customWidth="1"/>
    <col min="8200" max="8200" width="5.85546875" customWidth="1"/>
    <col min="8201" max="8201" width="23.28515625" customWidth="1"/>
    <col min="8202" max="8202" width="17.140625" customWidth="1"/>
    <col min="8203" max="8203" width="50.5703125" customWidth="1"/>
    <col min="8204" max="8204" width="28.7109375" customWidth="1"/>
    <col min="8205" max="8205" width="25.140625" customWidth="1"/>
    <col min="8206" max="8206" width="36.7109375" customWidth="1"/>
    <col min="8207" max="8208" width="24.5703125" customWidth="1"/>
    <col min="8209" max="8209" width="17.85546875" customWidth="1"/>
    <col min="8210" max="8210" width="27.5703125" bestFit="1" customWidth="1"/>
    <col min="8211" max="8211" width="37.28515625" customWidth="1"/>
    <col min="8212" max="8212" width="48.42578125" customWidth="1"/>
    <col min="8213" max="8213" width="32" customWidth="1"/>
    <col min="8214" max="8214" width="32.7109375" customWidth="1"/>
    <col min="8215" max="8215" width="18.5703125" customWidth="1"/>
    <col min="8216" max="8216" width="16.7109375" customWidth="1"/>
    <col min="8217" max="8217" width="10.42578125" customWidth="1"/>
    <col min="8218" max="8218" width="10.5703125" customWidth="1"/>
    <col min="8219" max="8219" width="9.28515625" customWidth="1"/>
    <col min="8220" max="8220" width="10.140625" customWidth="1"/>
    <col min="8221" max="8221" width="8.42578125" customWidth="1"/>
    <col min="8222" max="8222" width="9.5703125" customWidth="1"/>
    <col min="8223" max="8223" width="9.28515625" customWidth="1"/>
    <col min="8224" max="8224" width="8.85546875" customWidth="1"/>
    <col min="8225" max="8227" width="8" customWidth="1"/>
    <col min="8228" max="8228" width="8.7109375" customWidth="1"/>
    <col min="8229" max="8229" width="8.140625" customWidth="1"/>
    <col min="8230" max="8230" width="10.5703125" customWidth="1"/>
    <col min="8231" max="8231" width="9.85546875" customWidth="1"/>
    <col min="8232" max="8232" width="13.140625" customWidth="1"/>
    <col min="8233" max="8233" width="25.42578125" customWidth="1"/>
    <col min="8234" max="8234" width="30.85546875" customWidth="1"/>
    <col min="8235" max="8235" width="27.42578125" customWidth="1"/>
    <col min="8449" max="8449" width="13" bestFit="1" customWidth="1"/>
    <col min="8450" max="8450" width="6.85546875" customWidth="1"/>
    <col min="8451" max="8451" width="14.28515625" customWidth="1"/>
    <col min="8452" max="8452" width="14" customWidth="1"/>
    <col min="8453" max="8453" width="17.85546875" customWidth="1"/>
    <col min="8454" max="8454" width="3.5703125" customWidth="1"/>
    <col min="8455" max="8455" width="13.28515625" customWidth="1"/>
    <col min="8456" max="8456" width="5.85546875" customWidth="1"/>
    <col min="8457" max="8457" width="23.28515625" customWidth="1"/>
    <col min="8458" max="8458" width="17.140625" customWidth="1"/>
    <col min="8459" max="8459" width="50.5703125" customWidth="1"/>
    <col min="8460" max="8460" width="28.7109375" customWidth="1"/>
    <col min="8461" max="8461" width="25.140625" customWidth="1"/>
    <col min="8462" max="8462" width="36.7109375" customWidth="1"/>
    <col min="8463" max="8464" width="24.5703125" customWidth="1"/>
    <col min="8465" max="8465" width="17.85546875" customWidth="1"/>
    <col min="8466" max="8466" width="27.5703125" bestFit="1" customWidth="1"/>
    <col min="8467" max="8467" width="37.28515625" customWidth="1"/>
    <col min="8468" max="8468" width="48.42578125" customWidth="1"/>
    <col min="8469" max="8469" width="32" customWidth="1"/>
    <col min="8470" max="8470" width="32.7109375" customWidth="1"/>
    <col min="8471" max="8471" width="18.5703125" customWidth="1"/>
    <col min="8472" max="8472" width="16.7109375" customWidth="1"/>
    <col min="8473" max="8473" width="10.42578125" customWidth="1"/>
    <col min="8474" max="8474" width="10.5703125" customWidth="1"/>
    <col min="8475" max="8475" width="9.28515625" customWidth="1"/>
    <col min="8476" max="8476" width="10.140625" customWidth="1"/>
    <col min="8477" max="8477" width="8.42578125" customWidth="1"/>
    <col min="8478" max="8478" width="9.5703125" customWidth="1"/>
    <col min="8479" max="8479" width="9.28515625" customWidth="1"/>
    <col min="8480" max="8480" width="8.85546875" customWidth="1"/>
    <col min="8481" max="8483" width="8" customWidth="1"/>
    <col min="8484" max="8484" width="8.7109375" customWidth="1"/>
    <col min="8485" max="8485" width="8.140625" customWidth="1"/>
    <col min="8486" max="8486" width="10.5703125" customWidth="1"/>
    <col min="8487" max="8487" width="9.85546875" customWidth="1"/>
    <col min="8488" max="8488" width="13.140625" customWidth="1"/>
    <col min="8489" max="8489" width="25.42578125" customWidth="1"/>
    <col min="8490" max="8490" width="30.85546875" customWidth="1"/>
    <col min="8491" max="8491" width="27.42578125" customWidth="1"/>
    <col min="8705" max="8705" width="13" bestFit="1" customWidth="1"/>
    <col min="8706" max="8706" width="6.85546875" customWidth="1"/>
    <col min="8707" max="8707" width="14.28515625" customWidth="1"/>
    <col min="8708" max="8708" width="14" customWidth="1"/>
    <col min="8709" max="8709" width="17.85546875" customWidth="1"/>
    <col min="8710" max="8710" width="3.5703125" customWidth="1"/>
    <col min="8711" max="8711" width="13.28515625" customWidth="1"/>
    <col min="8712" max="8712" width="5.85546875" customWidth="1"/>
    <col min="8713" max="8713" width="23.28515625" customWidth="1"/>
    <col min="8714" max="8714" width="17.140625" customWidth="1"/>
    <col min="8715" max="8715" width="50.5703125" customWidth="1"/>
    <col min="8716" max="8716" width="28.7109375" customWidth="1"/>
    <col min="8717" max="8717" width="25.140625" customWidth="1"/>
    <col min="8718" max="8718" width="36.7109375" customWidth="1"/>
    <col min="8719" max="8720" width="24.5703125" customWidth="1"/>
    <col min="8721" max="8721" width="17.85546875" customWidth="1"/>
    <col min="8722" max="8722" width="27.5703125" bestFit="1" customWidth="1"/>
    <col min="8723" max="8723" width="37.28515625" customWidth="1"/>
    <col min="8724" max="8724" width="48.42578125" customWidth="1"/>
    <col min="8725" max="8725" width="32" customWidth="1"/>
    <col min="8726" max="8726" width="32.7109375" customWidth="1"/>
    <col min="8727" max="8727" width="18.5703125" customWidth="1"/>
    <col min="8728" max="8728" width="16.7109375" customWidth="1"/>
    <col min="8729" max="8729" width="10.42578125" customWidth="1"/>
    <col min="8730" max="8730" width="10.5703125" customWidth="1"/>
    <col min="8731" max="8731" width="9.28515625" customWidth="1"/>
    <col min="8732" max="8732" width="10.140625" customWidth="1"/>
    <col min="8733" max="8733" width="8.42578125" customWidth="1"/>
    <col min="8734" max="8734" width="9.5703125" customWidth="1"/>
    <col min="8735" max="8735" width="9.28515625" customWidth="1"/>
    <col min="8736" max="8736" width="8.85546875" customWidth="1"/>
    <col min="8737" max="8739" width="8" customWidth="1"/>
    <col min="8740" max="8740" width="8.7109375" customWidth="1"/>
    <col min="8741" max="8741" width="8.140625" customWidth="1"/>
    <col min="8742" max="8742" width="10.5703125" customWidth="1"/>
    <col min="8743" max="8743" width="9.85546875" customWidth="1"/>
    <col min="8744" max="8744" width="13.140625" customWidth="1"/>
    <col min="8745" max="8745" width="25.42578125" customWidth="1"/>
    <col min="8746" max="8746" width="30.85546875" customWidth="1"/>
    <col min="8747" max="8747" width="27.42578125" customWidth="1"/>
    <col min="8961" max="8961" width="13" bestFit="1" customWidth="1"/>
    <col min="8962" max="8962" width="6.85546875" customWidth="1"/>
    <col min="8963" max="8963" width="14.28515625" customWidth="1"/>
    <col min="8964" max="8964" width="14" customWidth="1"/>
    <col min="8965" max="8965" width="17.85546875" customWidth="1"/>
    <col min="8966" max="8966" width="3.5703125" customWidth="1"/>
    <col min="8967" max="8967" width="13.28515625" customWidth="1"/>
    <col min="8968" max="8968" width="5.85546875" customWidth="1"/>
    <col min="8969" max="8969" width="23.28515625" customWidth="1"/>
    <col min="8970" max="8970" width="17.140625" customWidth="1"/>
    <col min="8971" max="8971" width="50.5703125" customWidth="1"/>
    <col min="8972" max="8972" width="28.7109375" customWidth="1"/>
    <col min="8973" max="8973" width="25.140625" customWidth="1"/>
    <col min="8974" max="8974" width="36.7109375" customWidth="1"/>
    <col min="8975" max="8976" width="24.5703125" customWidth="1"/>
    <col min="8977" max="8977" width="17.85546875" customWidth="1"/>
    <col min="8978" max="8978" width="27.5703125" bestFit="1" customWidth="1"/>
    <col min="8979" max="8979" width="37.28515625" customWidth="1"/>
    <col min="8980" max="8980" width="48.42578125" customWidth="1"/>
    <col min="8981" max="8981" width="32" customWidth="1"/>
    <col min="8982" max="8982" width="32.7109375" customWidth="1"/>
    <col min="8983" max="8983" width="18.5703125" customWidth="1"/>
    <col min="8984" max="8984" width="16.7109375" customWidth="1"/>
    <col min="8985" max="8985" width="10.42578125" customWidth="1"/>
    <col min="8986" max="8986" width="10.5703125" customWidth="1"/>
    <col min="8987" max="8987" width="9.28515625" customWidth="1"/>
    <col min="8988" max="8988" width="10.140625" customWidth="1"/>
    <col min="8989" max="8989" width="8.42578125" customWidth="1"/>
    <col min="8990" max="8990" width="9.5703125" customWidth="1"/>
    <col min="8991" max="8991" width="9.28515625" customWidth="1"/>
    <col min="8992" max="8992" width="8.85546875" customWidth="1"/>
    <col min="8993" max="8995" width="8" customWidth="1"/>
    <col min="8996" max="8996" width="8.7109375" customWidth="1"/>
    <col min="8997" max="8997" width="8.140625" customWidth="1"/>
    <col min="8998" max="8998" width="10.5703125" customWidth="1"/>
    <col min="8999" max="8999" width="9.85546875" customWidth="1"/>
    <col min="9000" max="9000" width="13.140625" customWidth="1"/>
    <col min="9001" max="9001" width="25.42578125" customWidth="1"/>
    <col min="9002" max="9002" width="30.85546875" customWidth="1"/>
    <col min="9003" max="9003" width="27.42578125" customWidth="1"/>
    <col min="9217" max="9217" width="13" bestFit="1" customWidth="1"/>
    <col min="9218" max="9218" width="6.85546875" customWidth="1"/>
    <col min="9219" max="9219" width="14.28515625" customWidth="1"/>
    <col min="9220" max="9220" width="14" customWidth="1"/>
    <col min="9221" max="9221" width="17.85546875" customWidth="1"/>
    <col min="9222" max="9222" width="3.5703125" customWidth="1"/>
    <col min="9223" max="9223" width="13.28515625" customWidth="1"/>
    <col min="9224" max="9224" width="5.85546875" customWidth="1"/>
    <col min="9225" max="9225" width="23.28515625" customWidth="1"/>
    <col min="9226" max="9226" width="17.140625" customWidth="1"/>
    <col min="9227" max="9227" width="50.5703125" customWidth="1"/>
    <col min="9228" max="9228" width="28.7109375" customWidth="1"/>
    <col min="9229" max="9229" width="25.140625" customWidth="1"/>
    <col min="9230" max="9230" width="36.7109375" customWidth="1"/>
    <col min="9231" max="9232" width="24.5703125" customWidth="1"/>
    <col min="9233" max="9233" width="17.85546875" customWidth="1"/>
    <col min="9234" max="9234" width="27.5703125" bestFit="1" customWidth="1"/>
    <col min="9235" max="9235" width="37.28515625" customWidth="1"/>
    <col min="9236" max="9236" width="48.42578125" customWidth="1"/>
    <col min="9237" max="9237" width="32" customWidth="1"/>
    <col min="9238" max="9238" width="32.7109375" customWidth="1"/>
    <col min="9239" max="9239" width="18.5703125" customWidth="1"/>
    <col min="9240" max="9240" width="16.7109375" customWidth="1"/>
    <col min="9241" max="9241" width="10.42578125" customWidth="1"/>
    <col min="9242" max="9242" width="10.5703125" customWidth="1"/>
    <col min="9243" max="9243" width="9.28515625" customWidth="1"/>
    <col min="9244" max="9244" width="10.140625" customWidth="1"/>
    <col min="9245" max="9245" width="8.42578125" customWidth="1"/>
    <col min="9246" max="9246" width="9.5703125" customWidth="1"/>
    <col min="9247" max="9247" width="9.28515625" customWidth="1"/>
    <col min="9248" max="9248" width="8.85546875" customWidth="1"/>
    <col min="9249" max="9251" width="8" customWidth="1"/>
    <col min="9252" max="9252" width="8.7109375" customWidth="1"/>
    <col min="9253" max="9253" width="8.140625" customWidth="1"/>
    <col min="9254" max="9254" width="10.5703125" customWidth="1"/>
    <col min="9255" max="9255" width="9.85546875" customWidth="1"/>
    <col min="9256" max="9256" width="13.140625" customWidth="1"/>
    <col min="9257" max="9257" width="25.42578125" customWidth="1"/>
    <col min="9258" max="9258" width="30.85546875" customWidth="1"/>
    <col min="9259" max="9259" width="27.42578125" customWidth="1"/>
    <col min="9473" max="9473" width="13" bestFit="1" customWidth="1"/>
    <col min="9474" max="9474" width="6.85546875" customWidth="1"/>
    <col min="9475" max="9475" width="14.28515625" customWidth="1"/>
    <col min="9476" max="9476" width="14" customWidth="1"/>
    <col min="9477" max="9477" width="17.85546875" customWidth="1"/>
    <col min="9478" max="9478" width="3.5703125" customWidth="1"/>
    <col min="9479" max="9479" width="13.28515625" customWidth="1"/>
    <col min="9480" max="9480" width="5.85546875" customWidth="1"/>
    <col min="9481" max="9481" width="23.28515625" customWidth="1"/>
    <col min="9482" max="9482" width="17.140625" customWidth="1"/>
    <col min="9483" max="9483" width="50.5703125" customWidth="1"/>
    <col min="9484" max="9484" width="28.7109375" customWidth="1"/>
    <col min="9485" max="9485" width="25.140625" customWidth="1"/>
    <col min="9486" max="9486" width="36.7109375" customWidth="1"/>
    <col min="9487" max="9488" width="24.5703125" customWidth="1"/>
    <col min="9489" max="9489" width="17.85546875" customWidth="1"/>
    <col min="9490" max="9490" width="27.5703125" bestFit="1" customWidth="1"/>
    <col min="9491" max="9491" width="37.28515625" customWidth="1"/>
    <col min="9492" max="9492" width="48.42578125" customWidth="1"/>
    <col min="9493" max="9493" width="32" customWidth="1"/>
    <col min="9494" max="9494" width="32.7109375" customWidth="1"/>
    <col min="9495" max="9495" width="18.5703125" customWidth="1"/>
    <col min="9496" max="9496" width="16.7109375" customWidth="1"/>
    <col min="9497" max="9497" width="10.42578125" customWidth="1"/>
    <col min="9498" max="9498" width="10.5703125" customWidth="1"/>
    <col min="9499" max="9499" width="9.28515625" customWidth="1"/>
    <col min="9500" max="9500" width="10.140625" customWidth="1"/>
    <col min="9501" max="9501" width="8.42578125" customWidth="1"/>
    <col min="9502" max="9502" width="9.5703125" customWidth="1"/>
    <col min="9503" max="9503" width="9.28515625" customWidth="1"/>
    <col min="9504" max="9504" width="8.85546875" customWidth="1"/>
    <col min="9505" max="9507" width="8" customWidth="1"/>
    <col min="9508" max="9508" width="8.7109375" customWidth="1"/>
    <col min="9509" max="9509" width="8.140625" customWidth="1"/>
    <col min="9510" max="9510" width="10.5703125" customWidth="1"/>
    <col min="9511" max="9511" width="9.85546875" customWidth="1"/>
    <col min="9512" max="9512" width="13.140625" customWidth="1"/>
    <col min="9513" max="9513" width="25.42578125" customWidth="1"/>
    <col min="9514" max="9514" width="30.85546875" customWidth="1"/>
    <col min="9515" max="9515" width="27.42578125" customWidth="1"/>
    <col min="9729" max="9729" width="13" bestFit="1" customWidth="1"/>
    <col min="9730" max="9730" width="6.85546875" customWidth="1"/>
    <col min="9731" max="9731" width="14.28515625" customWidth="1"/>
    <col min="9732" max="9732" width="14" customWidth="1"/>
    <col min="9733" max="9733" width="17.85546875" customWidth="1"/>
    <col min="9734" max="9734" width="3.5703125" customWidth="1"/>
    <col min="9735" max="9735" width="13.28515625" customWidth="1"/>
    <col min="9736" max="9736" width="5.85546875" customWidth="1"/>
    <col min="9737" max="9737" width="23.28515625" customWidth="1"/>
    <col min="9738" max="9738" width="17.140625" customWidth="1"/>
    <col min="9739" max="9739" width="50.5703125" customWidth="1"/>
    <col min="9740" max="9740" width="28.7109375" customWidth="1"/>
    <col min="9741" max="9741" width="25.140625" customWidth="1"/>
    <col min="9742" max="9742" width="36.7109375" customWidth="1"/>
    <col min="9743" max="9744" width="24.5703125" customWidth="1"/>
    <col min="9745" max="9745" width="17.85546875" customWidth="1"/>
    <col min="9746" max="9746" width="27.5703125" bestFit="1" customWidth="1"/>
    <col min="9747" max="9747" width="37.28515625" customWidth="1"/>
    <col min="9748" max="9748" width="48.42578125" customWidth="1"/>
    <col min="9749" max="9749" width="32" customWidth="1"/>
    <col min="9750" max="9750" width="32.7109375" customWidth="1"/>
    <col min="9751" max="9751" width="18.5703125" customWidth="1"/>
    <col min="9752" max="9752" width="16.7109375" customWidth="1"/>
    <col min="9753" max="9753" width="10.42578125" customWidth="1"/>
    <col min="9754" max="9754" width="10.5703125" customWidth="1"/>
    <col min="9755" max="9755" width="9.28515625" customWidth="1"/>
    <col min="9756" max="9756" width="10.140625" customWidth="1"/>
    <col min="9757" max="9757" width="8.42578125" customWidth="1"/>
    <col min="9758" max="9758" width="9.5703125" customWidth="1"/>
    <col min="9759" max="9759" width="9.28515625" customWidth="1"/>
    <col min="9760" max="9760" width="8.85546875" customWidth="1"/>
    <col min="9761" max="9763" width="8" customWidth="1"/>
    <col min="9764" max="9764" width="8.7109375" customWidth="1"/>
    <col min="9765" max="9765" width="8.140625" customWidth="1"/>
    <col min="9766" max="9766" width="10.5703125" customWidth="1"/>
    <col min="9767" max="9767" width="9.85546875" customWidth="1"/>
    <col min="9768" max="9768" width="13.140625" customWidth="1"/>
    <col min="9769" max="9769" width="25.42578125" customWidth="1"/>
    <col min="9770" max="9770" width="30.85546875" customWidth="1"/>
    <col min="9771" max="9771" width="27.42578125" customWidth="1"/>
    <col min="9985" max="9985" width="13" bestFit="1" customWidth="1"/>
    <col min="9986" max="9986" width="6.85546875" customWidth="1"/>
    <col min="9987" max="9987" width="14.28515625" customWidth="1"/>
    <col min="9988" max="9988" width="14" customWidth="1"/>
    <col min="9989" max="9989" width="17.85546875" customWidth="1"/>
    <col min="9990" max="9990" width="3.5703125" customWidth="1"/>
    <col min="9991" max="9991" width="13.28515625" customWidth="1"/>
    <col min="9992" max="9992" width="5.85546875" customWidth="1"/>
    <col min="9993" max="9993" width="23.28515625" customWidth="1"/>
    <col min="9994" max="9994" width="17.140625" customWidth="1"/>
    <col min="9995" max="9995" width="50.5703125" customWidth="1"/>
    <col min="9996" max="9996" width="28.7109375" customWidth="1"/>
    <col min="9997" max="9997" width="25.140625" customWidth="1"/>
    <col min="9998" max="9998" width="36.7109375" customWidth="1"/>
    <col min="9999" max="10000" width="24.5703125" customWidth="1"/>
    <col min="10001" max="10001" width="17.85546875" customWidth="1"/>
    <col min="10002" max="10002" width="27.5703125" bestFit="1" customWidth="1"/>
    <col min="10003" max="10003" width="37.28515625" customWidth="1"/>
    <col min="10004" max="10004" width="48.42578125" customWidth="1"/>
    <col min="10005" max="10005" width="32" customWidth="1"/>
    <col min="10006" max="10006" width="32.7109375" customWidth="1"/>
    <col min="10007" max="10007" width="18.5703125" customWidth="1"/>
    <col min="10008" max="10008" width="16.7109375" customWidth="1"/>
    <col min="10009" max="10009" width="10.42578125" customWidth="1"/>
    <col min="10010" max="10010" width="10.5703125" customWidth="1"/>
    <col min="10011" max="10011" width="9.28515625" customWidth="1"/>
    <col min="10012" max="10012" width="10.140625" customWidth="1"/>
    <col min="10013" max="10013" width="8.42578125" customWidth="1"/>
    <col min="10014" max="10014" width="9.5703125" customWidth="1"/>
    <col min="10015" max="10015" width="9.28515625" customWidth="1"/>
    <col min="10016" max="10016" width="8.85546875" customWidth="1"/>
    <col min="10017" max="10019" width="8" customWidth="1"/>
    <col min="10020" max="10020" width="8.7109375" customWidth="1"/>
    <col min="10021" max="10021" width="8.140625" customWidth="1"/>
    <col min="10022" max="10022" width="10.5703125" customWidth="1"/>
    <col min="10023" max="10023" width="9.85546875" customWidth="1"/>
    <col min="10024" max="10024" width="13.140625" customWidth="1"/>
    <col min="10025" max="10025" width="25.42578125" customWidth="1"/>
    <col min="10026" max="10026" width="30.85546875" customWidth="1"/>
    <col min="10027" max="10027" width="27.42578125" customWidth="1"/>
    <col min="10241" max="10241" width="13" bestFit="1" customWidth="1"/>
    <col min="10242" max="10242" width="6.85546875" customWidth="1"/>
    <col min="10243" max="10243" width="14.28515625" customWidth="1"/>
    <col min="10244" max="10244" width="14" customWidth="1"/>
    <col min="10245" max="10245" width="17.85546875" customWidth="1"/>
    <col min="10246" max="10246" width="3.5703125" customWidth="1"/>
    <col min="10247" max="10247" width="13.28515625" customWidth="1"/>
    <col min="10248" max="10248" width="5.85546875" customWidth="1"/>
    <col min="10249" max="10249" width="23.28515625" customWidth="1"/>
    <col min="10250" max="10250" width="17.140625" customWidth="1"/>
    <col min="10251" max="10251" width="50.5703125" customWidth="1"/>
    <col min="10252" max="10252" width="28.7109375" customWidth="1"/>
    <col min="10253" max="10253" width="25.140625" customWidth="1"/>
    <col min="10254" max="10254" width="36.7109375" customWidth="1"/>
    <col min="10255" max="10256" width="24.5703125" customWidth="1"/>
    <col min="10257" max="10257" width="17.85546875" customWidth="1"/>
    <col min="10258" max="10258" width="27.5703125" bestFit="1" customWidth="1"/>
    <col min="10259" max="10259" width="37.28515625" customWidth="1"/>
    <col min="10260" max="10260" width="48.42578125" customWidth="1"/>
    <col min="10261" max="10261" width="32" customWidth="1"/>
    <col min="10262" max="10262" width="32.7109375" customWidth="1"/>
    <col min="10263" max="10263" width="18.5703125" customWidth="1"/>
    <col min="10264" max="10264" width="16.7109375" customWidth="1"/>
    <col min="10265" max="10265" width="10.42578125" customWidth="1"/>
    <col min="10266" max="10266" width="10.5703125" customWidth="1"/>
    <col min="10267" max="10267" width="9.28515625" customWidth="1"/>
    <col min="10268" max="10268" width="10.140625" customWidth="1"/>
    <col min="10269" max="10269" width="8.42578125" customWidth="1"/>
    <col min="10270" max="10270" width="9.5703125" customWidth="1"/>
    <col min="10271" max="10271" width="9.28515625" customWidth="1"/>
    <col min="10272" max="10272" width="8.85546875" customWidth="1"/>
    <col min="10273" max="10275" width="8" customWidth="1"/>
    <col min="10276" max="10276" width="8.7109375" customWidth="1"/>
    <col min="10277" max="10277" width="8.140625" customWidth="1"/>
    <col min="10278" max="10278" width="10.5703125" customWidth="1"/>
    <col min="10279" max="10279" width="9.85546875" customWidth="1"/>
    <col min="10280" max="10280" width="13.140625" customWidth="1"/>
    <col min="10281" max="10281" width="25.42578125" customWidth="1"/>
    <col min="10282" max="10282" width="30.85546875" customWidth="1"/>
    <col min="10283" max="10283" width="27.42578125" customWidth="1"/>
    <col min="10497" max="10497" width="13" bestFit="1" customWidth="1"/>
    <col min="10498" max="10498" width="6.85546875" customWidth="1"/>
    <col min="10499" max="10499" width="14.28515625" customWidth="1"/>
    <col min="10500" max="10500" width="14" customWidth="1"/>
    <col min="10501" max="10501" width="17.85546875" customWidth="1"/>
    <col min="10502" max="10502" width="3.5703125" customWidth="1"/>
    <col min="10503" max="10503" width="13.28515625" customWidth="1"/>
    <col min="10504" max="10504" width="5.85546875" customWidth="1"/>
    <col min="10505" max="10505" width="23.28515625" customWidth="1"/>
    <col min="10506" max="10506" width="17.140625" customWidth="1"/>
    <col min="10507" max="10507" width="50.5703125" customWidth="1"/>
    <col min="10508" max="10508" width="28.7109375" customWidth="1"/>
    <col min="10509" max="10509" width="25.140625" customWidth="1"/>
    <col min="10510" max="10510" width="36.7109375" customWidth="1"/>
    <col min="10511" max="10512" width="24.5703125" customWidth="1"/>
    <col min="10513" max="10513" width="17.85546875" customWidth="1"/>
    <col min="10514" max="10514" width="27.5703125" bestFit="1" customWidth="1"/>
    <col min="10515" max="10515" width="37.28515625" customWidth="1"/>
    <col min="10516" max="10516" width="48.42578125" customWidth="1"/>
    <col min="10517" max="10517" width="32" customWidth="1"/>
    <col min="10518" max="10518" width="32.7109375" customWidth="1"/>
    <col min="10519" max="10519" width="18.5703125" customWidth="1"/>
    <col min="10520" max="10520" width="16.7109375" customWidth="1"/>
    <col min="10521" max="10521" width="10.42578125" customWidth="1"/>
    <col min="10522" max="10522" width="10.5703125" customWidth="1"/>
    <col min="10523" max="10523" width="9.28515625" customWidth="1"/>
    <col min="10524" max="10524" width="10.140625" customWidth="1"/>
    <col min="10525" max="10525" width="8.42578125" customWidth="1"/>
    <col min="10526" max="10526" width="9.5703125" customWidth="1"/>
    <col min="10527" max="10527" width="9.28515625" customWidth="1"/>
    <col min="10528" max="10528" width="8.85546875" customWidth="1"/>
    <col min="10529" max="10531" width="8" customWidth="1"/>
    <col min="10532" max="10532" width="8.7109375" customWidth="1"/>
    <col min="10533" max="10533" width="8.140625" customWidth="1"/>
    <col min="10534" max="10534" width="10.5703125" customWidth="1"/>
    <col min="10535" max="10535" width="9.85546875" customWidth="1"/>
    <col min="10536" max="10536" width="13.140625" customWidth="1"/>
    <col min="10537" max="10537" width="25.42578125" customWidth="1"/>
    <col min="10538" max="10538" width="30.85546875" customWidth="1"/>
    <col min="10539" max="10539" width="27.42578125" customWidth="1"/>
    <col min="10753" max="10753" width="13" bestFit="1" customWidth="1"/>
    <col min="10754" max="10754" width="6.85546875" customWidth="1"/>
    <col min="10755" max="10755" width="14.28515625" customWidth="1"/>
    <col min="10756" max="10756" width="14" customWidth="1"/>
    <col min="10757" max="10757" width="17.85546875" customWidth="1"/>
    <col min="10758" max="10758" width="3.5703125" customWidth="1"/>
    <col min="10759" max="10759" width="13.28515625" customWidth="1"/>
    <col min="10760" max="10760" width="5.85546875" customWidth="1"/>
    <col min="10761" max="10761" width="23.28515625" customWidth="1"/>
    <col min="10762" max="10762" width="17.140625" customWidth="1"/>
    <col min="10763" max="10763" width="50.5703125" customWidth="1"/>
    <col min="10764" max="10764" width="28.7109375" customWidth="1"/>
    <col min="10765" max="10765" width="25.140625" customWidth="1"/>
    <col min="10766" max="10766" width="36.7109375" customWidth="1"/>
    <col min="10767" max="10768" width="24.5703125" customWidth="1"/>
    <col min="10769" max="10769" width="17.85546875" customWidth="1"/>
    <col min="10770" max="10770" width="27.5703125" bestFit="1" customWidth="1"/>
    <col min="10771" max="10771" width="37.28515625" customWidth="1"/>
    <col min="10772" max="10772" width="48.42578125" customWidth="1"/>
    <col min="10773" max="10773" width="32" customWidth="1"/>
    <col min="10774" max="10774" width="32.7109375" customWidth="1"/>
    <col min="10775" max="10775" width="18.5703125" customWidth="1"/>
    <col min="10776" max="10776" width="16.7109375" customWidth="1"/>
    <col min="10777" max="10777" width="10.42578125" customWidth="1"/>
    <col min="10778" max="10778" width="10.5703125" customWidth="1"/>
    <col min="10779" max="10779" width="9.28515625" customWidth="1"/>
    <col min="10780" max="10780" width="10.140625" customWidth="1"/>
    <col min="10781" max="10781" width="8.42578125" customWidth="1"/>
    <col min="10782" max="10782" width="9.5703125" customWidth="1"/>
    <col min="10783" max="10783" width="9.28515625" customWidth="1"/>
    <col min="10784" max="10784" width="8.85546875" customWidth="1"/>
    <col min="10785" max="10787" width="8" customWidth="1"/>
    <col min="10788" max="10788" width="8.7109375" customWidth="1"/>
    <col min="10789" max="10789" width="8.140625" customWidth="1"/>
    <col min="10790" max="10790" width="10.5703125" customWidth="1"/>
    <col min="10791" max="10791" width="9.85546875" customWidth="1"/>
    <col min="10792" max="10792" width="13.140625" customWidth="1"/>
    <col min="10793" max="10793" width="25.42578125" customWidth="1"/>
    <col min="10794" max="10794" width="30.85546875" customWidth="1"/>
    <col min="10795" max="10795" width="27.42578125" customWidth="1"/>
    <col min="11009" max="11009" width="13" bestFit="1" customWidth="1"/>
    <col min="11010" max="11010" width="6.85546875" customWidth="1"/>
    <col min="11011" max="11011" width="14.28515625" customWidth="1"/>
    <col min="11012" max="11012" width="14" customWidth="1"/>
    <col min="11013" max="11013" width="17.85546875" customWidth="1"/>
    <col min="11014" max="11014" width="3.5703125" customWidth="1"/>
    <col min="11015" max="11015" width="13.28515625" customWidth="1"/>
    <col min="11016" max="11016" width="5.85546875" customWidth="1"/>
    <col min="11017" max="11017" width="23.28515625" customWidth="1"/>
    <col min="11018" max="11018" width="17.140625" customWidth="1"/>
    <col min="11019" max="11019" width="50.5703125" customWidth="1"/>
    <col min="11020" max="11020" width="28.7109375" customWidth="1"/>
    <col min="11021" max="11021" width="25.140625" customWidth="1"/>
    <col min="11022" max="11022" width="36.7109375" customWidth="1"/>
    <col min="11023" max="11024" width="24.5703125" customWidth="1"/>
    <col min="11025" max="11025" width="17.85546875" customWidth="1"/>
    <col min="11026" max="11026" width="27.5703125" bestFit="1" customWidth="1"/>
    <col min="11027" max="11027" width="37.28515625" customWidth="1"/>
    <col min="11028" max="11028" width="48.42578125" customWidth="1"/>
    <col min="11029" max="11029" width="32" customWidth="1"/>
    <col min="11030" max="11030" width="32.7109375" customWidth="1"/>
    <col min="11031" max="11031" width="18.5703125" customWidth="1"/>
    <col min="11032" max="11032" width="16.7109375" customWidth="1"/>
    <col min="11033" max="11033" width="10.42578125" customWidth="1"/>
    <col min="11034" max="11034" width="10.5703125" customWidth="1"/>
    <col min="11035" max="11035" width="9.28515625" customWidth="1"/>
    <col min="11036" max="11036" width="10.140625" customWidth="1"/>
    <col min="11037" max="11037" width="8.42578125" customWidth="1"/>
    <col min="11038" max="11038" width="9.5703125" customWidth="1"/>
    <col min="11039" max="11039" width="9.28515625" customWidth="1"/>
    <col min="11040" max="11040" width="8.85546875" customWidth="1"/>
    <col min="11041" max="11043" width="8" customWidth="1"/>
    <col min="11044" max="11044" width="8.7109375" customWidth="1"/>
    <col min="11045" max="11045" width="8.140625" customWidth="1"/>
    <col min="11046" max="11046" width="10.5703125" customWidth="1"/>
    <col min="11047" max="11047" width="9.85546875" customWidth="1"/>
    <col min="11048" max="11048" width="13.140625" customWidth="1"/>
    <col min="11049" max="11049" width="25.42578125" customWidth="1"/>
    <col min="11050" max="11050" width="30.85546875" customWidth="1"/>
    <col min="11051" max="11051" width="27.42578125" customWidth="1"/>
    <col min="11265" max="11265" width="13" bestFit="1" customWidth="1"/>
    <col min="11266" max="11266" width="6.85546875" customWidth="1"/>
    <col min="11267" max="11267" width="14.28515625" customWidth="1"/>
    <col min="11268" max="11268" width="14" customWidth="1"/>
    <col min="11269" max="11269" width="17.85546875" customWidth="1"/>
    <col min="11270" max="11270" width="3.5703125" customWidth="1"/>
    <col min="11271" max="11271" width="13.28515625" customWidth="1"/>
    <col min="11272" max="11272" width="5.85546875" customWidth="1"/>
    <col min="11273" max="11273" width="23.28515625" customWidth="1"/>
    <col min="11274" max="11274" width="17.140625" customWidth="1"/>
    <col min="11275" max="11275" width="50.5703125" customWidth="1"/>
    <col min="11276" max="11276" width="28.7109375" customWidth="1"/>
    <col min="11277" max="11277" width="25.140625" customWidth="1"/>
    <col min="11278" max="11278" width="36.7109375" customWidth="1"/>
    <col min="11279" max="11280" width="24.5703125" customWidth="1"/>
    <col min="11281" max="11281" width="17.85546875" customWidth="1"/>
    <col min="11282" max="11282" width="27.5703125" bestFit="1" customWidth="1"/>
    <col min="11283" max="11283" width="37.28515625" customWidth="1"/>
    <col min="11284" max="11284" width="48.42578125" customWidth="1"/>
    <col min="11285" max="11285" width="32" customWidth="1"/>
    <col min="11286" max="11286" width="32.7109375" customWidth="1"/>
    <col min="11287" max="11287" width="18.5703125" customWidth="1"/>
    <col min="11288" max="11288" width="16.7109375" customWidth="1"/>
    <col min="11289" max="11289" width="10.42578125" customWidth="1"/>
    <col min="11290" max="11290" width="10.5703125" customWidth="1"/>
    <col min="11291" max="11291" width="9.28515625" customWidth="1"/>
    <col min="11292" max="11292" width="10.140625" customWidth="1"/>
    <col min="11293" max="11293" width="8.42578125" customWidth="1"/>
    <col min="11294" max="11294" width="9.5703125" customWidth="1"/>
    <col min="11295" max="11295" width="9.28515625" customWidth="1"/>
    <col min="11296" max="11296" width="8.85546875" customWidth="1"/>
    <col min="11297" max="11299" width="8" customWidth="1"/>
    <col min="11300" max="11300" width="8.7109375" customWidth="1"/>
    <col min="11301" max="11301" width="8.140625" customWidth="1"/>
    <col min="11302" max="11302" width="10.5703125" customWidth="1"/>
    <col min="11303" max="11303" width="9.85546875" customWidth="1"/>
    <col min="11304" max="11304" width="13.140625" customWidth="1"/>
    <col min="11305" max="11305" width="25.42578125" customWidth="1"/>
    <col min="11306" max="11306" width="30.85546875" customWidth="1"/>
    <col min="11307" max="11307" width="27.42578125" customWidth="1"/>
    <col min="11521" max="11521" width="13" bestFit="1" customWidth="1"/>
    <col min="11522" max="11522" width="6.85546875" customWidth="1"/>
    <col min="11523" max="11523" width="14.28515625" customWidth="1"/>
    <col min="11524" max="11524" width="14" customWidth="1"/>
    <col min="11525" max="11525" width="17.85546875" customWidth="1"/>
    <col min="11526" max="11526" width="3.5703125" customWidth="1"/>
    <col min="11527" max="11527" width="13.28515625" customWidth="1"/>
    <col min="11528" max="11528" width="5.85546875" customWidth="1"/>
    <col min="11529" max="11529" width="23.28515625" customWidth="1"/>
    <col min="11530" max="11530" width="17.140625" customWidth="1"/>
    <col min="11531" max="11531" width="50.5703125" customWidth="1"/>
    <col min="11532" max="11532" width="28.7109375" customWidth="1"/>
    <col min="11533" max="11533" width="25.140625" customWidth="1"/>
    <col min="11534" max="11534" width="36.7109375" customWidth="1"/>
    <col min="11535" max="11536" width="24.5703125" customWidth="1"/>
    <col min="11537" max="11537" width="17.85546875" customWidth="1"/>
    <col min="11538" max="11538" width="27.5703125" bestFit="1" customWidth="1"/>
    <col min="11539" max="11539" width="37.28515625" customWidth="1"/>
    <col min="11540" max="11540" width="48.42578125" customWidth="1"/>
    <col min="11541" max="11541" width="32" customWidth="1"/>
    <col min="11542" max="11542" width="32.7109375" customWidth="1"/>
    <col min="11543" max="11543" width="18.5703125" customWidth="1"/>
    <col min="11544" max="11544" width="16.7109375" customWidth="1"/>
    <col min="11545" max="11545" width="10.42578125" customWidth="1"/>
    <col min="11546" max="11546" width="10.5703125" customWidth="1"/>
    <col min="11547" max="11547" width="9.28515625" customWidth="1"/>
    <col min="11548" max="11548" width="10.140625" customWidth="1"/>
    <col min="11549" max="11549" width="8.42578125" customWidth="1"/>
    <col min="11550" max="11550" width="9.5703125" customWidth="1"/>
    <col min="11551" max="11551" width="9.28515625" customWidth="1"/>
    <col min="11552" max="11552" width="8.85546875" customWidth="1"/>
    <col min="11553" max="11555" width="8" customWidth="1"/>
    <col min="11556" max="11556" width="8.7109375" customWidth="1"/>
    <col min="11557" max="11557" width="8.140625" customWidth="1"/>
    <col min="11558" max="11558" width="10.5703125" customWidth="1"/>
    <col min="11559" max="11559" width="9.85546875" customWidth="1"/>
    <col min="11560" max="11560" width="13.140625" customWidth="1"/>
    <col min="11561" max="11561" width="25.42578125" customWidth="1"/>
    <col min="11562" max="11562" width="30.85546875" customWidth="1"/>
    <col min="11563" max="11563" width="27.42578125" customWidth="1"/>
    <col min="11777" max="11777" width="13" bestFit="1" customWidth="1"/>
    <col min="11778" max="11778" width="6.85546875" customWidth="1"/>
    <col min="11779" max="11779" width="14.28515625" customWidth="1"/>
    <col min="11780" max="11780" width="14" customWidth="1"/>
    <col min="11781" max="11781" width="17.85546875" customWidth="1"/>
    <col min="11782" max="11782" width="3.5703125" customWidth="1"/>
    <col min="11783" max="11783" width="13.28515625" customWidth="1"/>
    <col min="11784" max="11784" width="5.85546875" customWidth="1"/>
    <col min="11785" max="11785" width="23.28515625" customWidth="1"/>
    <col min="11786" max="11786" width="17.140625" customWidth="1"/>
    <col min="11787" max="11787" width="50.5703125" customWidth="1"/>
    <col min="11788" max="11788" width="28.7109375" customWidth="1"/>
    <col min="11789" max="11789" width="25.140625" customWidth="1"/>
    <col min="11790" max="11790" width="36.7109375" customWidth="1"/>
    <col min="11791" max="11792" width="24.5703125" customWidth="1"/>
    <col min="11793" max="11793" width="17.85546875" customWidth="1"/>
    <col min="11794" max="11794" width="27.5703125" bestFit="1" customWidth="1"/>
    <col min="11795" max="11795" width="37.28515625" customWidth="1"/>
    <col min="11796" max="11796" width="48.42578125" customWidth="1"/>
    <col min="11797" max="11797" width="32" customWidth="1"/>
    <col min="11798" max="11798" width="32.7109375" customWidth="1"/>
    <col min="11799" max="11799" width="18.5703125" customWidth="1"/>
    <col min="11800" max="11800" width="16.7109375" customWidth="1"/>
    <col min="11801" max="11801" width="10.42578125" customWidth="1"/>
    <col min="11802" max="11802" width="10.5703125" customWidth="1"/>
    <col min="11803" max="11803" width="9.28515625" customWidth="1"/>
    <col min="11804" max="11804" width="10.140625" customWidth="1"/>
    <col min="11805" max="11805" width="8.42578125" customWidth="1"/>
    <col min="11806" max="11806" width="9.5703125" customWidth="1"/>
    <col min="11807" max="11807" width="9.28515625" customWidth="1"/>
    <col min="11808" max="11808" width="8.85546875" customWidth="1"/>
    <col min="11809" max="11811" width="8" customWidth="1"/>
    <col min="11812" max="11812" width="8.7109375" customWidth="1"/>
    <col min="11813" max="11813" width="8.140625" customWidth="1"/>
    <col min="11814" max="11814" width="10.5703125" customWidth="1"/>
    <col min="11815" max="11815" width="9.85546875" customWidth="1"/>
    <col min="11816" max="11816" width="13.140625" customWidth="1"/>
    <col min="11817" max="11817" width="25.42578125" customWidth="1"/>
    <col min="11818" max="11818" width="30.85546875" customWidth="1"/>
    <col min="11819" max="11819" width="27.42578125" customWidth="1"/>
    <col min="12033" max="12033" width="13" bestFit="1" customWidth="1"/>
    <col min="12034" max="12034" width="6.85546875" customWidth="1"/>
    <col min="12035" max="12035" width="14.28515625" customWidth="1"/>
    <col min="12036" max="12036" width="14" customWidth="1"/>
    <col min="12037" max="12037" width="17.85546875" customWidth="1"/>
    <col min="12038" max="12038" width="3.5703125" customWidth="1"/>
    <col min="12039" max="12039" width="13.28515625" customWidth="1"/>
    <col min="12040" max="12040" width="5.85546875" customWidth="1"/>
    <col min="12041" max="12041" width="23.28515625" customWidth="1"/>
    <col min="12042" max="12042" width="17.140625" customWidth="1"/>
    <col min="12043" max="12043" width="50.5703125" customWidth="1"/>
    <col min="12044" max="12044" width="28.7109375" customWidth="1"/>
    <col min="12045" max="12045" width="25.140625" customWidth="1"/>
    <col min="12046" max="12046" width="36.7109375" customWidth="1"/>
    <col min="12047" max="12048" width="24.5703125" customWidth="1"/>
    <col min="12049" max="12049" width="17.85546875" customWidth="1"/>
    <col min="12050" max="12050" width="27.5703125" bestFit="1" customWidth="1"/>
    <col min="12051" max="12051" width="37.28515625" customWidth="1"/>
    <col min="12052" max="12052" width="48.42578125" customWidth="1"/>
    <col min="12053" max="12053" width="32" customWidth="1"/>
    <col min="12054" max="12054" width="32.7109375" customWidth="1"/>
    <col min="12055" max="12055" width="18.5703125" customWidth="1"/>
    <col min="12056" max="12056" width="16.7109375" customWidth="1"/>
    <col min="12057" max="12057" width="10.42578125" customWidth="1"/>
    <col min="12058" max="12058" width="10.5703125" customWidth="1"/>
    <col min="12059" max="12059" width="9.28515625" customWidth="1"/>
    <col min="12060" max="12060" width="10.140625" customWidth="1"/>
    <col min="12061" max="12061" width="8.42578125" customWidth="1"/>
    <col min="12062" max="12062" width="9.5703125" customWidth="1"/>
    <col min="12063" max="12063" width="9.28515625" customWidth="1"/>
    <col min="12064" max="12064" width="8.85546875" customWidth="1"/>
    <col min="12065" max="12067" width="8" customWidth="1"/>
    <col min="12068" max="12068" width="8.7109375" customWidth="1"/>
    <col min="12069" max="12069" width="8.140625" customWidth="1"/>
    <col min="12070" max="12070" width="10.5703125" customWidth="1"/>
    <col min="12071" max="12071" width="9.85546875" customWidth="1"/>
    <col min="12072" max="12072" width="13.140625" customWidth="1"/>
    <col min="12073" max="12073" width="25.42578125" customWidth="1"/>
    <col min="12074" max="12074" width="30.85546875" customWidth="1"/>
    <col min="12075" max="12075" width="27.42578125" customWidth="1"/>
    <col min="12289" max="12289" width="13" bestFit="1" customWidth="1"/>
    <col min="12290" max="12290" width="6.85546875" customWidth="1"/>
    <col min="12291" max="12291" width="14.28515625" customWidth="1"/>
    <col min="12292" max="12292" width="14" customWidth="1"/>
    <col min="12293" max="12293" width="17.85546875" customWidth="1"/>
    <col min="12294" max="12294" width="3.5703125" customWidth="1"/>
    <col min="12295" max="12295" width="13.28515625" customWidth="1"/>
    <col min="12296" max="12296" width="5.85546875" customWidth="1"/>
    <col min="12297" max="12297" width="23.28515625" customWidth="1"/>
    <col min="12298" max="12298" width="17.140625" customWidth="1"/>
    <col min="12299" max="12299" width="50.5703125" customWidth="1"/>
    <col min="12300" max="12300" width="28.7109375" customWidth="1"/>
    <col min="12301" max="12301" width="25.140625" customWidth="1"/>
    <col min="12302" max="12302" width="36.7109375" customWidth="1"/>
    <col min="12303" max="12304" width="24.5703125" customWidth="1"/>
    <col min="12305" max="12305" width="17.85546875" customWidth="1"/>
    <col min="12306" max="12306" width="27.5703125" bestFit="1" customWidth="1"/>
    <col min="12307" max="12307" width="37.28515625" customWidth="1"/>
    <col min="12308" max="12308" width="48.42578125" customWidth="1"/>
    <col min="12309" max="12309" width="32" customWidth="1"/>
    <col min="12310" max="12310" width="32.7109375" customWidth="1"/>
    <col min="12311" max="12311" width="18.5703125" customWidth="1"/>
    <col min="12312" max="12312" width="16.7109375" customWidth="1"/>
    <col min="12313" max="12313" width="10.42578125" customWidth="1"/>
    <col min="12314" max="12314" width="10.5703125" customWidth="1"/>
    <col min="12315" max="12315" width="9.28515625" customWidth="1"/>
    <col min="12316" max="12316" width="10.140625" customWidth="1"/>
    <col min="12317" max="12317" width="8.42578125" customWidth="1"/>
    <col min="12318" max="12318" width="9.5703125" customWidth="1"/>
    <col min="12319" max="12319" width="9.28515625" customWidth="1"/>
    <col min="12320" max="12320" width="8.85546875" customWidth="1"/>
    <col min="12321" max="12323" width="8" customWidth="1"/>
    <col min="12324" max="12324" width="8.7109375" customWidth="1"/>
    <col min="12325" max="12325" width="8.140625" customWidth="1"/>
    <col min="12326" max="12326" width="10.5703125" customWidth="1"/>
    <col min="12327" max="12327" width="9.85546875" customWidth="1"/>
    <col min="12328" max="12328" width="13.140625" customWidth="1"/>
    <col min="12329" max="12329" width="25.42578125" customWidth="1"/>
    <col min="12330" max="12330" width="30.85546875" customWidth="1"/>
    <col min="12331" max="12331" width="27.42578125" customWidth="1"/>
    <col min="12545" max="12545" width="13" bestFit="1" customWidth="1"/>
    <col min="12546" max="12546" width="6.85546875" customWidth="1"/>
    <col min="12547" max="12547" width="14.28515625" customWidth="1"/>
    <col min="12548" max="12548" width="14" customWidth="1"/>
    <col min="12549" max="12549" width="17.85546875" customWidth="1"/>
    <col min="12550" max="12550" width="3.5703125" customWidth="1"/>
    <col min="12551" max="12551" width="13.28515625" customWidth="1"/>
    <col min="12552" max="12552" width="5.85546875" customWidth="1"/>
    <col min="12553" max="12553" width="23.28515625" customWidth="1"/>
    <col min="12554" max="12554" width="17.140625" customWidth="1"/>
    <col min="12555" max="12555" width="50.5703125" customWidth="1"/>
    <col min="12556" max="12556" width="28.7109375" customWidth="1"/>
    <col min="12557" max="12557" width="25.140625" customWidth="1"/>
    <col min="12558" max="12558" width="36.7109375" customWidth="1"/>
    <col min="12559" max="12560" width="24.5703125" customWidth="1"/>
    <col min="12561" max="12561" width="17.85546875" customWidth="1"/>
    <col min="12562" max="12562" width="27.5703125" bestFit="1" customWidth="1"/>
    <col min="12563" max="12563" width="37.28515625" customWidth="1"/>
    <col min="12564" max="12564" width="48.42578125" customWidth="1"/>
    <col min="12565" max="12565" width="32" customWidth="1"/>
    <col min="12566" max="12566" width="32.7109375" customWidth="1"/>
    <col min="12567" max="12567" width="18.5703125" customWidth="1"/>
    <col min="12568" max="12568" width="16.7109375" customWidth="1"/>
    <col min="12569" max="12569" width="10.42578125" customWidth="1"/>
    <col min="12570" max="12570" width="10.5703125" customWidth="1"/>
    <col min="12571" max="12571" width="9.28515625" customWidth="1"/>
    <col min="12572" max="12572" width="10.140625" customWidth="1"/>
    <col min="12573" max="12573" width="8.42578125" customWidth="1"/>
    <col min="12574" max="12574" width="9.5703125" customWidth="1"/>
    <col min="12575" max="12575" width="9.28515625" customWidth="1"/>
    <col min="12576" max="12576" width="8.85546875" customWidth="1"/>
    <col min="12577" max="12579" width="8" customWidth="1"/>
    <col min="12580" max="12580" width="8.7109375" customWidth="1"/>
    <col min="12581" max="12581" width="8.140625" customWidth="1"/>
    <col min="12582" max="12582" width="10.5703125" customWidth="1"/>
    <col min="12583" max="12583" width="9.85546875" customWidth="1"/>
    <col min="12584" max="12584" width="13.140625" customWidth="1"/>
    <col min="12585" max="12585" width="25.42578125" customWidth="1"/>
    <col min="12586" max="12586" width="30.85546875" customWidth="1"/>
    <col min="12587" max="12587" width="27.42578125" customWidth="1"/>
    <col min="12801" max="12801" width="13" bestFit="1" customWidth="1"/>
    <col min="12802" max="12802" width="6.85546875" customWidth="1"/>
    <col min="12803" max="12803" width="14.28515625" customWidth="1"/>
    <col min="12804" max="12804" width="14" customWidth="1"/>
    <col min="12805" max="12805" width="17.85546875" customWidth="1"/>
    <col min="12806" max="12806" width="3.5703125" customWidth="1"/>
    <col min="12807" max="12807" width="13.28515625" customWidth="1"/>
    <col min="12808" max="12808" width="5.85546875" customWidth="1"/>
    <col min="12809" max="12809" width="23.28515625" customWidth="1"/>
    <col min="12810" max="12810" width="17.140625" customWidth="1"/>
    <col min="12811" max="12811" width="50.5703125" customWidth="1"/>
    <col min="12812" max="12812" width="28.7109375" customWidth="1"/>
    <col min="12813" max="12813" width="25.140625" customWidth="1"/>
    <col min="12814" max="12814" width="36.7109375" customWidth="1"/>
    <col min="12815" max="12816" width="24.5703125" customWidth="1"/>
    <col min="12817" max="12817" width="17.85546875" customWidth="1"/>
    <col min="12818" max="12818" width="27.5703125" bestFit="1" customWidth="1"/>
    <col min="12819" max="12819" width="37.28515625" customWidth="1"/>
    <col min="12820" max="12820" width="48.42578125" customWidth="1"/>
    <col min="12821" max="12821" width="32" customWidth="1"/>
    <col min="12822" max="12822" width="32.7109375" customWidth="1"/>
    <col min="12823" max="12823" width="18.5703125" customWidth="1"/>
    <col min="12824" max="12824" width="16.7109375" customWidth="1"/>
    <col min="12825" max="12825" width="10.42578125" customWidth="1"/>
    <col min="12826" max="12826" width="10.5703125" customWidth="1"/>
    <col min="12827" max="12827" width="9.28515625" customWidth="1"/>
    <col min="12828" max="12828" width="10.140625" customWidth="1"/>
    <col min="12829" max="12829" width="8.42578125" customWidth="1"/>
    <col min="12830" max="12830" width="9.5703125" customWidth="1"/>
    <col min="12831" max="12831" width="9.28515625" customWidth="1"/>
    <col min="12832" max="12832" width="8.85546875" customWidth="1"/>
    <col min="12833" max="12835" width="8" customWidth="1"/>
    <col min="12836" max="12836" width="8.7109375" customWidth="1"/>
    <col min="12837" max="12837" width="8.140625" customWidth="1"/>
    <col min="12838" max="12838" width="10.5703125" customWidth="1"/>
    <col min="12839" max="12839" width="9.85546875" customWidth="1"/>
    <col min="12840" max="12840" width="13.140625" customWidth="1"/>
    <col min="12841" max="12841" width="25.42578125" customWidth="1"/>
    <col min="12842" max="12842" width="30.85546875" customWidth="1"/>
    <col min="12843" max="12843" width="27.42578125" customWidth="1"/>
    <col min="13057" max="13057" width="13" bestFit="1" customWidth="1"/>
    <col min="13058" max="13058" width="6.85546875" customWidth="1"/>
    <col min="13059" max="13059" width="14.28515625" customWidth="1"/>
    <col min="13060" max="13060" width="14" customWidth="1"/>
    <col min="13061" max="13061" width="17.85546875" customWidth="1"/>
    <col min="13062" max="13062" width="3.5703125" customWidth="1"/>
    <col min="13063" max="13063" width="13.28515625" customWidth="1"/>
    <col min="13064" max="13064" width="5.85546875" customWidth="1"/>
    <col min="13065" max="13065" width="23.28515625" customWidth="1"/>
    <col min="13066" max="13066" width="17.140625" customWidth="1"/>
    <col min="13067" max="13067" width="50.5703125" customWidth="1"/>
    <col min="13068" max="13068" width="28.7109375" customWidth="1"/>
    <col min="13069" max="13069" width="25.140625" customWidth="1"/>
    <col min="13070" max="13070" width="36.7109375" customWidth="1"/>
    <col min="13071" max="13072" width="24.5703125" customWidth="1"/>
    <col min="13073" max="13073" width="17.85546875" customWidth="1"/>
    <col min="13074" max="13074" width="27.5703125" bestFit="1" customWidth="1"/>
    <col min="13075" max="13075" width="37.28515625" customWidth="1"/>
    <col min="13076" max="13076" width="48.42578125" customWidth="1"/>
    <col min="13077" max="13077" width="32" customWidth="1"/>
    <col min="13078" max="13078" width="32.7109375" customWidth="1"/>
    <col min="13079" max="13079" width="18.5703125" customWidth="1"/>
    <col min="13080" max="13080" width="16.7109375" customWidth="1"/>
    <col min="13081" max="13081" width="10.42578125" customWidth="1"/>
    <col min="13082" max="13082" width="10.5703125" customWidth="1"/>
    <col min="13083" max="13083" width="9.28515625" customWidth="1"/>
    <col min="13084" max="13084" width="10.140625" customWidth="1"/>
    <col min="13085" max="13085" width="8.42578125" customWidth="1"/>
    <col min="13086" max="13086" width="9.5703125" customWidth="1"/>
    <col min="13087" max="13087" width="9.28515625" customWidth="1"/>
    <col min="13088" max="13088" width="8.85546875" customWidth="1"/>
    <col min="13089" max="13091" width="8" customWidth="1"/>
    <col min="13092" max="13092" width="8.7109375" customWidth="1"/>
    <col min="13093" max="13093" width="8.140625" customWidth="1"/>
    <col min="13094" max="13094" width="10.5703125" customWidth="1"/>
    <col min="13095" max="13095" width="9.85546875" customWidth="1"/>
    <col min="13096" max="13096" width="13.140625" customWidth="1"/>
    <col min="13097" max="13097" width="25.42578125" customWidth="1"/>
    <col min="13098" max="13098" width="30.85546875" customWidth="1"/>
    <col min="13099" max="13099" width="27.42578125" customWidth="1"/>
    <col min="13313" max="13313" width="13" bestFit="1" customWidth="1"/>
    <col min="13314" max="13314" width="6.85546875" customWidth="1"/>
    <col min="13315" max="13315" width="14.28515625" customWidth="1"/>
    <col min="13316" max="13316" width="14" customWidth="1"/>
    <col min="13317" max="13317" width="17.85546875" customWidth="1"/>
    <col min="13318" max="13318" width="3.5703125" customWidth="1"/>
    <col min="13319" max="13319" width="13.28515625" customWidth="1"/>
    <col min="13320" max="13320" width="5.85546875" customWidth="1"/>
    <col min="13321" max="13321" width="23.28515625" customWidth="1"/>
    <col min="13322" max="13322" width="17.140625" customWidth="1"/>
    <col min="13323" max="13323" width="50.5703125" customWidth="1"/>
    <col min="13324" max="13324" width="28.7109375" customWidth="1"/>
    <col min="13325" max="13325" width="25.140625" customWidth="1"/>
    <col min="13326" max="13326" width="36.7109375" customWidth="1"/>
    <col min="13327" max="13328" width="24.5703125" customWidth="1"/>
    <col min="13329" max="13329" width="17.85546875" customWidth="1"/>
    <col min="13330" max="13330" width="27.5703125" bestFit="1" customWidth="1"/>
    <col min="13331" max="13331" width="37.28515625" customWidth="1"/>
    <col min="13332" max="13332" width="48.42578125" customWidth="1"/>
    <col min="13333" max="13333" width="32" customWidth="1"/>
    <col min="13334" max="13334" width="32.7109375" customWidth="1"/>
    <col min="13335" max="13335" width="18.5703125" customWidth="1"/>
    <col min="13336" max="13336" width="16.7109375" customWidth="1"/>
    <col min="13337" max="13337" width="10.42578125" customWidth="1"/>
    <col min="13338" max="13338" width="10.5703125" customWidth="1"/>
    <col min="13339" max="13339" width="9.28515625" customWidth="1"/>
    <col min="13340" max="13340" width="10.140625" customWidth="1"/>
    <col min="13341" max="13341" width="8.42578125" customWidth="1"/>
    <col min="13342" max="13342" width="9.5703125" customWidth="1"/>
    <col min="13343" max="13343" width="9.28515625" customWidth="1"/>
    <col min="13344" max="13344" width="8.85546875" customWidth="1"/>
    <col min="13345" max="13347" width="8" customWidth="1"/>
    <col min="13348" max="13348" width="8.7109375" customWidth="1"/>
    <col min="13349" max="13349" width="8.140625" customWidth="1"/>
    <col min="13350" max="13350" width="10.5703125" customWidth="1"/>
    <col min="13351" max="13351" width="9.85546875" customWidth="1"/>
    <col min="13352" max="13352" width="13.140625" customWidth="1"/>
    <col min="13353" max="13353" width="25.42578125" customWidth="1"/>
    <col min="13354" max="13354" width="30.85546875" customWidth="1"/>
    <col min="13355" max="13355" width="27.42578125" customWidth="1"/>
    <col min="13569" max="13569" width="13" bestFit="1" customWidth="1"/>
    <col min="13570" max="13570" width="6.85546875" customWidth="1"/>
    <col min="13571" max="13571" width="14.28515625" customWidth="1"/>
    <col min="13572" max="13572" width="14" customWidth="1"/>
    <col min="13573" max="13573" width="17.85546875" customWidth="1"/>
    <col min="13574" max="13574" width="3.5703125" customWidth="1"/>
    <col min="13575" max="13575" width="13.28515625" customWidth="1"/>
    <col min="13576" max="13576" width="5.85546875" customWidth="1"/>
    <col min="13577" max="13577" width="23.28515625" customWidth="1"/>
    <col min="13578" max="13578" width="17.140625" customWidth="1"/>
    <col min="13579" max="13579" width="50.5703125" customWidth="1"/>
    <col min="13580" max="13580" width="28.7109375" customWidth="1"/>
    <col min="13581" max="13581" width="25.140625" customWidth="1"/>
    <col min="13582" max="13582" width="36.7109375" customWidth="1"/>
    <col min="13583" max="13584" width="24.5703125" customWidth="1"/>
    <col min="13585" max="13585" width="17.85546875" customWidth="1"/>
    <col min="13586" max="13586" width="27.5703125" bestFit="1" customWidth="1"/>
    <col min="13587" max="13587" width="37.28515625" customWidth="1"/>
    <col min="13588" max="13588" width="48.42578125" customWidth="1"/>
    <col min="13589" max="13589" width="32" customWidth="1"/>
    <col min="13590" max="13590" width="32.7109375" customWidth="1"/>
    <col min="13591" max="13591" width="18.5703125" customWidth="1"/>
    <col min="13592" max="13592" width="16.7109375" customWidth="1"/>
    <col min="13593" max="13593" width="10.42578125" customWidth="1"/>
    <col min="13594" max="13594" width="10.5703125" customWidth="1"/>
    <col min="13595" max="13595" width="9.28515625" customWidth="1"/>
    <col min="13596" max="13596" width="10.140625" customWidth="1"/>
    <col min="13597" max="13597" width="8.42578125" customWidth="1"/>
    <col min="13598" max="13598" width="9.5703125" customWidth="1"/>
    <col min="13599" max="13599" width="9.28515625" customWidth="1"/>
    <col min="13600" max="13600" width="8.85546875" customWidth="1"/>
    <col min="13601" max="13603" width="8" customWidth="1"/>
    <col min="13604" max="13604" width="8.7109375" customWidth="1"/>
    <col min="13605" max="13605" width="8.140625" customWidth="1"/>
    <col min="13606" max="13606" width="10.5703125" customWidth="1"/>
    <col min="13607" max="13607" width="9.85546875" customWidth="1"/>
    <col min="13608" max="13608" width="13.140625" customWidth="1"/>
    <col min="13609" max="13609" width="25.42578125" customWidth="1"/>
    <col min="13610" max="13610" width="30.85546875" customWidth="1"/>
    <col min="13611" max="13611" width="27.42578125" customWidth="1"/>
    <col min="13825" max="13825" width="13" bestFit="1" customWidth="1"/>
    <col min="13826" max="13826" width="6.85546875" customWidth="1"/>
    <col min="13827" max="13827" width="14.28515625" customWidth="1"/>
    <col min="13828" max="13828" width="14" customWidth="1"/>
    <col min="13829" max="13829" width="17.85546875" customWidth="1"/>
    <col min="13830" max="13830" width="3.5703125" customWidth="1"/>
    <col min="13831" max="13831" width="13.28515625" customWidth="1"/>
    <col min="13832" max="13832" width="5.85546875" customWidth="1"/>
    <col min="13833" max="13833" width="23.28515625" customWidth="1"/>
    <col min="13834" max="13834" width="17.140625" customWidth="1"/>
    <col min="13835" max="13835" width="50.5703125" customWidth="1"/>
    <col min="13836" max="13836" width="28.7109375" customWidth="1"/>
    <col min="13837" max="13837" width="25.140625" customWidth="1"/>
    <col min="13838" max="13838" width="36.7109375" customWidth="1"/>
    <col min="13839" max="13840" width="24.5703125" customWidth="1"/>
    <col min="13841" max="13841" width="17.85546875" customWidth="1"/>
    <col min="13842" max="13842" width="27.5703125" bestFit="1" customWidth="1"/>
    <col min="13843" max="13843" width="37.28515625" customWidth="1"/>
    <col min="13844" max="13844" width="48.42578125" customWidth="1"/>
    <col min="13845" max="13845" width="32" customWidth="1"/>
    <col min="13846" max="13846" width="32.7109375" customWidth="1"/>
    <col min="13847" max="13847" width="18.5703125" customWidth="1"/>
    <col min="13848" max="13848" width="16.7109375" customWidth="1"/>
    <col min="13849" max="13849" width="10.42578125" customWidth="1"/>
    <col min="13850" max="13850" width="10.5703125" customWidth="1"/>
    <col min="13851" max="13851" width="9.28515625" customWidth="1"/>
    <col min="13852" max="13852" width="10.140625" customWidth="1"/>
    <col min="13853" max="13853" width="8.42578125" customWidth="1"/>
    <col min="13854" max="13854" width="9.5703125" customWidth="1"/>
    <col min="13855" max="13855" width="9.28515625" customWidth="1"/>
    <col min="13856" max="13856" width="8.85546875" customWidth="1"/>
    <col min="13857" max="13859" width="8" customWidth="1"/>
    <col min="13860" max="13860" width="8.7109375" customWidth="1"/>
    <col min="13861" max="13861" width="8.140625" customWidth="1"/>
    <col min="13862" max="13862" width="10.5703125" customWidth="1"/>
    <col min="13863" max="13863" width="9.85546875" customWidth="1"/>
    <col min="13864" max="13864" width="13.140625" customWidth="1"/>
    <col min="13865" max="13865" width="25.42578125" customWidth="1"/>
    <col min="13866" max="13866" width="30.85546875" customWidth="1"/>
    <col min="13867" max="13867" width="27.42578125" customWidth="1"/>
    <col min="14081" max="14081" width="13" bestFit="1" customWidth="1"/>
    <col min="14082" max="14082" width="6.85546875" customWidth="1"/>
    <col min="14083" max="14083" width="14.28515625" customWidth="1"/>
    <col min="14084" max="14084" width="14" customWidth="1"/>
    <col min="14085" max="14085" width="17.85546875" customWidth="1"/>
    <col min="14086" max="14086" width="3.5703125" customWidth="1"/>
    <col min="14087" max="14087" width="13.28515625" customWidth="1"/>
    <col min="14088" max="14088" width="5.85546875" customWidth="1"/>
    <col min="14089" max="14089" width="23.28515625" customWidth="1"/>
    <col min="14090" max="14090" width="17.140625" customWidth="1"/>
    <col min="14091" max="14091" width="50.5703125" customWidth="1"/>
    <col min="14092" max="14092" width="28.7109375" customWidth="1"/>
    <col min="14093" max="14093" width="25.140625" customWidth="1"/>
    <col min="14094" max="14094" width="36.7109375" customWidth="1"/>
    <col min="14095" max="14096" width="24.5703125" customWidth="1"/>
    <col min="14097" max="14097" width="17.85546875" customWidth="1"/>
    <col min="14098" max="14098" width="27.5703125" bestFit="1" customWidth="1"/>
    <col min="14099" max="14099" width="37.28515625" customWidth="1"/>
    <col min="14100" max="14100" width="48.42578125" customWidth="1"/>
    <col min="14101" max="14101" width="32" customWidth="1"/>
    <col min="14102" max="14102" width="32.7109375" customWidth="1"/>
    <col min="14103" max="14103" width="18.5703125" customWidth="1"/>
    <col min="14104" max="14104" width="16.7109375" customWidth="1"/>
    <col min="14105" max="14105" width="10.42578125" customWidth="1"/>
    <col min="14106" max="14106" width="10.5703125" customWidth="1"/>
    <col min="14107" max="14107" width="9.28515625" customWidth="1"/>
    <col min="14108" max="14108" width="10.140625" customWidth="1"/>
    <col min="14109" max="14109" width="8.42578125" customWidth="1"/>
    <col min="14110" max="14110" width="9.5703125" customWidth="1"/>
    <col min="14111" max="14111" width="9.28515625" customWidth="1"/>
    <col min="14112" max="14112" width="8.85546875" customWidth="1"/>
    <col min="14113" max="14115" width="8" customWidth="1"/>
    <col min="14116" max="14116" width="8.7109375" customWidth="1"/>
    <col min="14117" max="14117" width="8.140625" customWidth="1"/>
    <col min="14118" max="14118" width="10.5703125" customWidth="1"/>
    <col min="14119" max="14119" width="9.85546875" customWidth="1"/>
    <col min="14120" max="14120" width="13.140625" customWidth="1"/>
    <col min="14121" max="14121" width="25.42578125" customWidth="1"/>
    <col min="14122" max="14122" width="30.85546875" customWidth="1"/>
    <col min="14123" max="14123" width="27.42578125" customWidth="1"/>
    <col min="14337" max="14337" width="13" bestFit="1" customWidth="1"/>
    <col min="14338" max="14338" width="6.85546875" customWidth="1"/>
    <col min="14339" max="14339" width="14.28515625" customWidth="1"/>
    <col min="14340" max="14340" width="14" customWidth="1"/>
    <col min="14341" max="14341" width="17.85546875" customWidth="1"/>
    <col min="14342" max="14342" width="3.5703125" customWidth="1"/>
    <col min="14343" max="14343" width="13.28515625" customWidth="1"/>
    <col min="14344" max="14344" width="5.85546875" customWidth="1"/>
    <col min="14345" max="14345" width="23.28515625" customWidth="1"/>
    <col min="14346" max="14346" width="17.140625" customWidth="1"/>
    <col min="14347" max="14347" width="50.5703125" customWidth="1"/>
    <col min="14348" max="14348" width="28.7109375" customWidth="1"/>
    <col min="14349" max="14349" width="25.140625" customWidth="1"/>
    <col min="14350" max="14350" width="36.7109375" customWidth="1"/>
    <col min="14351" max="14352" width="24.5703125" customWidth="1"/>
    <col min="14353" max="14353" width="17.85546875" customWidth="1"/>
    <col min="14354" max="14354" width="27.5703125" bestFit="1" customWidth="1"/>
    <col min="14355" max="14355" width="37.28515625" customWidth="1"/>
    <col min="14356" max="14356" width="48.42578125" customWidth="1"/>
    <col min="14357" max="14357" width="32" customWidth="1"/>
    <col min="14358" max="14358" width="32.7109375" customWidth="1"/>
    <col min="14359" max="14359" width="18.5703125" customWidth="1"/>
    <col min="14360" max="14360" width="16.7109375" customWidth="1"/>
    <col min="14361" max="14361" width="10.42578125" customWidth="1"/>
    <col min="14362" max="14362" width="10.5703125" customWidth="1"/>
    <col min="14363" max="14363" width="9.28515625" customWidth="1"/>
    <col min="14364" max="14364" width="10.140625" customWidth="1"/>
    <col min="14365" max="14365" width="8.42578125" customWidth="1"/>
    <col min="14366" max="14366" width="9.5703125" customWidth="1"/>
    <col min="14367" max="14367" width="9.28515625" customWidth="1"/>
    <col min="14368" max="14368" width="8.85546875" customWidth="1"/>
    <col min="14369" max="14371" width="8" customWidth="1"/>
    <col min="14372" max="14372" width="8.7109375" customWidth="1"/>
    <col min="14373" max="14373" width="8.140625" customWidth="1"/>
    <col min="14374" max="14374" width="10.5703125" customWidth="1"/>
    <col min="14375" max="14375" width="9.85546875" customWidth="1"/>
    <col min="14376" max="14376" width="13.140625" customWidth="1"/>
    <col min="14377" max="14377" width="25.42578125" customWidth="1"/>
    <col min="14378" max="14378" width="30.85546875" customWidth="1"/>
    <col min="14379" max="14379" width="27.42578125" customWidth="1"/>
    <col min="14593" max="14593" width="13" bestFit="1" customWidth="1"/>
    <col min="14594" max="14594" width="6.85546875" customWidth="1"/>
    <col min="14595" max="14595" width="14.28515625" customWidth="1"/>
    <col min="14596" max="14596" width="14" customWidth="1"/>
    <col min="14597" max="14597" width="17.85546875" customWidth="1"/>
    <col min="14598" max="14598" width="3.5703125" customWidth="1"/>
    <col min="14599" max="14599" width="13.28515625" customWidth="1"/>
    <col min="14600" max="14600" width="5.85546875" customWidth="1"/>
    <col min="14601" max="14601" width="23.28515625" customWidth="1"/>
    <col min="14602" max="14602" width="17.140625" customWidth="1"/>
    <col min="14603" max="14603" width="50.5703125" customWidth="1"/>
    <col min="14604" max="14604" width="28.7109375" customWidth="1"/>
    <col min="14605" max="14605" width="25.140625" customWidth="1"/>
    <col min="14606" max="14606" width="36.7109375" customWidth="1"/>
    <col min="14607" max="14608" width="24.5703125" customWidth="1"/>
    <col min="14609" max="14609" width="17.85546875" customWidth="1"/>
    <col min="14610" max="14610" width="27.5703125" bestFit="1" customWidth="1"/>
    <col min="14611" max="14611" width="37.28515625" customWidth="1"/>
    <col min="14612" max="14612" width="48.42578125" customWidth="1"/>
    <col min="14613" max="14613" width="32" customWidth="1"/>
    <col min="14614" max="14614" width="32.7109375" customWidth="1"/>
    <col min="14615" max="14615" width="18.5703125" customWidth="1"/>
    <col min="14616" max="14616" width="16.7109375" customWidth="1"/>
    <col min="14617" max="14617" width="10.42578125" customWidth="1"/>
    <col min="14618" max="14618" width="10.5703125" customWidth="1"/>
    <col min="14619" max="14619" width="9.28515625" customWidth="1"/>
    <col min="14620" max="14620" width="10.140625" customWidth="1"/>
    <col min="14621" max="14621" width="8.42578125" customWidth="1"/>
    <col min="14622" max="14622" width="9.5703125" customWidth="1"/>
    <col min="14623" max="14623" width="9.28515625" customWidth="1"/>
    <col min="14624" max="14624" width="8.85546875" customWidth="1"/>
    <col min="14625" max="14627" width="8" customWidth="1"/>
    <col min="14628" max="14628" width="8.7109375" customWidth="1"/>
    <col min="14629" max="14629" width="8.140625" customWidth="1"/>
    <col min="14630" max="14630" width="10.5703125" customWidth="1"/>
    <col min="14631" max="14631" width="9.85546875" customWidth="1"/>
    <col min="14632" max="14632" width="13.140625" customWidth="1"/>
    <col min="14633" max="14633" width="25.42578125" customWidth="1"/>
    <col min="14634" max="14634" width="30.85546875" customWidth="1"/>
    <col min="14635" max="14635" width="27.42578125" customWidth="1"/>
    <col min="14849" max="14849" width="13" bestFit="1" customWidth="1"/>
    <col min="14850" max="14850" width="6.85546875" customWidth="1"/>
    <col min="14851" max="14851" width="14.28515625" customWidth="1"/>
    <col min="14852" max="14852" width="14" customWidth="1"/>
    <col min="14853" max="14853" width="17.85546875" customWidth="1"/>
    <col min="14854" max="14854" width="3.5703125" customWidth="1"/>
    <col min="14855" max="14855" width="13.28515625" customWidth="1"/>
    <col min="14856" max="14856" width="5.85546875" customWidth="1"/>
    <col min="14857" max="14857" width="23.28515625" customWidth="1"/>
    <col min="14858" max="14858" width="17.140625" customWidth="1"/>
    <col min="14859" max="14859" width="50.5703125" customWidth="1"/>
    <col min="14860" max="14860" width="28.7109375" customWidth="1"/>
    <col min="14861" max="14861" width="25.140625" customWidth="1"/>
    <col min="14862" max="14862" width="36.7109375" customWidth="1"/>
    <col min="14863" max="14864" width="24.5703125" customWidth="1"/>
    <col min="14865" max="14865" width="17.85546875" customWidth="1"/>
    <col min="14866" max="14866" width="27.5703125" bestFit="1" customWidth="1"/>
    <col min="14867" max="14867" width="37.28515625" customWidth="1"/>
    <col min="14868" max="14868" width="48.42578125" customWidth="1"/>
    <col min="14869" max="14869" width="32" customWidth="1"/>
    <col min="14870" max="14870" width="32.7109375" customWidth="1"/>
    <col min="14871" max="14871" width="18.5703125" customWidth="1"/>
    <col min="14872" max="14872" width="16.7109375" customWidth="1"/>
    <col min="14873" max="14873" width="10.42578125" customWidth="1"/>
    <col min="14874" max="14874" width="10.5703125" customWidth="1"/>
    <col min="14875" max="14875" width="9.28515625" customWidth="1"/>
    <col min="14876" max="14876" width="10.140625" customWidth="1"/>
    <col min="14877" max="14877" width="8.42578125" customWidth="1"/>
    <col min="14878" max="14878" width="9.5703125" customWidth="1"/>
    <col min="14879" max="14879" width="9.28515625" customWidth="1"/>
    <col min="14880" max="14880" width="8.85546875" customWidth="1"/>
    <col min="14881" max="14883" width="8" customWidth="1"/>
    <col min="14884" max="14884" width="8.7109375" customWidth="1"/>
    <col min="14885" max="14885" width="8.140625" customWidth="1"/>
    <col min="14886" max="14886" width="10.5703125" customWidth="1"/>
    <col min="14887" max="14887" width="9.85546875" customWidth="1"/>
    <col min="14888" max="14888" width="13.140625" customWidth="1"/>
    <col min="14889" max="14889" width="25.42578125" customWidth="1"/>
    <col min="14890" max="14890" width="30.85546875" customWidth="1"/>
    <col min="14891" max="14891" width="27.42578125" customWidth="1"/>
    <col min="15105" max="15105" width="13" bestFit="1" customWidth="1"/>
    <col min="15106" max="15106" width="6.85546875" customWidth="1"/>
    <col min="15107" max="15107" width="14.28515625" customWidth="1"/>
    <col min="15108" max="15108" width="14" customWidth="1"/>
    <col min="15109" max="15109" width="17.85546875" customWidth="1"/>
    <col min="15110" max="15110" width="3.5703125" customWidth="1"/>
    <col min="15111" max="15111" width="13.28515625" customWidth="1"/>
    <col min="15112" max="15112" width="5.85546875" customWidth="1"/>
    <col min="15113" max="15113" width="23.28515625" customWidth="1"/>
    <col min="15114" max="15114" width="17.140625" customWidth="1"/>
    <col min="15115" max="15115" width="50.5703125" customWidth="1"/>
    <col min="15116" max="15116" width="28.7109375" customWidth="1"/>
    <col min="15117" max="15117" width="25.140625" customWidth="1"/>
    <col min="15118" max="15118" width="36.7109375" customWidth="1"/>
    <col min="15119" max="15120" width="24.5703125" customWidth="1"/>
    <col min="15121" max="15121" width="17.85546875" customWidth="1"/>
    <col min="15122" max="15122" width="27.5703125" bestFit="1" customWidth="1"/>
    <col min="15123" max="15123" width="37.28515625" customWidth="1"/>
    <col min="15124" max="15124" width="48.42578125" customWidth="1"/>
    <col min="15125" max="15125" width="32" customWidth="1"/>
    <col min="15126" max="15126" width="32.7109375" customWidth="1"/>
    <col min="15127" max="15127" width="18.5703125" customWidth="1"/>
    <col min="15128" max="15128" width="16.7109375" customWidth="1"/>
    <col min="15129" max="15129" width="10.42578125" customWidth="1"/>
    <col min="15130" max="15130" width="10.5703125" customWidth="1"/>
    <col min="15131" max="15131" width="9.28515625" customWidth="1"/>
    <col min="15132" max="15132" width="10.140625" customWidth="1"/>
    <col min="15133" max="15133" width="8.42578125" customWidth="1"/>
    <col min="15134" max="15134" width="9.5703125" customWidth="1"/>
    <col min="15135" max="15135" width="9.28515625" customWidth="1"/>
    <col min="15136" max="15136" width="8.85546875" customWidth="1"/>
    <col min="15137" max="15139" width="8" customWidth="1"/>
    <col min="15140" max="15140" width="8.7109375" customWidth="1"/>
    <col min="15141" max="15141" width="8.140625" customWidth="1"/>
    <col min="15142" max="15142" width="10.5703125" customWidth="1"/>
    <col min="15143" max="15143" width="9.85546875" customWidth="1"/>
    <col min="15144" max="15144" width="13.140625" customWidth="1"/>
    <col min="15145" max="15145" width="25.42578125" customWidth="1"/>
    <col min="15146" max="15146" width="30.85546875" customWidth="1"/>
    <col min="15147" max="15147" width="27.42578125" customWidth="1"/>
    <col min="15361" max="15361" width="13" bestFit="1" customWidth="1"/>
    <col min="15362" max="15362" width="6.85546875" customWidth="1"/>
    <col min="15363" max="15363" width="14.28515625" customWidth="1"/>
    <col min="15364" max="15364" width="14" customWidth="1"/>
    <col min="15365" max="15365" width="17.85546875" customWidth="1"/>
    <col min="15366" max="15366" width="3.5703125" customWidth="1"/>
    <col min="15367" max="15367" width="13.28515625" customWidth="1"/>
    <col min="15368" max="15368" width="5.85546875" customWidth="1"/>
    <col min="15369" max="15369" width="23.28515625" customWidth="1"/>
    <col min="15370" max="15370" width="17.140625" customWidth="1"/>
    <col min="15371" max="15371" width="50.5703125" customWidth="1"/>
    <col min="15372" max="15372" width="28.7109375" customWidth="1"/>
    <col min="15373" max="15373" width="25.140625" customWidth="1"/>
    <col min="15374" max="15374" width="36.7109375" customWidth="1"/>
    <col min="15375" max="15376" width="24.5703125" customWidth="1"/>
    <col min="15377" max="15377" width="17.85546875" customWidth="1"/>
    <col min="15378" max="15378" width="27.5703125" bestFit="1" customWidth="1"/>
    <col min="15379" max="15379" width="37.28515625" customWidth="1"/>
    <col min="15380" max="15380" width="48.42578125" customWidth="1"/>
    <col min="15381" max="15381" width="32" customWidth="1"/>
    <col min="15382" max="15382" width="32.7109375" customWidth="1"/>
    <col min="15383" max="15383" width="18.5703125" customWidth="1"/>
    <col min="15384" max="15384" width="16.7109375" customWidth="1"/>
    <col min="15385" max="15385" width="10.42578125" customWidth="1"/>
    <col min="15386" max="15386" width="10.5703125" customWidth="1"/>
    <col min="15387" max="15387" width="9.28515625" customWidth="1"/>
    <col min="15388" max="15388" width="10.140625" customWidth="1"/>
    <col min="15389" max="15389" width="8.42578125" customWidth="1"/>
    <col min="15390" max="15390" width="9.5703125" customWidth="1"/>
    <col min="15391" max="15391" width="9.28515625" customWidth="1"/>
    <col min="15392" max="15392" width="8.85546875" customWidth="1"/>
    <col min="15393" max="15395" width="8" customWidth="1"/>
    <col min="15396" max="15396" width="8.7109375" customWidth="1"/>
    <col min="15397" max="15397" width="8.140625" customWidth="1"/>
    <col min="15398" max="15398" width="10.5703125" customWidth="1"/>
    <col min="15399" max="15399" width="9.85546875" customWidth="1"/>
    <col min="15400" max="15400" width="13.140625" customWidth="1"/>
    <col min="15401" max="15401" width="25.42578125" customWidth="1"/>
    <col min="15402" max="15402" width="30.85546875" customWidth="1"/>
    <col min="15403" max="15403" width="27.42578125" customWidth="1"/>
    <col min="15617" max="15617" width="13" bestFit="1" customWidth="1"/>
    <col min="15618" max="15618" width="6.85546875" customWidth="1"/>
    <col min="15619" max="15619" width="14.28515625" customWidth="1"/>
    <col min="15620" max="15620" width="14" customWidth="1"/>
    <col min="15621" max="15621" width="17.85546875" customWidth="1"/>
    <col min="15622" max="15622" width="3.5703125" customWidth="1"/>
    <col min="15623" max="15623" width="13.28515625" customWidth="1"/>
    <col min="15624" max="15624" width="5.85546875" customWidth="1"/>
    <col min="15625" max="15625" width="23.28515625" customWidth="1"/>
    <col min="15626" max="15626" width="17.140625" customWidth="1"/>
    <col min="15627" max="15627" width="50.5703125" customWidth="1"/>
    <col min="15628" max="15628" width="28.7109375" customWidth="1"/>
    <col min="15629" max="15629" width="25.140625" customWidth="1"/>
    <col min="15630" max="15630" width="36.7109375" customWidth="1"/>
    <col min="15631" max="15632" width="24.5703125" customWidth="1"/>
    <col min="15633" max="15633" width="17.85546875" customWidth="1"/>
    <col min="15634" max="15634" width="27.5703125" bestFit="1" customWidth="1"/>
    <col min="15635" max="15635" width="37.28515625" customWidth="1"/>
    <col min="15636" max="15636" width="48.42578125" customWidth="1"/>
    <col min="15637" max="15637" width="32" customWidth="1"/>
    <col min="15638" max="15638" width="32.7109375" customWidth="1"/>
    <col min="15639" max="15639" width="18.5703125" customWidth="1"/>
    <col min="15640" max="15640" width="16.7109375" customWidth="1"/>
    <col min="15641" max="15641" width="10.42578125" customWidth="1"/>
    <col min="15642" max="15642" width="10.5703125" customWidth="1"/>
    <col min="15643" max="15643" width="9.28515625" customWidth="1"/>
    <col min="15644" max="15644" width="10.140625" customWidth="1"/>
    <col min="15645" max="15645" width="8.42578125" customWidth="1"/>
    <col min="15646" max="15646" width="9.5703125" customWidth="1"/>
    <col min="15647" max="15647" width="9.28515625" customWidth="1"/>
    <col min="15648" max="15648" width="8.85546875" customWidth="1"/>
    <col min="15649" max="15651" width="8" customWidth="1"/>
    <col min="15652" max="15652" width="8.7109375" customWidth="1"/>
    <col min="15653" max="15653" width="8.140625" customWidth="1"/>
    <col min="15654" max="15654" width="10.5703125" customWidth="1"/>
    <col min="15655" max="15655" width="9.85546875" customWidth="1"/>
    <col min="15656" max="15656" width="13.140625" customWidth="1"/>
    <col min="15657" max="15657" width="25.42578125" customWidth="1"/>
    <col min="15658" max="15658" width="30.85546875" customWidth="1"/>
    <col min="15659" max="15659" width="27.42578125" customWidth="1"/>
    <col min="15873" max="15873" width="13" bestFit="1" customWidth="1"/>
    <col min="15874" max="15874" width="6.85546875" customWidth="1"/>
    <col min="15875" max="15875" width="14.28515625" customWidth="1"/>
    <col min="15876" max="15876" width="14" customWidth="1"/>
    <col min="15877" max="15877" width="17.85546875" customWidth="1"/>
    <col min="15878" max="15878" width="3.5703125" customWidth="1"/>
    <col min="15879" max="15879" width="13.28515625" customWidth="1"/>
    <col min="15880" max="15880" width="5.85546875" customWidth="1"/>
    <col min="15881" max="15881" width="23.28515625" customWidth="1"/>
    <col min="15882" max="15882" width="17.140625" customWidth="1"/>
    <col min="15883" max="15883" width="50.5703125" customWidth="1"/>
    <col min="15884" max="15884" width="28.7109375" customWidth="1"/>
    <col min="15885" max="15885" width="25.140625" customWidth="1"/>
    <col min="15886" max="15886" width="36.7109375" customWidth="1"/>
    <col min="15887" max="15888" width="24.5703125" customWidth="1"/>
    <col min="15889" max="15889" width="17.85546875" customWidth="1"/>
    <col min="15890" max="15890" width="27.5703125" bestFit="1" customWidth="1"/>
    <col min="15891" max="15891" width="37.28515625" customWidth="1"/>
    <col min="15892" max="15892" width="48.42578125" customWidth="1"/>
    <col min="15893" max="15893" width="32" customWidth="1"/>
    <col min="15894" max="15894" width="32.7109375" customWidth="1"/>
    <col min="15895" max="15895" width="18.5703125" customWidth="1"/>
    <col min="15896" max="15896" width="16.7109375" customWidth="1"/>
    <col min="15897" max="15897" width="10.42578125" customWidth="1"/>
    <col min="15898" max="15898" width="10.5703125" customWidth="1"/>
    <col min="15899" max="15899" width="9.28515625" customWidth="1"/>
    <col min="15900" max="15900" width="10.140625" customWidth="1"/>
    <col min="15901" max="15901" width="8.42578125" customWidth="1"/>
    <col min="15902" max="15902" width="9.5703125" customWidth="1"/>
    <col min="15903" max="15903" width="9.28515625" customWidth="1"/>
    <col min="15904" max="15904" width="8.85546875" customWidth="1"/>
    <col min="15905" max="15907" width="8" customWidth="1"/>
    <col min="15908" max="15908" width="8.7109375" customWidth="1"/>
    <col min="15909" max="15909" width="8.140625" customWidth="1"/>
    <col min="15910" max="15910" width="10.5703125" customWidth="1"/>
    <col min="15911" max="15911" width="9.85546875" customWidth="1"/>
    <col min="15912" max="15912" width="13.140625" customWidth="1"/>
    <col min="15913" max="15913" width="25.42578125" customWidth="1"/>
    <col min="15914" max="15914" width="30.85546875" customWidth="1"/>
    <col min="15915" max="15915" width="27.42578125" customWidth="1"/>
    <col min="16129" max="16129" width="13" bestFit="1" customWidth="1"/>
    <col min="16130" max="16130" width="6.85546875" customWidth="1"/>
    <col min="16131" max="16131" width="14.28515625" customWidth="1"/>
    <col min="16132" max="16132" width="14" customWidth="1"/>
    <col min="16133" max="16133" width="17.85546875" customWidth="1"/>
    <col min="16134" max="16134" width="3.5703125" customWidth="1"/>
    <col min="16135" max="16135" width="13.28515625" customWidth="1"/>
    <col min="16136" max="16136" width="5.85546875" customWidth="1"/>
    <col min="16137" max="16137" width="23.28515625" customWidth="1"/>
    <col min="16138" max="16138" width="17.140625" customWidth="1"/>
    <col min="16139" max="16139" width="50.5703125" customWidth="1"/>
    <col min="16140" max="16140" width="28.7109375" customWidth="1"/>
    <col min="16141" max="16141" width="25.140625" customWidth="1"/>
    <col min="16142" max="16142" width="36.7109375" customWidth="1"/>
    <col min="16143" max="16144" width="24.5703125" customWidth="1"/>
    <col min="16145" max="16145" width="17.85546875" customWidth="1"/>
    <col min="16146" max="16146" width="27.5703125" bestFit="1" customWidth="1"/>
    <col min="16147" max="16147" width="37.28515625" customWidth="1"/>
    <col min="16148" max="16148" width="48.42578125" customWidth="1"/>
    <col min="16149" max="16149" width="32" customWidth="1"/>
    <col min="16150" max="16150" width="32.7109375" customWidth="1"/>
    <col min="16151" max="16151" width="18.5703125" customWidth="1"/>
    <col min="16152" max="16152" width="16.7109375" customWidth="1"/>
    <col min="16153" max="16153" width="10.42578125" customWidth="1"/>
    <col min="16154" max="16154" width="10.5703125" customWidth="1"/>
    <col min="16155" max="16155" width="9.28515625" customWidth="1"/>
    <col min="16156" max="16156" width="10.140625" customWidth="1"/>
    <col min="16157" max="16157" width="8.42578125" customWidth="1"/>
    <col min="16158" max="16158" width="9.5703125" customWidth="1"/>
    <col min="16159" max="16159" width="9.28515625" customWidth="1"/>
    <col min="16160" max="16160" width="8.85546875" customWidth="1"/>
    <col min="16161" max="16163" width="8" customWidth="1"/>
    <col min="16164" max="16164" width="8.7109375" customWidth="1"/>
    <col min="16165" max="16165" width="8.140625" customWidth="1"/>
    <col min="16166" max="16166" width="10.5703125" customWidth="1"/>
    <col min="16167" max="16167" width="9.85546875" customWidth="1"/>
    <col min="16168" max="16168" width="13.140625" customWidth="1"/>
    <col min="16169" max="16169" width="25.42578125" customWidth="1"/>
    <col min="16170" max="16170" width="30.85546875" customWidth="1"/>
    <col min="16171" max="16171" width="27.42578125" customWidth="1"/>
  </cols>
  <sheetData>
    <row r="1" spans="1:254" ht="21.75" customHeight="1" x14ac:dyDescent="0.25">
      <c r="A1" s="2734" t="s">
        <v>1753</v>
      </c>
      <c r="B1" s="2735"/>
      <c r="C1" s="2735"/>
      <c r="D1" s="2735"/>
      <c r="E1" s="2735"/>
      <c r="F1" s="2735"/>
      <c r="G1" s="2735"/>
      <c r="H1" s="2735"/>
      <c r="I1" s="2735"/>
      <c r="J1" s="2735"/>
      <c r="K1" s="2735"/>
      <c r="L1" s="2735"/>
      <c r="M1" s="2735"/>
      <c r="N1" s="2735"/>
      <c r="O1" s="2735"/>
      <c r="P1" s="2735"/>
      <c r="Q1" s="2735"/>
      <c r="R1" s="2735"/>
      <c r="S1" s="2735"/>
      <c r="T1" s="2735"/>
      <c r="U1" s="2735"/>
      <c r="V1" s="2735"/>
      <c r="W1" s="2735"/>
      <c r="X1" s="2735"/>
      <c r="Y1" s="2735"/>
      <c r="Z1" s="2735"/>
      <c r="AA1" s="2735"/>
      <c r="AB1" s="2735"/>
      <c r="AC1" s="2735"/>
      <c r="AD1" s="2735"/>
      <c r="AE1" s="2735"/>
      <c r="AF1" s="2735"/>
      <c r="AG1" s="2735"/>
      <c r="AH1" s="2735"/>
      <c r="AI1" s="2735"/>
      <c r="AJ1" s="2735"/>
      <c r="AK1" s="2735"/>
      <c r="AL1" s="2735"/>
      <c r="AM1" s="2735"/>
      <c r="AN1" s="2735"/>
      <c r="AO1" s="2735"/>
      <c r="AP1" s="261" t="s">
        <v>0</v>
      </c>
      <c r="AQ1" s="262" t="s">
        <v>346</v>
      </c>
      <c r="AR1" s="131"/>
      <c r="AS1" s="131"/>
      <c r="AV1" s="131"/>
      <c r="AW1" s="131"/>
      <c r="AX1" s="131"/>
      <c r="AY1" s="131"/>
      <c r="AZ1" s="131"/>
      <c r="BA1" s="131"/>
      <c r="BB1" s="131"/>
      <c r="BC1" s="131"/>
      <c r="BD1" s="131"/>
      <c r="BE1" s="131"/>
      <c r="BF1" s="131"/>
      <c r="BG1" s="131"/>
      <c r="BH1" s="131"/>
      <c r="BI1" s="131"/>
      <c r="BJ1" s="131"/>
      <c r="BK1" s="131"/>
    </row>
    <row r="2" spans="1:254" ht="21.75" customHeight="1" x14ac:dyDescent="0.25">
      <c r="A2" s="2736"/>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2678"/>
      <c r="AO2" s="2678"/>
      <c r="AP2" s="132" t="s">
        <v>2</v>
      </c>
      <c r="AQ2" s="263" t="s">
        <v>114</v>
      </c>
      <c r="AR2" s="131"/>
      <c r="AS2" s="131"/>
      <c r="AV2" s="131"/>
      <c r="AW2" s="131"/>
      <c r="AX2" s="131"/>
      <c r="AY2" s="131"/>
      <c r="AZ2" s="131"/>
      <c r="BA2" s="131"/>
      <c r="BB2" s="131"/>
      <c r="BC2" s="131"/>
      <c r="BD2" s="131"/>
      <c r="BE2" s="131"/>
      <c r="BF2" s="131"/>
      <c r="BG2" s="131"/>
      <c r="BH2" s="131"/>
      <c r="BI2" s="131"/>
      <c r="BJ2" s="131"/>
      <c r="BK2" s="131"/>
    </row>
    <row r="3" spans="1:254" ht="21.75" customHeight="1" x14ac:dyDescent="0.25">
      <c r="A3" s="2736"/>
      <c r="B3" s="2678"/>
      <c r="C3" s="2678"/>
      <c r="D3" s="2678"/>
      <c r="E3" s="2678"/>
      <c r="F3" s="2678"/>
      <c r="G3" s="2678"/>
      <c r="H3" s="2678"/>
      <c r="I3" s="2678"/>
      <c r="J3" s="2678"/>
      <c r="K3" s="2678"/>
      <c r="L3" s="2678"/>
      <c r="M3" s="2678"/>
      <c r="N3" s="2678"/>
      <c r="O3" s="2678"/>
      <c r="P3" s="2678"/>
      <c r="Q3" s="2678"/>
      <c r="R3" s="2678"/>
      <c r="S3" s="2678"/>
      <c r="T3" s="2678"/>
      <c r="U3" s="2678"/>
      <c r="V3" s="2678"/>
      <c r="W3" s="2678"/>
      <c r="X3" s="2678"/>
      <c r="Y3" s="2678"/>
      <c r="Z3" s="2678"/>
      <c r="AA3" s="2678"/>
      <c r="AB3" s="2678"/>
      <c r="AC3" s="2678"/>
      <c r="AD3" s="2678"/>
      <c r="AE3" s="2678"/>
      <c r="AF3" s="2678"/>
      <c r="AG3" s="2678"/>
      <c r="AH3" s="2678"/>
      <c r="AI3" s="2678"/>
      <c r="AJ3" s="2678"/>
      <c r="AK3" s="2678"/>
      <c r="AL3" s="2678"/>
      <c r="AM3" s="2678"/>
      <c r="AN3" s="2678"/>
      <c r="AO3" s="2678"/>
      <c r="AP3" s="8" t="s">
        <v>4</v>
      </c>
      <c r="AQ3" s="264" t="s">
        <v>5</v>
      </c>
      <c r="AR3" s="131"/>
      <c r="AS3" s="131"/>
      <c r="AV3" s="131"/>
      <c r="AW3" s="131"/>
      <c r="AX3" s="131"/>
      <c r="AY3" s="131"/>
      <c r="AZ3" s="131"/>
      <c r="BA3" s="131"/>
      <c r="BB3" s="131"/>
      <c r="BC3" s="131"/>
      <c r="BD3" s="131"/>
      <c r="BE3" s="131"/>
      <c r="BF3" s="131"/>
      <c r="BG3" s="131"/>
      <c r="BH3" s="131"/>
      <c r="BI3" s="131"/>
      <c r="BJ3" s="131"/>
      <c r="BK3" s="131"/>
    </row>
    <row r="4" spans="1:254" ht="21.75" customHeight="1" x14ac:dyDescent="0.25">
      <c r="A4" s="2737"/>
      <c r="B4" s="2679"/>
      <c r="C4" s="2679"/>
      <c r="D4" s="2679"/>
      <c r="E4" s="2679"/>
      <c r="F4" s="2679"/>
      <c r="G4" s="2679"/>
      <c r="H4" s="2679"/>
      <c r="I4" s="2679"/>
      <c r="J4" s="2679"/>
      <c r="K4" s="2679"/>
      <c r="L4" s="2679"/>
      <c r="M4" s="2679"/>
      <c r="N4" s="2679"/>
      <c r="O4" s="2679"/>
      <c r="P4" s="2679"/>
      <c r="Q4" s="2679"/>
      <c r="R4" s="2679"/>
      <c r="S4" s="2679"/>
      <c r="T4" s="2679"/>
      <c r="U4" s="2679"/>
      <c r="V4" s="2679"/>
      <c r="W4" s="2679"/>
      <c r="X4" s="2679"/>
      <c r="Y4" s="2679"/>
      <c r="Z4" s="2679"/>
      <c r="AA4" s="2679"/>
      <c r="AB4" s="2679"/>
      <c r="AC4" s="2679"/>
      <c r="AD4" s="2679"/>
      <c r="AE4" s="2679"/>
      <c r="AF4" s="2679"/>
      <c r="AG4" s="2679"/>
      <c r="AH4" s="2679"/>
      <c r="AI4" s="2679"/>
      <c r="AJ4" s="2679"/>
      <c r="AK4" s="2679"/>
      <c r="AL4" s="2679"/>
      <c r="AM4" s="2679"/>
      <c r="AN4" s="2679"/>
      <c r="AO4" s="2679"/>
      <c r="AP4" s="8" t="s">
        <v>6</v>
      </c>
      <c r="AQ4" s="265" t="s">
        <v>7</v>
      </c>
      <c r="AR4" s="131"/>
      <c r="AS4" s="131"/>
      <c r="AV4" s="131"/>
      <c r="AW4" s="131"/>
      <c r="AX4" s="131"/>
      <c r="AY4" s="131"/>
      <c r="AZ4" s="131"/>
      <c r="BA4" s="131"/>
      <c r="BB4" s="131"/>
      <c r="BC4" s="131"/>
      <c r="BD4" s="131"/>
      <c r="BE4" s="131"/>
      <c r="BF4" s="131"/>
      <c r="BG4" s="131"/>
      <c r="BH4" s="131"/>
      <c r="BI4" s="131"/>
      <c r="BJ4" s="131"/>
      <c r="BK4" s="131"/>
    </row>
    <row r="5" spans="1:254" ht="21.75" customHeight="1" x14ac:dyDescent="0.25">
      <c r="A5" s="2738" t="s">
        <v>8</v>
      </c>
      <c r="B5" s="2680"/>
      <c r="C5" s="2680"/>
      <c r="D5" s="2680"/>
      <c r="E5" s="2680"/>
      <c r="F5" s="2680"/>
      <c r="G5" s="2680"/>
      <c r="H5" s="2680"/>
      <c r="I5" s="2680"/>
      <c r="J5" s="2680"/>
      <c r="K5" s="2680"/>
      <c r="L5" s="2680"/>
      <c r="M5" s="2680"/>
      <c r="N5" s="2681" t="s">
        <v>347</v>
      </c>
      <c r="O5" s="2681"/>
      <c r="P5" s="2681"/>
      <c r="Q5" s="2681"/>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c r="AP5" s="2681"/>
      <c r="AQ5" s="2741"/>
      <c r="AR5" s="131"/>
      <c r="AS5" s="131"/>
      <c r="AT5" s="131"/>
      <c r="AU5" s="131"/>
      <c r="AV5" s="131"/>
      <c r="AW5" s="131"/>
      <c r="AX5" s="131"/>
      <c r="AY5" s="131"/>
      <c r="AZ5" s="131"/>
      <c r="BA5" s="131"/>
      <c r="BB5" s="131"/>
      <c r="BC5" s="131"/>
      <c r="BD5" s="131"/>
      <c r="BE5" s="131"/>
      <c r="BF5" s="131"/>
      <c r="BG5" s="131"/>
      <c r="BH5" s="131"/>
      <c r="BI5" s="131"/>
      <c r="BJ5" s="131"/>
      <c r="BK5" s="131"/>
    </row>
    <row r="6" spans="1:254" ht="21.75" customHeight="1" x14ac:dyDescent="0.25">
      <c r="A6" s="2739"/>
      <c r="B6" s="2740"/>
      <c r="C6" s="2740"/>
      <c r="D6" s="2740"/>
      <c r="E6" s="2740"/>
      <c r="F6" s="2740"/>
      <c r="G6" s="2740"/>
      <c r="H6" s="2740"/>
      <c r="I6" s="2740"/>
      <c r="J6" s="2740"/>
      <c r="K6" s="2740"/>
      <c r="L6" s="2740"/>
      <c r="M6" s="2740"/>
      <c r="N6" s="266"/>
      <c r="O6" s="267"/>
      <c r="P6" s="267"/>
      <c r="Q6" s="1484"/>
      <c r="R6" s="268"/>
      <c r="S6" s="267"/>
      <c r="T6" s="267"/>
      <c r="U6" s="267"/>
      <c r="V6" s="269"/>
      <c r="W6" s="270"/>
      <c r="X6" s="267"/>
      <c r="Y6" s="2742" t="s">
        <v>10</v>
      </c>
      <c r="Z6" s="2740"/>
      <c r="AA6" s="2740"/>
      <c r="AB6" s="2740"/>
      <c r="AC6" s="2740"/>
      <c r="AD6" s="2740"/>
      <c r="AE6" s="2740"/>
      <c r="AF6" s="2740"/>
      <c r="AG6" s="2740"/>
      <c r="AH6" s="2740"/>
      <c r="AI6" s="2740"/>
      <c r="AJ6" s="2740"/>
      <c r="AK6" s="2740"/>
      <c r="AL6" s="2740"/>
      <c r="AM6" s="2743"/>
      <c r="AN6" s="1484"/>
      <c r="AO6" s="271"/>
      <c r="AP6" s="271"/>
      <c r="AQ6" s="272"/>
      <c r="AR6" s="131"/>
      <c r="AS6" s="131"/>
      <c r="AT6" s="131"/>
      <c r="AU6" s="131"/>
      <c r="AV6" s="131"/>
      <c r="AW6" s="131"/>
      <c r="AX6" s="131"/>
      <c r="AY6" s="131"/>
      <c r="AZ6" s="131"/>
      <c r="BA6" s="131"/>
      <c r="BB6" s="131"/>
      <c r="BC6" s="131"/>
      <c r="BD6" s="131"/>
      <c r="BE6" s="131"/>
      <c r="BF6" s="131"/>
      <c r="BG6" s="131"/>
      <c r="BH6" s="131"/>
      <c r="BI6" s="131"/>
      <c r="BJ6" s="131"/>
      <c r="BK6" s="131"/>
    </row>
    <row r="7" spans="1:254" ht="21.75" customHeight="1" x14ac:dyDescent="0.25">
      <c r="A7" s="2744" t="s">
        <v>11</v>
      </c>
      <c r="B7" s="2688" t="s">
        <v>12</v>
      </c>
      <c r="C7" s="2688"/>
      <c r="D7" s="2688" t="s">
        <v>11</v>
      </c>
      <c r="E7" s="2688" t="s">
        <v>13</v>
      </c>
      <c r="F7" s="2688"/>
      <c r="G7" s="2688" t="s">
        <v>11</v>
      </c>
      <c r="H7" s="2688" t="s">
        <v>14</v>
      </c>
      <c r="I7" s="2688"/>
      <c r="J7" s="2688" t="s">
        <v>11</v>
      </c>
      <c r="K7" s="2688" t="s">
        <v>15</v>
      </c>
      <c r="L7" s="2688" t="s">
        <v>16</v>
      </c>
      <c r="M7" s="2688" t="s">
        <v>17</v>
      </c>
      <c r="N7" s="2688" t="s">
        <v>18</v>
      </c>
      <c r="O7" s="2688" t="s">
        <v>19</v>
      </c>
      <c r="P7" s="2688" t="s">
        <v>9</v>
      </c>
      <c r="Q7" s="2752" t="s">
        <v>20</v>
      </c>
      <c r="R7" s="2754" t="s">
        <v>21</v>
      </c>
      <c r="S7" s="2684" t="s">
        <v>22</v>
      </c>
      <c r="T7" s="2684" t="s">
        <v>23</v>
      </c>
      <c r="U7" s="2688" t="s">
        <v>24</v>
      </c>
      <c r="V7" s="2706" t="s">
        <v>21</v>
      </c>
      <c r="W7" s="1440"/>
      <c r="X7" s="2685" t="s">
        <v>25</v>
      </c>
      <c r="Y7" s="2696" t="s">
        <v>26</v>
      </c>
      <c r="Z7" s="2697"/>
      <c r="AA7" s="2698" t="s">
        <v>27</v>
      </c>
      <c r="AB7" s="2699"/>
      <c r="AC7" s="2699"/>
      <c r="AD7" s="2699"/>
      <c r="AE7" s="2700" t="s">
        <v>28</v>
      </c>
      <c r="AF7" s="2701"/>
      <c r="AG7" s="2701"/>
      <c r="AH7" s="2701"/>
      <c r="AI7" s="2701"/>
      <c r="AJ7" s="2701"/>
      <c r="AK7" s="2698" t="s">
        <v>29</v>
      </c>
      <c r="AL7" s="2699"/>
      <c r="AM7" s="2699"/>
      <c r="AN7" s="2746" t="s">
        <v>30</v>
      </c>
      <c r="AO7" s="2748" t="s">
        <v>31</v>
      </c>
      <c r="AP7" s="2748" t="s">
        <v>32</v>
      </c>
      <c r="AQ7" s="2749" t="s">
        <v>33</v>
      </c>
      <c r="AR7" s="131"/>
      <c r="AS7" s="131"/>
      <c r="AT7" s="131"/>
      <c r="AU7" s="131"/>
      <c r="AV7" s="131"/>
      <c r="AW7" s="131"/>
      <c r="AX7" s="131"/>
      <c r="AY7" s="131"/>
      <c r="AZ7" s="131"/>
      <c r="BA7" s="131"/>
      <c r="BB7" s="131"/>
      <c r="BC7" s="131"/>
      <c r="BD7" s="131"/>
      <c r="BE7" s="131"/>
      <c r="BF7" s="131"/>
      <c r="BG7" s="131"/>
      <c r="BH7" s="131"/>
      <c r="BI7" s="131"/>
      <c r="BJ7" s="131"/>
      <c r="BK7" s="131"/>
    </row>
    <row r="8" spans="1:254" ht="129" customHeight="1" x14ac:dyDescent="0.25">
      <c r="A8" s="2745"/>
      <c r="B8" s="2689"/>
      <c r="C8" s="2689"/>
      <c r="D8" s="2689"/>
      <c r="E8" s="2689"/>
      <c r="F8" s="2689"/>
      <c r="G8" s="2689"/>
      <c r="H8" s="2689"/>
      <c r="I8" s="2689"/>
      <c r="J8" s="2689"/>
      <c r="K8" s="2689"/>
      <c r="L8" s="2689"/>
      <c r="M8" s="2726"/>
      <c r="N8" s="2687"/>
      <c r="O8" s="2689"/>
      <c r="P8" s="2689"/>
      <c r="Q8" s="2753"/>
      <c r="R8" s="2755"/>
      <c r="S8" s="2686"/>
      <c r="T8" s="2686"/>
      <c r="U8" s="2689"/>
      <c r="V8" s="2751"/>
      <c r="W8" s="1441" t="s">
        <v>11</v>
      </c>
      <c r="X8" s="2687"/>
      <c r="Y8" s="134" t="s">
        <v>34</v>
      </c>
      <c r="Z8" s="135" t="s">
        <v>35</v>
      </c>
      <c r="AA8" s="134" t="s">
        <v>36</v>
      </c>
      <c r="AB8" s="134" t="s">
        <v>115</v>
      </c>
      <c r="AC8" s="134" t="s">
        <v>116</v>
      </c>
      <c r="AD8" s="134" t="s">
        <v>117</v>
      </c>
      <c r="AE8" s="134" t="s">
        <v>40</v>
      </c>
      <c r="AF8" s="134" t="s">
        <v>41</v>
      </c>
      <c r="AG8" s="134" t="s">
        <v>42</v>
      </c>
      <c r="AH8" s="134" t="s">
        <v>43</v>
      </c>
      <c r="AI8" s="134" t="s">
        <v>44</v>
      </c>
      <c r="AJ8" s="134" t="s">
        <v>45</v>
      </c>
      <c r="AK8" s="134" t="s">
        <v>46</v>
      </c>
      <c r="AL8" s="134" t="s">
        <v>47</v>
      </c>
      <c r="AM8" s="134" t="s">
        <v>48</v>
      </c>
      <c r="AN8" s="2747"/>
      <c r="AO8" s="2748"/>
      <c r="AP8" s="2748"/>
      <c r="AQ8" s="2750"/>
      <c r="AR8" s="131"/>
      <c r="AS8" s="131"/>
      <c r="AT8" s="131"/>
      <c r="AU8" s="131"/>
      <c r="AV8" s="131"/>
      <c r="AW8" s="131"/>
      <c r="AX8" s="131"/>
      <c r="AY8" s="131"/>
      <c r="AZ8" s="131"/>
      <c r="BA8" s="131"/>
      <c r="BB8" s="131"/>
      <c r="BC8" s="131"/>
      <c r="BD8" s="131"/>
      <c r="BE8" s="131"/>
      <c r="BF8" s="131"/>
      <c r="BG8" s="131"/>
      <c r="BH8" s="131"/>
      <c r="BI8" s="131"/>
      <c r="BJ8" s="131"/>
      <c r="BK8" s="131"/>
    </row>
    <row r="9" spans="1:254" x14ac:dyDescent="0.25">
      <c r="A9" s="273">
        <v>5</v>
      </c>
      <c r="B9" s="146" t="s">
        <v>49</v>
      </c>
      <c r="C9" s="146"/>
      <c r="D9" s="1444"/>
      <c r="E9" s="1444"/>
      <c r="F9" s="146"/>
      <c r="G9" s="146"/>
      <c r="H9" s="146"/>
      <c r="I9" s="146"/>
      <c r="J9" s="146"/>
      <c r="K9" s="140"/>
      <c r="L9" s="140"/>
      <c r="M9" s="141"/>
      <c r="N9" s="140"/>
      <c r="O9" s="140"/>
      <c r="P9" s="140"/>
      <c r="Q9" s="274"/>
      <c r="R9" s="275"/>
      <c r="S9" s="140"/>
      <c r="T9" s="140"/>
      <c r="U9" s="140"/>
      <c r="V9" s="276"/>
      <c r="W9" s="145"/>
      <c r="X9" s="140"/>
      <c r="Y9" s="146"/>
      <c r="Z9" s="146"/>
      <c r="AA9" s="146"/>
      <c r="AB9" s="146"/>
      <c r="AC9" s="146"/>
      <c r="AD9" s="146"/>
      <c r="AE9" s="146"/>
      <c r="AF9" s="146"/>
      <c r="AG9" s="146"/>
      <c r="AH9" s="146"/>
      <c r="AI9" s="146"/>
      <c r="AJ9" s="146"/>
      <c r="AK9" s="146"/>
      <c r="AL9" s="146"/>
      <c r="AM9" s="146"/>
      <c r="AN9" s="146"/>
      <c r="AO9" s="277"/>
      <c r="AP9" s="277"/>
      <c r="AQ9" s="278"/>
      <c r="AR9" s="131"/>
      <c r="AS9" s="131"/>
      <c r="AT9" s="131"/>
      <c r="AU9" s="131"/>
      <c r="AV9" s="131"/>
      <c r="AW9" s="131"/>
      <c r="AX9" s="131"/>
      <c r="AY9" s="131"/>
      <c r="AZ9" s="131"/>
      <c r="BA9" s="131"/>
      <c r="BB9" s="131"/>
      <c r="BC9" s="131"/>
      <c r="BD9" s="131"/>
      <c r="BE9" s="131"/>
      <c r="BF9" s="131"/>
      <c r="BG9" s="131"/>
      <c r="BH9" s="131"/>
      <c r="BI9" s="131"/>
      <c r="BJ9" s="131"/>
      <c r="BK9" s="131"/>
    </row>
    <row r="10" spans="1:254" x14ac:dyDescent="0.25">
      <c r="A10" s="1544"/>
      <c r="B10" s="1547"/>
      <c r="C10" s="1547"/>
      <c r="D10" s="279">
        <v>28</v>
      </c>
      <c r="E10" s="159" t="s">
        <v>348</v>
      </c>
      <c r="F10" s="159"/>
      <c r="G10" s="159"/>
      <c r="H10" s="159"/>
      <c r="I10" s="159"/>
      <c r="J10" s="159"/>
      <c r="K10" s="153"/>
      <c r="L10" s="153"/>
      <c r="M10" s="154"/>
      <c r="N10" s="280"/>
      <c r="O10" s="153"/>
      <c r="P10" s="153"/>
      <c r="Q10" s="281"/>
      <c r="R10" s="282"/>
      <c r="S10" s="153"/>
      <c r="T10" s="153"/>
      <c r="U10" s="153"/>
      <c r="V10" s="283"/>
      <c r="W10" s="158"/>
      <c r="X10" s="153"/>
      <c r="Y10" s="159"/>
      <c r="Z10" s="159"/>
      <c r="AA10" s="159"/>
      <c r="AB10" s="159"/>
      <c r="AC10" s="159"/>
      <c r="AD10" s="159"/>
      <c r="AE10" s="159"/>
      <c r="AF10" s="159"/>
      <c r="AG10" s="159"/>
      <c r="AH10" s="159"/>
      <c r="AI10" s="159"/>
      <c r="AJ10" s="159"/>
      <c r="AK10" s="159"/>
      <c r="AL10" s="159"/>
      <c r="AM10" s="159"/>
      <c r="AN10" s="159"/>
      <c r="AO10" s="160"/>
      <c r="AP10" s="160"/>
      <c r="AQ10" s="284"/>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1"/>
      <c r="IT10" s="131"/>
    </row>
    <row r="11" spans="1:254" x14ac:dyDescent="0.25">
      <c r="A11" s="1544"/>
      <c r="B11" s="1547"/>
      <c r="C11" s="1547"/>
      <c r="D11" s="1549"/>
      <c r="E11" s="1547"/>
      <c r="F11" s="1547"/>
      <c r="G11" s="285">
        <v>89</v>
      </c>
      <c r="H11" s="172" t="s">
        <v>51</v>
      </c>
      <c r="I11" s="172"/>
      <c r="J11" s="172"/>
      <c r="K11" s="286"/>
      <c r="L11" s="286"/>
      <c r="M11" s="226"/>
      <c r="N11" s="287"/>
      <c r="O11" s="286"/>
      <c r="P11" s="286"/>
      <c r="Q11" s="288"/>
      <c r="R11" s="289"/>
      <c r="S11" s="286"/>
      <c r="T11" s="286"/>
      <c r="U11" s="286"/>
      <c r="V11" s="290"/>
      <c r="W11" s="291"/>
      <c r="X11" s="286"/>
      <c r="Y11" s="292"/>
      <c r="Z11" s="292"/>
      <c r="AA11" s="292"/>
      <c r="AB11" s="292"/>
      <c r="AC11" s="292"/>
      <c r="AD11" s="292"/>
      <c r="AE11" s="292"/>
      <c r="AF11" s="292"/>
      <c r="AG11" s="292"/>
      <c r="AH11" s="292"/>
      <c r="AI11" s="292"/>
      <c r="AJ11" s="292"/>
      <c r="AK11" s="292"/>
      <c r="AL11" s="292"/>
      <c r="AM11" s="292"/>
      <c r="AN11" s="292"/>
      <c r="AO11" s="293"/>
      <c r="AP11" s="293"/>
      <c r="AQ11" s="294"/>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c r="IT11" s="131"/>
    </row>
    <row r="12" spans="1:254" ht="50.25" customHeight="1" x14ac:dyDescent="0.25">
      <c r="A12" s="20"/>
      <c r="B12" s="1481"/>
      <c r="C12" s="1481"/>
      <c r="D12" s="1541"/>
      <c r="E12" s="1481"/>
      <c r="F12" s="1481"/>
      <c r="G12" s="1557"/>
      <c r="H12" s="1481"/>
      <c r="I12" s="1481"/>
      <c r="J12" s="2540">
        <v>275</v>
      </c>
      <c r="K12" s="2774" t="s">
        <v>349</v>
      </c>
      <c r="L12" s="1432" t="s">
        <v>350</v>
      </c>
      <c r="M12" s="1456">
        <v>4</v>
      </c>
      <c r="N12" s="2540" t="s">
        <v>351</v>
      </c>
      <c r="O12" s="2757" t="s">
        <v>352</v>
      </c>
      <c r="P12" s="2513" t="s">
        <v>353</v>
      </c>
      <c r="Q12" s="2732">
        <f>+SUM(V12:V13)/R12</f>
        <v>0.64534997205058287</v>
      </c>
      <c r="R12" s="2758">
        <f>SUM(V12:V18)</f>
        <v>1870945991</v>
      </c>
      <c r="S12" s="2513" t="s">
        <v>354</v>
      </c>
      <c r="T12" s="2774" t="s">
        <v>355</v>
      </c>
      <c r="U12" s="2776" t="s">
        <v>356</v>
      </c>
      <c r="V12" s="1717">
        <f>952473039-25058096-35000000</f>
        <v>892414943</v>
      </c>
      <c r="W12" s="1899">
        <v>20</v>
      </c>
      <c r="X12" s="1428" t="s">
        <v>357</v>
      </c>
      <c r="Y12" s="2763">
        <v>294321</v>
      </c>
      <c r="Z12" s="2549">
        <v>283947</v>
      </c>
      <c r="AA12" s="2549">
        <v>135754</v>
      </c>
      <c r="AB12" s="2549">
        <v>44640</v>
      </c>
      <c r="AC12" s="2549">
        <v>308178</v>
      </c>
      <c r="AD12" s="2549">
        <v>89696</v>
      </c>
      <c r="AE12" s="2549">
        <v>2145</v>
      </c>
      <c r="AF12" s="2549">
        <v>12718</v>
      </c>
      <c r="AG12" s="2549">
        <v>26</v>
      </c>
      <c r="AH12" s="2549">
        <v>37</v>
      </c>
      <c r="AI12" s="2549"/>
      <c r="AJ12" s="2549"/>
      <c r="AK12" s="2549">
        <v>54612</v>
      </c>
      <c r="AL12" s="2549">
        <v>21944</v>
      </c>
      <c r="AM12" s="2549">
        <v>1010</v>
      </c>
      <c r="AN12" s="2549">
        <f>+Y12+Z12</f>
        <v>578268</v>
      </c>
      <c r="AO12" s="2779">
        <v>43473</v>
      </c>
      <c r="AP12" s="2759">
        <v>43830</v>
      </c>
      <c r="AQ12" s="2762" t="s">
        <v>358</v>
      </c>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c r="IS12" s="131"/>
      <c r="IT12" s="131"/>
    </row>
    <row r="13" spans="1:254" ht="49.5" customHeight="1" x14ac:dyDescent="0.25">
      <c r="A13" s="20"/>
      <c r="B13" s="1481"/>
      <c r="C13" s="1481"/>
      <c r="D13" s="1541"/>
      <c r="E13" s="1481"/>
      <c r="F13" s="1481"/>
      <c r="G13" s="1541"/>
      <c r="H13" s="1481"/>
      <c r="I13" s="1481"/>
      <c r="J13" s="2519"/>
      <c r="K13" s="2775"/>
      <c r="L13" s="1432"/>
      <c r="M13" s="1616"/>
      <c r="N13" s="2597"/>
      <c r="O13" s="2757"/>
      <c r="P13" s="2513"/>
      <c r="Q13" s="2733"/>
      <c r="R13" s="2758"/>
      <c r="S13" s="2513"/>
      <c r="T13" s="2775"/>
      <c r="U13" s="2777"/>
      <c r="V13" s="1717">
        <f>0+359941904-44941904</f>
        <v>315000000</v>
      </c>
      <c r="W13" s="1899">
        <v>88</v>
      </c>
      <c r="X13" s="1428" t="s">
        <v>264</v>
      </c>
      <c r="Y13" s="2764"/>
      <c r="Z13" s="2727"/>
      <c r="AA13" s="2727"/>
      <c r="AB13" s="2727"/>
      <c r="AC13" s="2727"/>
      <c r="AD13" s="2727"/>
      <c r="AE13" s="2727"/>
      <c r="AF13" s="2727"/>
      <c r="AG13" s="2727"/>
      <c r="AH13" s="2727"/>
      <c r="AI13" s="2727"/>
      <c r="AJ13" s="2727"/>
      <c r="AK13" s="2727"/>
      <c r="AL13" s="2727"/>
      <c r="AM13" s="2727"/>
      <c r="AN13" s="2727"/>
      <c r="AO13" s="2780"/>
      <c r="AP13" s="2760"/>
      <c r="AQ13" s="2762"/>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row>
    <row r="14" spans="1:254" ht="54.75" customHeight="1" x14ac:dyDescent="0.25">
      <c r="A14" s="20"/>
      <c r="B14" s="2756"/>
      <c r="C14" s="2756"/>
      <c r="D14" s="1541"/>
      <c r="E14" s="2756"/>
      <c r="F14" s="2756"/>
      <c r="G14" s="1541"/>
      <c r="H14" s="2756"/>
      <c r="I14" s="2756"/>
      <c r="J14" s="2540">
        <v>276</v>
      </c>
      <c r="K14" s="2577" t="s">
        <v>359</v>
      </c>
      <c r="L14" s="2513" t="s">
        <v>360</v>
      </c>
      <c r="M14" s="2729">
        <v>1</v>
      </c>
      <c r="N14" s="2597"/>
      <c r="O14" s="2757"/>
      <c r="P14" s="2513"/>
      <c r="Q14" s="2730">
        <f>+SUM(V14:V15)/R12</f>
        <v>0.22102778486885782</v>
      </c>
      <c r="R14" s="2758"/>
      <c r="S14" s="2513"/>
      <c r="T14" s="2513" t="s">
        <v>361</v>
      </c>
      <c r="U14" s="2513" t="s">
        <v>362</v>
      </c>
      <c r="V14" s="1718">
        <f>240000000+25058096</f>
        <v>265058096</v>
      </c>
      <c r="W14" s="1899">
        <v>20</v>
      </c>
      <c r="X14" s="1428" t="s">
        <v>357</v>
      </c>
      <c r="Y14" s="2764"/>
      <c r="Z14" s="2727"/>
      <c r="AA14" s="2727"/>
      <c r="AB14" s="2727"/>
      <c r="AC14" s="2727"/>
      <c r="AD14" s="2727"/>
      <c r="AE14" s="2727"/>
      <c r="AF14" s="2727"/>
      <c r="AG14" s="2727"/>
      <c r="AH14" s="2727"/>
      <c r="AI14" s="2727"/>
      <c r="AJ14" s="2727"/>
      <c r="AK14" s="2727"/>
      <c r="AL14" s="2727"/>
      <c r="AM14" s="2727"/>
      <c r="AN14" s="2727"/>
      <c r="AO14" s="2780"/>
      <c r="AP14" s="2760"/>
      <c r="AQ14" s="2762"/>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row>
    <row r="15" spans="1:254" ht="60.75" customHeight="1" x14ac:dyDescent="0.25">
      <c r="A15" s="20"/>
      <c r="B15" s="1481"/>
      <c r="C15" s="1481"/>
      <c r="D15" s="1541"/>
      <c r="E15" s="1481"/>
      <c r="F15" s="1481"/>
      <c r="G15" s="1541"/>
      <c r="H15" s="1481"/>
      <c r="I15" s="1481"/>
      <c r="J15" s="2519"/>
      <c r="K15" s="2577"/>
      <c r="L15" s="2513"/>
      <c r="M15" s="2729"/>
      <c r="N15" s="2597"/>
      <c r="O15" s="2757"/>
      <c r="P15" s="2513"/>
      <c r="Q15" s="2730"/>
      <c r="R15" s="2758"/>
      <c r="S15" s="2513"/>
      <c r="T15" s="2513"/>
      <c r="U15" s="2513"/>
      <c r="V15" s="1718">
        <f>0+103531048+44941904</f>
        <v>148472952</v>
      </c>
      <c r="W15" s="1899">
        <v>88</v>
      </c>
      <c r="X15" s="1428" t="s">
        <v>264</v>
      </c>
      <c r="Y15" s="2764"/>
      <c r="Z15" s="2727"/>
      <c r="AA15" s="2727"/>
      <c r="AB15" s="2727"/>
      <c r="AC15" s="2727"/>
      <c r="AD15" s="2727"/>
      <c r="AE15" s="2727"/>
      <c r="AF15" s="2727"/>
      <c r="AG15" s="2727"/>
      <c r="AH15" s="2727"/>
      <c r="AI15" s="2727"/>
      <c r="AJ15" s="2727"/>
      <c r="AK15" s="2727"/>
      <c r="AL15" s="2727"/>
      <c r="AM15" s="2727"/>
      <c r="AN15" s="2727"/>
      <c r="AO15" s="2780"/>
      <c r="AP15" s="2760"/>
      <c r="AQ15" s="2762"/>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31"/>
    </row>
    <row r="16" spans="1:254" x14ac:dyDescent="0.25">
      <c r="A16" s="20"/>
      <c r="B16" s="1481"/>
      <c r="C16" s="1481"/>
      <c r="D16" s="1541"/>
      <c r="E16" s="1481"/>
      <c r="F16" s="1481"/>
      <c r="G16" s="1541"/>
      <c r="H16" s="1481"/>
      <c r="I16" s="1481"/>
      <c r="J16" s="2597">
        <v>277</v>
      </c>
      <c r="K16" s="2513" t="s">
        <v>363</v>
      </c>
      <c r="L16" s="2513" t="s">
        <v>364</v>
      </c>
      <c r="M16" s="2729">
        <v>1</v>
      </c>
      <c r="N16" s="2597"/>
      <c r="O16" s="2757"/>
      <c r="P16" s="2513"/>
      <c r="Q16" s="2730">
        <f>+V16/R12</f>
        <v>0.13362224308055934</v>
      </c>
      <c r="R16" s="2758"/>
      <c r="S16" s="2513"/>
      <c r="T16" s="2513" t="s">
        <v>365</v>
      </c>
      <c r="U16" s="2513" t="s">
        <v>366</v>
      </c>
      <c r="V16" s="2731">
        <v>250000000</v>
      </c>
      <c r="W16" s="2765">
        <v>56</v>
      </c>
      <c r="X16" s="2597" t="s">
        <v>367</v>
      </c>
      <c r="Y16" s="2727"/>
      <c r="Z16" s="2727"/>
      <c r="AA16" s="2727"/>
      <c r="AB16" s="2727"/>
      <c r="AC16" s="2727"/>
      <c r="AD16" s="2727"/>
      <c r="AE16" s="2727"/>
      <c r="AF16" s="2727"/>
      <c r="AG16" s="2727"/>
      <c r="AH16" s="2727"/>
      <c r="AI16" s="2727"/>
      <c r="AJ16" s="2727"/>
      <c r="AK16" s="2727"/>
      <c r="AL16" s="2727"/>
      <c r="AM16" s="2727"/>
      <c r="AN16" s="2727"/>
      <c r="AO16" s="2780"/>
      <c r="AP16" s="2760"/>
      <c r="AQ16" s="2762"/>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c r="IS16" s="131"/>
      <c r="IT16" s="131"/>
    </row>
    <row r="17" spans="1:254" x14ac:dyDescent="0.25">
      <c r="A17" s="20"/>
      <c r="B17" s="1481"/>
      <c r="C17" s="1481"/>
      <c r="D17" s="1541"/>
      <c r="E17" s="1481"/>
      <c r="F17" s="1481"/>
      <c r="G17" s="1541"/>
      <c r="H17" s="1481"/>
      <c r="I17" s="1481"/>
      <c r="J17" s="2597"/>
      <c r="K17" s="2513"/>
      <c r="L17" s="2513"/>
      <c r="M17" s="2729"/>
      <c r="N17" s="2597"/>
      <c r="O17" s="2757"/>
      <c r="P17" s="2513"/>
      <c r="Q17" s="2730"/>
      <c r="R17" s="2758"/>
      <c r="S17" s="2513"/>
      <c r="T17" s="2513"/>
      <c r="U17" s="2513"/>
      <c r="V17" s="2731"/>
      <c r="W17" s="2765"/>
      <c r="X17" s="2597"/>
      <c r="Y17" s="2727"/>
      <c r="Z17" s="2727"/>
      <c r="AA17" s="2727"/>
      <c r="AB17" s="2727"/>
      <c r="AC17" s="2727"/>
      <c r="AD17" s="2727"/>
      <c r="AE17" s="2727"/>
      <c r="AF17" s="2727"/>
      <c r="AG17" s="2727"/>
      <c r="AH17" s="2727"/>
      <c r="AI17" s="2727"/>
      <c r="AJ17" s="2727"/>
      <c r="AK17" s="2727"/>
      <c r="AL17" s="2727"/>
      <c r="AM17" s="2727"/>
      <c r="AN17" s="2727"/>
      <c r="AO17" s="2780"/>
      <c r="AP17" s="2760"/>
      <c r="AQ17" s="2762"/>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row>
    <row r="18" spans="1:254" ht="57" customHeight="1" x14ac:dyDescent="0.25">
      <c r="A18" s="20"/>
      <c r="B18" s="1481"/>
      <c r="C18" s="1481"/>
      <c r="D18" s="1541"/>
      <c r="E18" s="1481"/>
      <c r="F18" s="1481"/>
      <c r="G18" s="1541"/>
      <c r="H18" s="1481"/>
      <c r="I18" s="1481"/>
      <c r="J18" s="2597"/>
      <c r="K18" s="2513"/>
      <c r="L18" s="2513"/>
      <c r="M18" s="2729"/>
      <c r="N18" s="2519"/>
      <c r="O18" s="2757"/>
      <c r="P18" s="2513"/>
      <c r="Q18" s="2730"/>
      <c r="R18" s="2758"/>
      <c r="S18" s="2513"/>
      <c r="T18" s="2513"/>
      <c r="U18" s="2513"/>
      <c r="V18" s="2731"/>
      <c r="W18" s="2765"/>
      <c r="X18" s="2597"/>
      <c r="Y18" s="2728"/>
      <c r="Z18" s="2728"/>
      <c r="AA18" s="2728"/>
      <c r="AB18" s="2728"/>
      <c r="AC18" s="2728"/>
      <c r="AD18" s="2728"/>
      <c r="AE18" s="2728"/>
      <c r="AF18" s="2728"/>
      <c r="AG18" s="2728"/>
      <c r="AH18" s="2728"/>
      <c r="AI18" s="2728"/>
      <c r="AJ18" s="2728"/>
      <c r="AK18" s="2728"/>
      <c r="AL18" s="2728"/>
      <c r="AM18" s="2728"/>
      <c r="AN18" s="2728"/>
      <c r="AO18" s="2781"/>
      <c r="AP18" s="2761"/>
      <c r="AQ18" s="2762"/>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c r="IS18" s="131"/>
      <c r="IT18" s="131"/>
    </row>
    <row r="19" spans="1:254" ht="90" x14ac:dyDescent="0.25">
      <c r="A19" s="20"/>
      <c r="B19" s="2756"/>
      <c r="C19" s="2756"/>
      <c r="D19" s="1541"/>
      <c r="E19" s="2756"/>
      <c r="F19" s="2756"/>
      <c r="G19" s="1541"/>
      <c r="H19" s="2756"/>
      <c r="I19" s="2756"/>
      <c r="J19" s="1434">
        <v>278</v>
      </c>
      <c r="K19" s="1435" t="s">
        <v>368</v>
      </c>
      <c r="L19" s="1435" t="s">
        <v>369</v>
      </c>
      <c r="M19" s="1482">
        <v>1</v>
      </c>
      <c r="N19" s="2540" t="s">
        <v>370</v>
      </c>
      <c r="O19" s="2757" t="s">
        <v>371</v>
      </c>
      <c r="P19" s="2513" t="s">
        <v>372</v>
      </c>
      <c r="Q19" s="1483">
        <f>+V19/R19</f>
        <v>2.3035344376974434E-2</v>
      </c>
      <c r="R19" s="2758">
        <f>SUM(V19:V21)</f>
        <v>477527048</v>
      </c>
      <c r="S19" s="2513" t="s">
        <v>373</v>
      </c>
      <c r="T19" s="1417" t="s">
        <v>374</v>
      </c>
      <c r="U19" s="1806" t="s">
        <v>375</v>
      </c>
      <c r="V19" s="1285">
        <f>10000000+1000000</f>
        <v>11000000</v>
      </c>
      <c r="W19" s="1899">
        <v>20</v>
      </c>
      <c r="X19" s="1807" t="s">
        <v>275</v>
      </c>
      <c r="Y19" s="2782">
        <v>294321</v>
      </c>
      <c r="Z19" s="2771">
        <v>283947</v>
      </c>
      <c r="AA19" s="2771">
        <v>135754</v>
      </c>
      <c r="AB19" s="2771">
        <v>44640</v>
      </c>
      <c r="AC19" s="2771">
        <v>308178</v>
      </c>
      <c r="AD19" s="2771">
        <v>89696</v>
      </c>
      <c r="AE19" s="2771">
        <v>2145</v>
      </c>
      <c r="AF19" s="2771">
        <v>12718</v>
      </c>
      <c r="AG19" s="2771">
        <v>26</v>
      </c>
      <c r="AH19" s="2771">
        <v>37</v>
      </c>
      <c r="AI19" s="2771">
        <v>0</v>
      </c>
      <c r="AJ19" s="2771">
        <v>0</v>
      </c>
      <c r="AK19" s="2771">
        <v>54612</v>
      </c>
      <c r="AL19" s="2771">
        <v>21944</v>
      </c>
      <c r="AM19" s="2771">
        <v>1010</v>
      </c>
      <c r="AN19" s="2771">
        <f>+Y19+Z19</f>
        <v>578268</v>
      </c>
      <c r="AO19" s="2778">
        <v>43473</v>
      </c>
      <c r="AP19" s="2766">
        <v>43830</v>
      </c>
      <c r="AQ19" s="2762" t="s">
        <v>376</v>
      </c>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c r="IS19" s="131"/>
      <c r="IT19" s="131"/>
    </row>
    <row r="20" spans="1:254" ht="65.25" customHeight="1" x14ac:dyDescent="0.25">
      <c r="A20" s="20"/>
      <c r="B20" s="1481"/>
      <c r="C20" s="1481"/>
      <c r="D20" s="1541"/>
      <c r="E20" s="1481"/>
      <c r="F20" s="1481"/>
      <c r="G20" s="1541"/>
      <c r="H20" s="1481"/>
      <c r="I20" s="1481"/>
      <c r="J20" s="2540">
        <v>279</v>
      </c>
      <c r="K20" s="2774" t="s">
        <v>377</v>
      </c>
      <c r="L20" s="2540" t="s">
        <v>378</v>
      </c>
      <c r="M20" s="2540">
        <v>1</v>
      </c>
      <c r="N20" s="2597"/>
      <c r="O20" s="2757"/>
      <c r="P20" s="2513"/>
      <c r="Q20" s="2732">
        <f>+SUM(V20:V21)/R19</f>
        <v>0.97696465562302559</v>
      </c>
      <c r="R20" s="2758"/>
      <c r="S20" s="2513"/>
      <c r="T20" s="2786" t="s">
        <v>379</v>
      </c>
      <c r="U20" s="2788" t="s">
        <v>380</v>
      </c>
      <c r="V20" s="1285">
        <f>306000000+34000000</f>
        <v>340000000</v>
      </c>
      <c r="W20" s="1899">
        <v>20</v>
      </c>
      <c r="X20" s="1807" t="s">
        <v>275</v>
      </c>
      <c r="Y20" s="2783"/>
      <c r="Z20" s="2772"/>
      <c r="AA20" s="2772"/>
      <c r="AB20" s="2772"/>
      <c r="AC20" s="2772"/>
      <c r="AD20" s="2772"/>
      <c r="AE20" s="2772"/>
      <c r="AF20" s="2772"/>
      <c r="AG20" s="2772"/>
      <c r="AH20" s="2772"/>
      <c r="AI20" s="2772"/>
      <c r="AJ20" s="2772"/>
      <c r="AK20" s="2772"/>
      <c r="AL20" s="2772"/>
      <c r="AM20" s="2772"/>
      <c r="AN20" s="2772"/>
      <c r="AO20" s="2778"/>
      <c r="AP20" s="2766"/>
      <c r="AQ20" s="2762"/>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c r="IR20" s="131"/>
      <c r="IS20" s="131"/>
      <c r="IT20" s="131"/>
    </row>
    <row r="21" spans="1:254" ht="57" customHeight="1" thickBot="1" x14ac:dyDescent="0.3">
      <c r="A21" s="20"/>
      <c r="B21" s="1481"/>
      <c r="C21" s="1481"/>
      <c r="D21" s="1541"/>
      <c r="E21" s="1481"/>
      <c r="F21" s="1481"/>
      <c r="G21" s="1541"/>
      <c r="H21" s="1481"/>
      <c r="I21" s="1481"/>
      <c r="J21" s="2784"/>
      <c r="K21" s="2785"/>
      <c r="L21" s="2784"/>
      <c r="M21" s="2784"/>
      <c r="N21" s="2597"/>
      <c r="O21" s="2520"/>
      <c r="P21" s="2513"/>
      <c r="Q21" s="2790"/>
      <c r="R21" s="2758"/>
      <c r="S21" s="2513"/>
      <c r="T21" s="2787"/>
      <c r="U21" s="2789"/>
      <c r="V21" s="1717">
        <f>0+126527048</f>
        <v>126527048</v>
      </c>
      <c r="W21" s="1901">
        <v>88</v>
      </c>
      <c r="X21" s="1808" t="s">
        <v>264</v>
      </c>
      <c r="Y21" s="2783"/>
      <c r="Z21" s="2772"/>
      <c r="AA21" s="2772"/>
      <c r="AB21" s="2772"/>
      <c r="AC21" s="2772"/>
      <c r="AD21" s="2772"/>
      <c r="AE21" s="2772"/>
      <c r="AF21" s="2772"/>
      <c r="AG21" s="2772"/>
      <c r="AH21" s="2772"/>
      <c r="AI21" s="2772"/>
      <c r="AJ21" s="2772"/>
      <c r="AK21" s="2772"/>
      <c r="AL21" s="2772"/>
      <c r="AM21" s="2772"/>
      <c r="AN21" s="2772"/>
      <c r="AO21" s="2779"/>
      <c r="AP21" s="2759"/>
      <c r="AQ21" s="2767"/>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c r="IR21" s="131"/>
      <c r="IS21" s="131"/>
      <c r="IT21" s="131"/>
    </row>
    <row r="22" spans="1:254" ht="39" customHeight="1" thickBot="1" x14ac:dyDescent="0.3">
      <c r="A22" s="295"/>
      <c r="B22" s="22"/>
      <c r="C22" s="22"/>
      <c r="D22" s="22"/>
      <c r="E22" s="22"/>
      <c r="F22" s="22"/>
      <c r="G22" s="22"/>
      <c r="H22" s="22"/>
      <c r="I22" s="22"/>
      <c r="J22" s="296"/>
      <c r="K22" s="297"/>
      <c r="L22" s="297"/>
      <c r="M22" s="23"/>
      <c r="N22" s="297"/>
      <c r="O22" s="297"/>
      <c r="P22" s="297"/>
      <c r="Q22" s="298"/>
      <c r="R22" s="299">
        <f>SUM(R12:R21)</f>
        <v>2348473039</v>
      </c>
      <c r="S22" s="300"/>
      <c r="T22" s="297"/>
      <c r="U22" s="247"/>
      <c r="V22" s="1900">
        <f>SUM(V12:V21)</f>
        <v>2348473039</v>
      </c>
      <c r="W22" s="1902"/>
      <c r="X22" s="237"/>
      <c r="Y22" s="22"/>
      <c r="Z22" s="22"/>
      <c r="AA22" s="22"/>
      <c r="AB22" s="22"/>
      <c r="AC22" s="22"/>
      <c r="AD22" s="22"/>
      <c r="AE22" s="22"/>
      <c r="AF22" s="22"/>
      <c r="AG22" s="22"/>
      <c r="AH22" s="22"/>
      <c r="AI22" s="22"/>
      <c r="AJ22" s="22"/>
      <c r="AK22" s="22"/>
      <c r="AL22" s="22"/>
      <c r="AM22" s="22"/>
      <c r="AN22" s="22"/>
      <c r="AO22" s="245"/>
      <c r="AP22" s="301"/>
      <c r="AQ22" s="247"/>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row>
    <row r="23" spans="1:254" x14ac:dyDescent="0.25">
      <c r="A23" s="2768"/>
      <c r="B23" s="2768"/>
      <c r="C23" s="2768"/>
      <c r="D23" s="2768"/>
      <c r="E23" s="2768"/>
      <c r="F23" s="2768"/>
      <c r="G23" s="2768"/>
      <c r="H23" s="2768"/>
      <c r="I23" s="2768"/>
      <c r="J23" s="2768"/>
      <c r="K23" s="2768"/>
      <c r="L23" s="2768"/>
      <c r="M23" s="2768"/>
      <c r="N23" s="2768"/>
      <c r="O23" s="2768"/>
      <c r="P23" s="2768"/>
      <c r="Q23" s="2768"/>
      <c r="R23" s="302" t="s">
        <v>381</v>
      </c>
      <c r="S23" s="2769"/>
      <c r="T23" s="2769"/>
      <c r="U23" s="2769"/>
      <c r="V23" s="303"/>
      <c r="W23" s="304"/>
      <c r="X23" s="178"/>
      <c r="Y23" s="131"/>
      <c r="Z23" s="305"/>
      <c r="AA23" s="305"/>
      <c r="AB23" s="305"/>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5"/>
      <c r="BE23" s="305"/>
      <c r="BF23" s="306"/>
      <c r="BG23" s="306"/>
      <c r="BH23" s="306"/>
      <c r="BI23" s="306"/>
      <c r="BJ23" s="306"/>
      <c r="BK23" s="306"/>
      <c r="BL23" s="306"/>
      <c r="BM23" s="306"/>
    </row>
    <row r="24" spans="1:254" x14ac:dyDescent="0.25">
      <c r="A24" s="1478"/>
      <c r="B24" s="1478"/>
      <c r="C24" s="1478"/>
      <c r="D24" s="1478"/>
      <c r="E24" s="1478"/>
      <c r="F24" s="1478"/>
      <c r="G24" s="1478"/>
      <c r="H24" s="1478"/>
      <c r="I24" s="1478"/>
      <c r="J24" s="1478"/>
      <c r="K24" s="1478"/>
      <c r="L24" s="1478"/>
      <c r="M24" s="1478"/>
      <c r="N24" s="1478"/>
      <c r="O24" s="1478"/>
      <c r="P24" s="1478"/>
      <c r="Q24" s="1478"/>
      <c r="R24" s="302"/>
      <c r="S24" s="1479"/>
      <c r="T24" s="1479"/>
      <c r="U24" s="1479"/>
      <c r="V24" s="303"/>
      <c r="W24" s="304"/>
      <c r="X24" s="178"/>
      <c r="Y24" s="1169"/>
      <c r="Z24" s="1169"/>
      <c r="AA24" s="1169"/>
      <c r="AB24" s="1169"/>
      <c r="AC24" s="1169"/>
      <c r="AD24" s="1169"/>
      <c r="AE24" s="1169"/>
      <c r="AF24" s="1169"/>
      <c r="AG24" s="1169"/>
      <c r="AH24" s="1169"/>
      <c r="AI24" s="1169"/>
      <c r="AJ24" s="1169"/>
      <c r="AK24" s="1169"/>
      <c r="AL24" s="1169"/>
      <c r="AM24" s="1169"/>
      <c r="AN24" s="1169"/>
      <c r="AO24" s="306"/>
      <c r="AP24" s="306"/>
      <c r="AQ24" s="306"/>
      <c r="AR24" s="306"/>
      <c r="AS24" s="306"/>
      <c r="AT24" s="306"/>
      <c r="AU24" s="306"/>
      <c r="AV24" s="306"/>
      <c r="AW24" s="306"/>
      <c r="AX24" s="306"/>
      <c r="AY24" s="306"/>
      <c r="AZ24" s="306"/>
      <c r="BA24" s="306"/>
      <c r="BB24" s="306"/>
      <c r="BC24" s="306"/>
      <c r="BD24" s="305"/>
      <c r="BE24" s="305"/>
      <c r="BF24" s="306"/>
      <c r="BG24" s="306"/>
      <c r="BH24" s="306"/>
      <c r="BI24" s="306"/>
      <c r="BJ24" s="306"/>
      <c r="BK24" s="306"/>
      <c r="BL24" s="306"/>
      <c r="BM24" s="306"/>
    </row>
    <row r="25" spans="1:254" x14ac:dyDescent="0.25">
      <c r="A25" s="1478"/>
      <c r="B25" s="1478"/>
      <c r="C25" s="1478"/>
      <c r="D25" s="1478"/>
      <c r="E25" s="1478"/>
      <c r="F25" s="1478"/>
      <c r="G25" s="1478"/>
      <c r="H25" s="1478"/>
      <c r="I25" s="1478"/>
      <c r="J25" s="1478"/>
      <c r="K25" s="1478"/>
      <c r="L25" s="1478"/>
      <c r="M25" s="1478"/>
      <c r="N25" s="1478"/>
      <c r="O25" s="1478"/>
      <c r="P25" s="1478"/>
      <c r="Q25" s="1478"/>
      <c r="R25" s="302"/>
      <c r="S25" s="1479"/>
      <c r="T25" s="1479"/>
      <c r="U25" s="1479"/>
      <c r="V25" s="303"/>
      <c r="W25" s="304"/>
      <c r="X25" s="178"/>
      <c r="Y25" s="131"/>
      <c r="Z25" s="305"/>
      <c r="AA25" s="305"/>
      <c r="AB25" s="305"/>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5"/>
      <c r="BE25" s="305"/>
      <c r="BF25" s="306"/>
      <c r="BG25" s="306"/>
      <c r="BH25" s="306"/>
      <c r="BI25" s="306"/>
      <c r="BJ25" s="306"/>
      <c r="BK25" s="306"/>
      <c r="BL25" s="306"/>
      <c r="BM25" s="306"/>
    </row>
    <row r="26" spans="1:254" x14ac:dyDescent="0.25">
      <c r="A26" s="1478"/>
      <c r="B26" s="1478"/>
      <c r="C26" s="1478"/>
      <c r="D26" s="1478"/>
      <c r="E26" s="1478"/>
      <c r="F26" s="1478"/>
      <c r="G26" s="1478"/>
      <c r="H26" s="1478"/>
      <c r="I26" s="1478"/>
      <c r="J26" s="1478"/>
      <c r="K26" s="1478"/>
      <c r="L26" s="1478"/>
      <c r="M26" s="1478"/>
      <c r="N26" s="1478"/>
      <c r="O26" s="1478"/>
      <c r="P26" s="1478"/>
      <c r="Q26" s="1478"/>
      <c r="R26" s="302"/>
      <c r="S26" s="1479"/>
      <c r="T26" s="1479"/>
      <c r="U26" s="1479"/>
      <c r="V26" s="303"/>
      <c r="W26" s="304"/>
      <c r="X26" s="178"/>
      <c r="Y26" s="1169"/>
      <c r="Z26" s="1169"/>
      <c r="AA26" s="1169"/>
      <c r="AB26" s="1169"/>
      <c r="AC26" s="1169"/>
      <c r="AD26" s="1169"/>
      <c r="AE26" s="1169"/>
      <c r="AF26" s="1169"/>
      <c r="AG26" s="1169"/>
      <c r="AH26" s="1169"/>
      <c r="AI26" s="1169"/>
      <c r="AJ26" s="1169"/>
      <c r="AK26" s="1169"/>
      <c r="AL26" s="1169"/>
      <c r="AM26" s="1169"/>
      <c r="AN26" s="1169"/>
      <c r="AO26" s="1169"/>
      <c r="AP26" s="306"/>
      <c r="AQ26" s="306"/>
      <c r="AR26" s="306"/>
      <c r="AS26" s="306"/>
      <c r="AT26" s="306"/>
      <c r="AU26" s="306"/>
      <c r="AV26" s="306"/>
      <c r="AW26" s="306"/>
      <c r="AX26" s="306"/>
      <c r="AY26" s="306"/>
      <c r="AZ26" s="306"/>
      <c r="BA26" s="306"/>
      <c r="BB26" s="306"/>
      <c r="BC26" s="306"/>
      <c r="BD26" s="305"/>
      <c r="BE26" s="305"/>
      <c r="BF26" s="306"/>
      <c r="BG26" s="306"/>
      <c r="BH26" s="306"/>
      <c r="BI26" s="306"/>
      <c r="BJ26" s="306"/>
      <c r="BK26" s="306"/>
      <c r="BL26" s="306"/>
      <c r="BM26" s="306"/>
    </row>
    <row r="27" spans="1:254" x14ac:dyDescent="0.25">
      <c r="J27" s="307"/>
      <c r="K27" s="205"/>
      <c r="L27" s="1466"/>
      <c r="M27" s="1558"/>
      <c r="N27" s="1466"/>
      <c r="O27" s="1466"/>
      <c r="P27" s="1466"/>
      <c r="Q27" s="1558"/>
      <c r="R27" s="308"/>
      <c r="S27" s="1466"/>
      <c r="T27" s="205"/>
      <c r="U27" s="205"/>
      <c r="V27" s="309"/>
    </row>
    <row r="28" spans="1:254" x14ac:dyDescent="0.25">
      <c r="J28" s="307"/>
      <c r="K28" s="205"/>
      <c r="L28" s="1466"/>
      <c r="M28" s="2770" t="s">
        <v>382</v>
      </c>
      <c r="N28" s="2770"/>
      <c r="O28" s="2770"/>
      <c r="P28" s="2770"/>
      <c r="Q28" s="2770"/>
      <c r="R28" s="2770"/>
      <c r="S28" s="2770"/>
      <c r="T28" s="205"/>
      <c r="U28" s="205"/>
      <c r="V28" s="309"/>
    </row>
    <row r="29" spans="1:254" x14ac:dyDescent="0.25">
      <c r="J29" s="307"/>
      <c r="K29" s="205"/>
      <c r="L29" s="1466"/>
      <c r="M29" s="2773" t="s">
        <v>383</v>
      </c>
      <c r="N29" s="2773"/>
      <c r="O29" s="2773"/>
      <c r="P29" s="2773"/>
      <c r="Q29" s="2773"/>
      <c r="R29" s="2773"/>
      <c r="S29" s="2773"/>
      <c r="T29" s="205"/>
      <c r="U29" s="205"/>
      <c r="V29" s="309"/>
    </row>
  </sheetData>
  <sheetProtection password="A60F" sheet="1" objects="1" scenarios="1"/>
  <mergeCells count="119">
    <mergeCell ref="M29:S29"/>
    <mergeCell ref="AL19:AL21"/>
    <mergeCell ref="J12:J13"/>
    <mergeCell ref="K12:K13"/>
    <mergeCell ref="T12:T13"/>
    <mergeCell ref="U12:U13"/>
    <mergeCell ref="AO19:AO21"/>
    <mergeCell ref="AM12:AM18"/>
    <mergeCell ref="AN12:AN18"/>
    <mergeCell ref="AO12:AO18"/>
    <mergeCell ref="Y19:Y21"/>
    <mergeCell ref="Z19:Z21"/>
    <mergeCell ref="AA19:AA21"/>
    <mergeCell ref="AB19:AB21"/>
    <mergeCell ref="J20:J21"/>
    <mergeCell ref="K20:K21"/>
    <mergeCell ref="T20:T21"/>
    <mergeCell ref="U20:U21"/>
    <mergeCell ref="L20:L21"/>
    <mergeCell ref="M20:M21"/>
    <mergeCell ref="Q20:Q21"/>
    <mergeCell ref="AP19:AP21"/>
    <mergeCell ref="AQ19:AQ21"/>
    <mergeCell ref="A23:Q23"/>
    <mergeCell ref="S23:U23"/>
    <mergeCell ref="M28:S28"/>
    <mergeCell ref="AC19:AC21"/>
    <mergeCell ref="AD19:AD21"/>
    <mergeCell ref="AE19:AE21"/>
    <mergeCell ref="AF19:AF21"/>
    <mergeCell ref="AG19:AG21"/>
    <mergeCell ref="AH19:AH21"/>
    <mergeCell ref="AI19:AI21"/>
    <mergeCell ref="AJ19:AJ21"/>
    <mergeCell ref="AK19:AK21"/>
    <mergeCell ref="B19:C19"/>
    <mergeCell ref="E19:F19"/>
    <mergeCell ref="H19:I19"/>
    <mergeCell ref="N19:N21"/>
    <mergeCell ref="O19:O21"/>
    <mergeCell ref="P19:P21"/>
    <mergeCell ref="R19:R21"/>
    <mergeCell ref="S19:S21"/>
    <mergeCell ref="AM19:AM21"/>
    <mergeCell ref="AN19:AN21"/>
    <mergeCell ref="AP12:AP18"/>
    <mergeCell ref="AQ12:AQ18"/>
    <mergeCell ref="U14:U15"/>
    <mergeCell ref="AE12:AE18"/>
    <mergeCell ref="AF12:AF18"/>
    <mergeCell ref="AG12:AG18"/>
    <mergeCell ref="AH12:AH18"/>
    <mergeCell ref="AI12:AI18"/>
    <mergeCell ref="AJ12:AJ18"/>
    <mergeCell ref="AK12:AK18"/>
    <mergeCell ref="AL12:AL18"/>
    <mergeCell ref="AD12:AD18"/>
    <mergeCell ref="Y12:Y18"/>
    <mergeCell ref="Z12:Z18"/>
    <mergeCell ref="AB12:AB18"/>
    <mergeCell ref="AC12:AC18"/>
    <mergeCell ref="W16:W18"/>
    <mergeCell ref="X16:X18"/>
    <mergeCell ref="B14:C14"/>
    <mergeCell ref="E14:F14"/>
    <mergeCell ref="H14:I14"/>
    <mergeCell ref="J14:J15"/>
    <mergeCell ref="K14:K15"/>
    <mergeCell ref="L14:L15"/>
    <mergeCell ref="M14:M15"/>
    <mergeCell ref="Q14:Q15"/>
    <mergeCell ref="T14:T15"/>
    <mergeCell ref="N12:N18"/>
    <mergeCell ref="O12:O18"/>
    <mergeCell ref="P12:P18"/>
    <mergeCell ref="R12:R18"/>
    <mergeCell ref="S12:S18"/>
    <mergeCell ref="A1:AO4"/>
    <mergeCell ref="A5:M6"/>
    <mergeCell ref="N5:AQ5"/>
    <mergeCell ref="Y6:AM6"/>
    <mergeCell ref="A7:A8"/>
    <mergeCell ref="B7:C8"/>
    <mergeCell ref="D7:D8"/>
    <mergeCell ref="E7:F8"/>
    <mergeCell ref="G7:G8"/>
    <mergeCell ref="H7:I8"/>
    <mergeCell ref="AN7:AN8"/>
    <mergeCell ref="AO7:AO8"/>
    <mergeCell ref="AP7:AP8"/>
    <mergeCell ref="AQ7:AQ8"/>
    <mergeCell ref="AA7:AD7"/>
    <mergeCell ref="AE7:AJ7"/>
    <mergeCell ref="AK7:AM7"/>
    <mergeCell ref="V7:V8"/>
    <mergeCell ref="X7:X8"/>
    <mergeCell ref="Y7:Z7"/>
    <mergeCell ref="P7:P8"/>
    <mergeCell ref="Q7:Q8"/>
    <mergeCell ref="R7:R8"/>
    <mergeCell ref="S7:S8"/>
    <mergeCell ref="T7:T8"/>
    <mergeCell ref="U7:U8"/>
    <mergeCell ref="J7:J8"/>
    <mergeCell ref="K7:K8"/>
    <mergeCell ref="L7:L8"/>
    <mergeCell ref="M7:M8"/>
    <mergeCell ref="AA12:AA18"/>
    <mergeCell ref="N7:N8"/>
    <mergeCell ref="O7:O8"/>
    <mergeCell ref="J16:J18"/>
    <mergeCell ref="K16:K18"/>
    <mergeCell ref="L16:L18"/>
    <mergeCell ref="M16:M18"/>
    <mergeCell ref="Q16:Q18"/>
    <mergeCell ref="T16:T18"/>
    <mergeCell ref="U16:U18"/>
    <mergeCell ref="V16:V18"/>
    <mergeCell ref="Q12:Q1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K71"/>
  <sheetViews>
    <sheetView showGridLines="0" zoomScale="50" zoomScaleNormal="50" workbookViewId="0">
      <selection sqref="A1:AO4"/>
    </sheetView>
  </sheetViews>
  <sheetFormatPr baseColWidth="10" defaultColWidth="11.42578125" defaultRowHeight="27" customHeight="1" x14ac:dyDescent="0.2"/>
  <cols>
    <col min="1" max="1" width="21.140625" style="437" customWidth="1"/>
    <col min="2" max="10" width="21.140625" style="404" customWidth="1"/>
    <col min="11" max="11" width="44" style="438" customWidth="1"/>
    <col min="12" max="12" width="42.5703125" style="412" customWidth="1"/>
    <col min="13" max="13" width="23.42578125" style="412" customWidth="1"/>
    <col min="14" max="14" width="38.5703125" style="412" customWidth="1"/>
    <col min="15" max="15" width="29.5703125" style="439" customWidth="1"/>
    <col min="16" max="16" width="42.5703125" style="438" customWidth="1"/>
    <col min="17" max="17" width="15.28515625" style="440" customWidth="1"/>
    <col min="18" max="18" width="31.5703125" style="444" customWidth="1"/>
    <col min="19" max="19" width="44.85546875" style="438" customWidth="1"/>
    <col min="20" max="20" width="55.85546875" style="438" customWidth="1"/>
    <col min="21" max="21" width="68" style="438" customWidth="1"/>
    <col min="22" max="22" width="32" style="833" customWidth="1"/>
    <col min="23" max="23" width="28.28515625" style="441" customWidth="1"/>
    <col min="24" max="24" width="39.42578125" style="442" customWidth="1"/>
    <col min="25" max="25" width="12" style="404" customWidth="1"/>
    <col min="26" max="26" width="10.85546875" style="404" bestFit="1" customWidth="1"/>
    <col min="27" max="27" width="36.28515625" style="404" customWidth="1"/>
    <col min="28" max="28" width="34.85546875" style="404" customWidth="1"/>
    <col min="29" max="29" width="39.42578125" style="404" customWidth="1"/>
    <col min="30" max="30" width="9.85546875" style="404" customWidth="1"/>
    <col min="31" max="31" width="7.5703125" style="404" bestFit="1" customWidth="1"/>
    <col min="32" max="32" width="8.42578125" style="404" bestFit="1" customWidth="1"/>
    <col min="33" max="35" width="4.42578125" style="404" customWidth="1"/>
    <col min="36" max="36" width="4.42578125" style="404" bestFit="1" customWidth="1"/>
    <col min="37" max="38" width="9" style="404" bestFit="1" customWidth="1"/>
    <col min="39" max="39" width="8.85546875" style="404" customWidth="1"/>
    <col min="40" max="40" width="10.85546875" style="404" bestFit="1" customWidth="1"/>
    <col min="41" max="41" width="21.85546875" style="834" customWidth="1"/>
    <col min="42" max="42" width="21.140625" style="443" customWidth="1"/>
    <col min="43" max="43" width="24.85546875" style="835" customWidth="1"/>
    <col min="44" max="44" width="28.140625" style="404" customWidth="1"/>
    <col min="45" max="49" width="11.42578125" style="404"/>
    <col min="50" max="50" width="28" style="404" customWidth="1"/>
    <col min="51" max="16384" width="11.42578125" style="404"/>
  </cols>
  <sheetData>
    <row r="1" spans="1:63" ht="30" customHeight="1" x14ac:dyDescent="0.2">
      <c r="A1" s="2734" t="s">
        <v>1766</v>
      </c>
      <c r="B1" s="2735"/>
      <c r="C1" s="2735"/>
      <c r="D1" s="2735"/>
      <c r="E1" s="2735"/>
      <c r="F1" s="2735"/>
      <c r="G1" s="2735"/>
      <c r="H1" s="2735"/>
      <c r="I1" s="2735"/>
      <c r="J1" s="2735"/>
      <c r="K1" s="2735"/>
      <c r="L1" s="2735"/>
      <c r="M1" s="2735"/>
      <c r="N1" s="2735"/>
      <c r="O1" s="2735"/>
      <c r="P1" s="2735"/>
      <c r="Q1" s="2735"/>
      <c r="R1" s="2735"/>
      <c r="S1" s="2735"/>
      <c r="T1" s="2735"/>
      <c r="U1" s="2735"/>
      <c r="V1" s="2735"/>
      <c r="W1" s="2735"/>
      <c r="X1" s="2735"/>
      <c r="Y1" s="2735"/>
      <c r="Z1" s="2735"/>
      <c r="AA1" s="2735"/>
      <c r="AB1" s="2735"/>
      <c r="AC1" s="2735"/>
      <c r="AD1" s="2735"/>
      <c r="AE1" s="2735"/>
      <c r="AF1" s="2735"/>
      <c r="AG1" s="2735"/>
      <c r="AH1" s="2735"/>
      <c r="AI1" s="2735"/>
      <c r="AJ1" s="2735"/>
      <c r="AK1" s="2735"/>
      <c r="AL1" s="2735"/>
      <c r="AM1" s="2735"/>
      <c r="AN1" s="2735"/>
      <c r="AO1" s="2735"/>
      <c r="AP1" s="710" t="s">
        <v>0</v>
      </c>
      <c r="AQ1" s="710" t="s">
        <v>346</v>
      </c>
      <c r="AR1" s="412"/>
      <c r="AS1" s="412"/>
      <c r="AT1" s="412"/>
      <c r="AU1" s="412"/>
      <c r="AV1" s="412"/>
      <c r="AW1" s="412"/>
      <c r="AX1" s="412"/>
      <c r="AY1" s="412"/>
      <c r="AZ1" s="412"/>
      <c r="BA1" s="412"/>
      <c r="BB1" s="412"/>
      <c r="BC1" s="412"/>
      <c r="BD1" s="412"/>
      <c r="BE1" s="412"/>
      <c r="BF1" s="412"/>
      <c r="BG1" s="412"/>
      <c r="BH1" s="412"/>
      <c r="BI1" s="412"/>
      <c r="BJ1" s="412"/>
      <c r="BK1" s="412"/>
    </row>
    <row r="2" spans="1:63" ht="30" customHeight="1" x14ac:dyDescent="0.2">
      <c r="A2" s="2736"/>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2678"/>
      <c r="AO2" s="2678"/>
      <c r="AP2" s="726" t="s">
        <v>2</v>
      </c>
      <c r="AQ2" s="710" t="s">
        <v>114</v>
      </c>
      <c r="AR2" s="412"/>
      <c r="AS2" s="412"/>
      <c r="AT2" s="412"/>
      <c r="AU2" s="412"/>
      <c r="AV2" s="412"/>
      <c r="AW2" s="412"/>
      <c r="AX2" s="412"/>
      <c r="AY2" s="412"/>
      <c r="AZ2" s="412"/>
      <c r="BA2" s="412"/>
      <c r="BB2" s="412"/>
      <c r="BC2" s="412"/>
      <c r="BD2" s="412"/>
      <c r="BE2" s="412"/>
      <c r="BF2" s="412"/>
      <c r="BG2" s="412"/>
      <c r="BH2" s="412"/>
      <c r="BI2" s="412"/>
      <c r="BJ2" s="412"/>
      <c r="BK2" s="412"/>
    </row>
    <row r="3" spans="1:63" ht="30" customHeight="1" x14ac:dyDescent="0.2">
      <c r="A3" s="2736"/>
      <c r="B3" s="2678"/>
      <c r="C3" s="2678"/>
      <c r="D3" s="2678"/>
      <c r="E3" s="2678"/>
      <c r="F3" s="2678"/>
      <c r="G3" s="2678"/>
      <c r="H3" s="2678"/>
      <c r="I3" s="2678"/>
      <c r="J3" s="2678"/>
      <c r="K3" s="2678"/>
      <c r="L3" s="2678"/>
      <c r="M3" s="2678"/>
      <c r="N3" s="2678"/>
      <c r="O3" s="2678"/>
      <c r="P3" s="2678"/>
      <c r="Q3" s="2678"/>
      <c r="R3" s="2678"/>
      <c r="S3" s="2678"/>
      <c r="T3" s="2678"/>
      <c r="U3" s="2678"/>
      <c r="V3" s="2678"/>
      <c r="W3" s="2678"/>
      <c r="X3" s="2678"/>
      <c r="Y3" s="2678"/>
      <c r="Z3" s="2678"/>
      <c r="AA3" s="2678"/>
      <c r="AB3" s="2678"/>
      <c r="AC3" s="2678"/>
      <c r="AD3" s="2678"/>
      <c r="AE3" s="2678"/>
      <c r="AF3" s="2678"/>
      <c r="AG3" s="2678"/>
      <c r="AH3" s="2678"/>
      <c r="AI3" s="2678"/>
      <c r="AJ3" s="2678"/>
      <c r="AK3" s="2678"/>
      <c r="AL3" s="2678"/>
      <c r="AM3" s="2678"/>
      <c r="AN3" s="2678"/>
      <c r="AO3" s="2678"/>
      <c r="AP3" s="710" t="s">
        <v>4</v>
      </c>
      <c r="AQ3" s="727" t="s">
        <v>5</v>
      </c>
      <c r="AR3" s="412"/>
      <c r="AS3" s="412"/>
      <c r="AT3" s="412"/>
      <c r="AU3" s="412"/>
      <c r="AV3" s="412"/>
      <c r="AW3" s="412"/>
      <c r="AX3" s="412"/>
      <c r="AY3" s="412"/>
      <c r="AZ3" s="412"/>
      <c r="BA3" s="412"/>
      <c r="BB3" s="412"/>
      <c r="BC3" s="412"/>
      <c r="BD3" s="412"/>
      <c r="BE3" s="412"/>
      <c r="BF3" s="412"/>
      <c r="BG3" s="412"/>
      <c r="BH3" s="412"/>
      <c r="BI3" s="412"/>
      <c r="BJ3" s="412"/>
      <c r="BK3" s="412"/>
    </row>
    <row r="4" spans="1:63" ht="30" customHeight="1" x14ac:dyDescent="0.2">
      <c r="A4" s="2737"/>
      <c r="B4" s="2679"/>
      <c r="C4" s="2679"/>
      <c r="D4" s="2679"/>
      <c r="E4" s="2679"/>
      <c r="F4" s="2679"/>
      <c r="G4" s="2679"/>
      <c r="H4" s="2679"/>
      <c r="I4" s="2679"/>
      <c r="J4" s="2679"/>
      <c r="K4" s="2679"/>
      <c r="L4" s="2679"/>
      <c r="M4" s="2679"/>
      <c r="N4" s="2679"/>
      <c r="O4" s="2679"/>
      <c r="P4" s="2679"/>
      <c r="Q4" s="2679"/>
      <c r="R4" s="2679"/>
      <c r="S4" s="2679"/>
      <c r="T4" s="2679"/>
      <c r="U4" s="2679"/>
      <c r="V4" s="2679"/>
      <c r="W4" s="2679"/>
      <c r="X4" s="2679"/>
      <c r="Y4" s="2679"/>
      <c r="Z4" s="2679"/>
      <c r="AA4" s="2679"/>
      <c r="AB4" s="2679"/>
      <c r="AC4" s="2679"/>
      <c r="AD4" s="2679"/>
      <c r="AE4" s="2679"/>
      <c r="AF4" s="2679"/>
      <c r="AG4" s="2679"/>
      <c r="AH4" s="2679"/>
      <c r="AI4" s="2679"/>
      <c r="AJ4" s="2679"/>
      <c r="AK4" s="2679"/>
      <c r="AL4" s="2679"/>
      <c r="AM4" s="2679"/>
      <c r="AN4" s="2679"/>
      <c r="AO4" s="2679"/>
      <c r="AP4" s="710" t="s">
        <v>6</v>
      </c>
      <c r="AQ4" s="758" t="s">
        <v>7</v>
      </c>
      <c r="AR4" s="412"/>
      <c r="AS4" s="412"/>
      <c r="AT4" s="412"/>
      <c r="AU4" s="412"/>
      <c r="AV4" s="412"/>
      <c r="AW4" s="412"/>
      <c r="AX4" s="412"/>
      <c r="AY4" s="412"/>
      <c r="AZ4" s="412"/>
      <c r="BA4" s="412"/>
      <c r="BB4" s="412"/>
      <c r="BC4" s="412"/>
      <c r="BD4" s="412"/>
      <c r="BE4" s="412"/>
      <c r="BF4" s="412"/>
      <c r="BG4" s="412"/>
      <c r="BH4" s="412"/>
      <c r="BI4" s="412"/>
      <c r="BJ4" s="412"/>
      <c r="BK4" s="412"/>
    </row>
    <row r="5" spans="1:63" ht="30" customHeight="1" x14ac:dyDescent="0.2">
      <c r="A5" s="2846" t="s">
        <v>8</v>
      </c>
      <c r="B5" s="2846"/>
      <c r="C5" s="2846"/>
      <c r="D5" s="2846"/>
      <c r="E5" s="2846"/>
      <c r="F5" s="2846"/>
      <c r="G5" s="2846"/>
      <c r="H5" s="2846"/>
      <c r="I5" s="2846"/>
      <c r="J5" s="2846"/>
      <c r="K5" s="2846"/>
      <c r="L5" s="2846"/>
      <c r="M5" s="2846"/>
      <c r="N5" s="2847" t="s">
        <v>9</v>
      </c>
      <c r="O5" s="2847"/>
      <c r="P5" s="2847"/>
      <c r="Q5" s="2847"/>
      <c r="R5" s="2847"/>
      <c r="S5" s="2847"/>
      <c r="T5" s="2847"/>
      <c r="U5" s="2847"/>
      <c r="V5" s="2847"/>
      <c r="W5" s="2847"/>
      <c r="X5" s="2847"/>
      <c r="Y5" s="2847"/>
      <c r="Z5" s="2847"/>
      <c r="AA5" s="2847"/>
      <c r="AB5" s="2847"/>
      <c r="AC5" s="2847"/>
      <c r="AD5" s="2847"/>
      <c r="AE5" s="2847"/>
      <c r="AF5" s="2847"/>
      <c r="AG5" s="2847"/>
      <c r="AH5" s="2847"/>
      <c r="AI5" s="2847"/>
      <c r="AJ5" s="2847"/>
      <c r="AK5" s="2847"/>
      <c r="AL5" s="2847"/>
      <c r="AM5" s="2847"/>
      <c r="AN5" s="2847"/>
      <c r="AO5" s="2847"/>
      <c r="AP5" s="2847"/>
      <c r="AQ5" s="2847"/>
      <c r="AR5" s="412"/>
      <c r="AS5" s="412"/>
      <c r="AT5" s="412"/>
      <c r="AU5" s="412"/>
      <c r="AV5" s="412"/>
      <c r="AW5" s="412"/>
      <c r="AX5" s="412"/>
      <c r="AY5" s="412"/>
      <c r="AZ5" s="412"/>
      <c r="BA5" s="412"/>
      <c r="BB5" s="412"/>
      <c r="BC5" s="412"/>
      <c r="BD5" s="412"/>
      <c r="BE5" s="412"/>
      <c r="BF5" s="412"/>
      <c r="BG5" s="412"/>
      <c r="BH5" s="412"/>
      <c r="BI5" s="412"/>
      <c r="BJ5" s="412"/>
      <c r="BK5" s="412"/>
    </row>
    <row r="6" spans="1:63" ht="30" customHeight="1" x14ac:dyDescent="0.2">
      <c r="A6" s="2828"/>
      <c r="B6" s="2828"/>
      <c r="C6" s="2828"/>
      <c r="D6" s="2828"/>
      <c r="E6" s="2828"/>
      <c r="F6" s="2828"/>
      <c r="G6" s="2828"/>
      <c r="H6" s="2828"/>
      <c r="I6" s="2828"/>
      <c r="J6" s="2828"/>
      <c r="K6" s="2828"/>
      <c r="L6" s="2828"/>
      <c r="M6" s="2828"/>
      <c r="N6" s="759"/>
      <c r="O6" s="1905"/>
      <c r="P6" s="760"/>
      <c r="Q6" s="760"/>
      <c r="R6" s="760"/>
      <c r="S6" s="760"/>
      <c r="T6" s="760"/>
      <c r="U6" s="760"/>
      <c r="V6" s="761"/>
      <c r="W6" s="760"/>
      <c r="X6" s="760"/>
      <c r="Y6" s="2827" t="s">
        <v>10</v>
      </c>
      <c r="Z6" s="2828"/>
      <c r="AA6" s="2828"/>
      <c r="AB6" s="2828"/>
      <c r="AC6" s="2828"/>
      <c r="AD6" s="2828"/>
      <c r="AE6" s="2828"/>
      <c r="AF6" s="2828"/>
      <c r="AG6" s="2828"/>
      <c r="AH6" s="2828"/>
      <c r="AI6" s="2828"/>
      <c r="AJ6" s="2828"/>
      <c r="AK6" s="2828"/>
      <c r="AL6" s="2828"/>
      <c r="AM6" s="2829"/>
      <c r="AN6" s="1500"/>
      <c r="AO6" s="760"/>
      <c r="AP6" s="760"/>
      <c r="AQ6" s="762"/>
      <c r="AR6" s="412"/>
      <c r="AS6" s="412"/>
      <c r="AT6" s="412"/>
      <c r="AU6" s="412"/>
      <c r="AV6" s="412"/>
      <c r="AW6" s="412"/>
      <c r="AX6" s="412"/>
      <c r="AY6" s="412"/>
      <c r="AZ6" s="412"/>
      <c r="BA6" s="412"/>
      <c r="BB6" s="412"/>
      <c r="BC6" s="412"/>
      <c r="BD6" s="412"/>
      <c r="BE6" s="412"/>
      <c r="BF6" s="412"/>
      <c r="BG6" s="412"/>
      <c r="BH6" s="412"/>
      <c r="BI6" s="412"/>
      <c r="BJ6" s="412"/>
      <c r="BK6" s="412"/>
    </row>
    <row r="7" spans="1:63" ht="30" customHeight="1" x14ac:dyDescent="0.2">
      <c r="A7" s="2848" t="s">
        <v>11</v>
      </c>
      <c r="B7" s="2850" t="s">
        <v>12</v>
      </c>
      <c r="C7" s="2851"/>
      <c r="D7" s="2851" t="s">
        <v>11</v>
      </c>
      <c r="E7" s="2850" t="s">
        <v>13</v>
      </c>
      <c r="F7" s="2851"/>
      <c r="G7" s="2851" t="s">
        <v>11</v>
      </c>
      <c r="H7" s="2850" t="s">
        <v>14</v>
      </c>
      <c r="I7" s="2851"/>
      <c r="J7" s="2851" t="s">
        <v>11</v>
      </c>
      <c r="K7" s="2858" t="s">
        <v>15</v>
      </c>
      <c r="L7" s="2834" t="s">
        <v>16</v>
      </c>
      <c r="M7" s="2834" t="s">
        <v>1765</v>
      </c>
      <c r="N7" s="2834" t="s">
        <v>18</v>
      </c>
      <c r="O7" s="2834" t="s">
        <v>19</v>
      </c>
      <c r="P7" s="2834" t="s">
        <v>9</v>
      </c>
      <c r="Q7" s="2854" t="s">
        <v>20</v>
      </c>
      <c r="R7" s="2856" t="s">
        <v>21</v>
      </c>
      <c r="S7" s="2858" t="s">
        <v>22</v>
      </c>
      <c r="T7" s="2850" t="s">
        <v>23</v>
      </c>
      <c r="U7" s="2834" t="s">
        <v>24</v>
      </c>
      <c r="V7" s="2836" t="s">
        <v>21</v>
      </c>
      <c r="W7" s="1657"/>
      <c r="X7" s="2834" t="s">
        <v>25</v>
      </c>
      <c r="Y7" s="2838" t="s">
        <v>26</v>
      </c>
      <c r="Z7" s="2838"/>
      <c r="AA7" s="2839" t="s">
        <v>27</v>
      </c>
      <c r="AB7" s="2839"/>
      <c r="AC7" s="2839"/>
      <c r="AD7" s="2839"/>
      <c r="AE7" s="2860" t="s">
        <v>28</v>
      </c>
      <c r="AF7" s="2861"/>
      <c r="AG7" s="2861"/>
      <c r="AH7" s="2861"/>
      <c r="AI7" s="2861"/>
      <c r="AJ7" s="2862"/>
      <c r="AK7" s="2839" t="s">
        <v>29</v>
      </c>
      <c r="AL7" s="2839"/>
      <c r="AM7" s="2839"/>
      <c r="AN7" s="2791" t="s">
        <v>30</v>
      </c>
      <c r="AO7" s="2863" t="s">
        <v>31</v>
      </c>
      <c r="AP7" s="2863" t="s">
        <v>32</v>
      </c>
      <c r="AQ7" s="2832" t="s">
        <v>33</v>
      </c>
      <c r="AR7" s="412"/>
      <c r="AS7" s="412"/>
      <c r="AT7" s="412"/>
      <c r="AU7" s="412"/>
      <c r="AV7" s="412"/>
      <c r="AW7" s="412"/>
      <c r="AX7" s="412"/>
      <c r="AY7" s="412"/>
      <c r="AZ7" s="412"/>
      <c r="BA7" s="412"/>
      <c r="BB7" s="412"/>
      <c r="BC7" s="412"/>
      <c r="BD7" s="412"/>
      <c r="BE7" s="412"/>
      <c r="BF7" s="412"/>
      <c r="BG7" s="412"/>
      <c r="BH7" s="412"/>
      <c r="BI7" s="412"/>
      <c r="BJ7" s="412"/>
      <c r="BK7" s="412"/>
    </row>
    <row r="8" spans="1:63" ht="129.75" customHeight="1" x14ac:dyDescent="0.2">
      <c r="A8" s="2849"/>
      <c r="B8" s="2852"/>
      <c r="C8" s="2853"/>
      <c r="D8" s="2853"/>
      <c r="E8" s="2852"/>
      <c r="F8" s="2853"/>
      <c r="G8" s="2853"/>
      <c r="H8" s="2852"/>
      <c r="I8" s="2853"/>
      <c r="J8" s="2853"/>
      <c r="K8" s="2859"/>
      <c r="L8" s="2835"/>
      <c r="M8" s="2835"/>
      <c r="N8" s="2835"/>
      <c r="O8" s="2835"/>
      <c r="P8" s="2835"/>
      <c r="Q8" s="2855"/>
      <c r="R8" s="2857"/>
      <c r="S8" s="2859"/>
      <c r="T8" s="2852"/>
      <c r="U8" s="2835"/>
      <c r="V8" s="2837"/>
      <c r="W8" s="763" t="s">
        <v>11</v>
      </c>
      <c r="X8" s="2835"/>
      <c r="Y8" s="764" t="s">
        <v>34</v>
      </c>
      <c r="Z8" s="765" t="s">
        <v>35</v>
      </c>
      <c r="AA8" s="766" t="s">
        <v>36</v>
      </c>
      <c r="AB8" s="766" t="s">
        <v>115</v>
      </c>
      <c r="AC8" s="766" t="s">
        <v>384</v>
      </c>
      <c r="AD8" s="766" t="s">
        <v>117</v>
      </c>
      <c r="AE8" s="766" t="s">
        <v>40</v>
      </c>
      <c r="AF8" s="766" t="s">
        <v>41</v>
      </c>
      <c r="AG8" s="766" t="s">
        <v>42</v>
      </c>
      <c r="AH8" s="766" t="s">
        <v>43</v>
      </c>
      <c r="AI8" s="766" t="s">
        <v>44</v>
      </c>
      <c r="AJ8" s="766" t="s">
        <v>45</v>
      </c>
      <c r="AK8" s="766" t="s">
        <v>46</v>
      </c>
      <c r="AL8" s="766" t="s">
        <v>47</v>
      </c>
      <c r="AM8" s="766" t="s">
        <v>48</v>
      </c>
      <c r="AN8" s="2792"/>
      <c r="AO8" s="2864"/>
      <c r="AP8" s="2864"/>
      <c r="AQ8" s="2833"/>
      <c r="AR8" s="412"/>
      <c r="AS8" s="412"/>
      <c r="AT8" s="412"/>
      <c r="AU8" s="412"/>
      <c r="AV8" s="412"/>
      <c r="AW8" s="412"/>
      <c r="AX8" s="412"/>
      <c r="AY8" s="412"/>
      <c r="AZ8" s="412"/>
      <c r="BA8" s="412"/>
      <c r="BB8" s="412"/>
      <c r="BC8" s="412"/>
      <c r="BD8" s="412"/>
      <c r="BE8" s="412"/>
      <c r="BF8" s="412"/>
      <c r="BG8" s="412"/>
      <c r="BH8" s="412"/>
      <c r="BI8" s="412"/>
      <c r="BJ8" s="412"/>
      <c r="BK8" s="412"/>
    </row>
    <row r="9" spans="1:63" ht="27" customHeight="1" x14ac:dyDescent="0.2">
      <c r="A9" s="767">
        <v>1</v>
      </c>
      <c r="B9" s="768" t="s">
        <v>385</v>
      </c>
      <c r="C9" s="768"/>
      <c r="D9" s="768"/>
      <c r="E9" s="768"/>
      <c r="F9" s="768"/>
      <c r="G9" s="768"/>
      <c r="H9" s="768"/>
      <c r="I9" s="768"/>
      <c r="J9" s="768"/>
      <c r="K9" s="769"/>
      <c r="L9" s="768"/>
      <c r="M9" s="768"/>
      <c r="N9" s="768"/>
      <c r="O9" s="770"/>
      <c r="P9" s="769"/>
      <c r="Q9" s="771"/>
      <c r="R9" s="772"/>
      <c r="S9" s="769"/>
      <c r="T9" s="769"/>
      <c r="U9" s="769"/>
      <c r="V9" s="773"/>
      <c r="W9" s="774"/>
      <c r="X9" s="770"/>
      <c r="Y9" s="768"/>
      <c r="Z9" s="768"/>
      <c r="AA9" s="768"/>
      <c r="AB9" s="768"/>
      <c r="AC9" s="768"/>
      <c r="AD9" s="768"/>
      <c r="AE9" s="768"/>
      <c r="AF9" s="768"/>
      <c r="AG9" s="768"/>
      <c r="AH9" s="768"/>
      <c r="AI9" s="768"/>
      <c r="AJ9" s="768"/>
      <c r="AK9" s="768"/>
      <c r="AL9" s="768"/>
      <c r="AM9" s="768"/>
      <c r="AN9" s="768"/>
      <c r="AO9" s="775"/>
      <c r="AP9" s="775"/>
      <c r="AQ9" s="776"/>
      <c r="AR9" s="412"/>
      <c r="AS9" s="412"/>
      <c r="AT9" s="412"/>
      <c r="AU9" s="412"/>
      <c r="AV9" s="412"/>
      <c r="AW9" s="412"/>
      <c r="AX9" s="412"/>
      <c r="AY9" s="412"/>
      <c r="AZ9" s="412"/>
      <c r="BA9" s="412"/>
      <c r="BB9" s="412"/>
      <c r="BC9" s="412"/>
      <c r="BD9" s="412"/>
      <c r="BE9" s="412"/>
      <c r="BF9" s="412"/>
      <c r="BG9" s="412"/>
      <c r="BH9" s="412"/>
      <c r="BI9" s="412"/>
      <c r="BJ9" s="412"/>
      <c r="BK9" s="412"/>
    </row>
    <row r="10" spans="1:63" s="412" customFormat="1" ht="27" customHeight="1" x14ac:dyDescent="0.2">
      <c r="A10" s="2840"/>
      <c r="B10" s="2840"/>
      <c r="C10" s="2840"/>
      <c r="D10" s="777">
        <v>1</v>
      </c>
      <c r="E10" s="778" t="s">
        <v>386</v>
      </c>
      <c r="F10" s="778"/>
      <c r="G10" s="778"/>
      <c r="H10" s="778"/>
      <c r="I10" s="778"/>
      <c r="J10" s="778"/>
      <c r="K10" s="779"/>
      <c r="L10" s="778"/>
      <c r="M10" s="778"/>
      <c r="N10" s="778"/>
      <c r="O10" s="780"/>
      <c r="P10" s="779"/>
      <c r="Q10" s="781"/>
      <c r="R10" s="782"/>
      <c r="S10" s="779"/>
      <c r="T10" s="779"/>
      <c r="U10" s="779"/>
      <c r="V10" s="783"/>
      <c r="W10" s="777"/>
      <c r="X10" s="780"/>
      <c r="Y10" s="778"/>
      <c r="Z10" s="778"/>
      <c r="AA10" s="778"/>
      <c r="AB10" s="778"/>
      <c r="AC10" s="778"/>
      <c r="AD10" s="778"/>
      <c r="AE10" s="778"/>
      <c r="AF10" s="778"/>
      <c r="AG10" s="778"/>
      <c r="AH10" s="778"/>
      <c r="AI10" s="778"/>
      <c r="AJ10" s="778"/>
      <c r="AK10" s="778"/>
      <c r="AL10" s="778"/>
      <c r="AM10" s="778"/>
      <c r="AN10" s="778"/>
      <c r="AO10" s="784"/>
      <c r="AP10" s="784"/>
      <c r="AQ10" s="779"/>
    </row>
    <row r="11" spans="1:63" s="412" customFormat="1" ht="27" customHeight="1" x14ac:dyDescent="0.2">
      <c r="A11" s="2840"/>
      <c r="B11" s="2840"/>
      <c r="C11" s="2840"/>
      <c r="D11" s="2841"/>
      <c r="E11" s="2841"/>
      <c r="F11" s="2841"/>
      <c r="G11" s="785">
        <v>2</v>
      </c>
      <c r="H11" s="786" t="s">
        <v>387</v>
      </c>
      <c r="I11" s="786"/>
      <c r="J11" s="786"/>
      <c r="K11" s="787"/>
      <c r="L11" s="786"/>
      <c r="M11" s="786"/>
      <c r="N11" s="786"/>
      <c r="O11" s="788"/>
      <c r="P11" s="787"/>
      <c r="Q11" s="789"/>
      <c r="R11" s="790"/>
      <c r="S11" s="787"/>
      <c r="T11" s="787"/>
      <c r="U11" s="787"/>
      <c r="V11" s="791"/>
      <c r="W11" s="792"/>
      <c r="X11" s="788"/>
      <c r="Y11" s="786"/>
      <c r="Z11" s="786"/>
      <c r="AA11" s="786"/>
      <c r="AB11" s="786"/>
      <c r="AC11" s="786"/>
      <c r="AD11" s="786"/>
      <c r="AE11" s="786"/>
      <c r="AF11" s="786"/>
      <c r="AG11" s="786"/>
      <c r="AH11" s="786"/>
      <c r="AI11" s="786"/>
      <c r="AJ11" s="786"/>
      <c r="AK11" s="786"/>
      <c r="AL11" s="786"/>
      <c r="AM11" s="786"/>
      <c r="AN11" s="786"/>
      <c r="AO11" s="793"/>
      <c r="AP11" s="793"/>
      <c r="AQ11" s="787"/>
    </row>
    <row r="12" spans="1:63" s="412" customFormat="1" ht="29.25" customHeight="1" x14ac:dyDescent="0.2">
      <c r="A12" s="2840"/>
      <c r="B12" s="2840"/>
      <c r="C12" s="2840"/>
      <c r="D12" s="2841"/>
      <c r="E12" s="2841"/>
      <c r="F12" s="2841"/>
      <c r="G12" s="2842"/>
      <c r="H12" s="2842"/>
      <c r="I12" s="2842"/>
      <c r="J12" s="2811">
        <v>9</v>
      </c>
      <c r="K12" s="2816" t="s">
        <v>388</v>
      </c>
      <c r="L12" s="2816" t="s">
        <v>389</v>
      </c>
      <c r="M12" s="2811">
        <v>5</v>
      </c>
      <c r="N12" s="2823" t="s">
        <v>390</v>
      </c>
      <c r="O12" s="2811" t="s">
        <v>391</v>
      </c>
      <c r="P12" s="2816" t="s">
        <v>392</v>
      </c>
      <c r="Q12" s="2819">
        <f>SUM(V12:V15)/R12</f>
        <v>1</v>
      </c>
      <c r="R12" s="2809">
        <f>SUM(V12:V15)</f>
        <v>2440979994</v>
      </c>
      <c r="S12" s="2808" t="s">
        <v>393</v>
      </c>
      <c r="T12" s="2821" t="s">
        <v>394</v>
      </c>
      <c r="U12" s="2513" t="s">
        <v>395</v>
      </c>
      <c r="V12" s="1940">
        <f>2000000000</f>
        <v>2000000000</v>
      </c>
      <c r="W12" s="837" t="s">
        <v>396</v>
      </c>
      <c r="X12" s="1904" t="s">
        <v>397</v>
      </c>
      <c r="Y12" s="2826">
        <v>294321</v>
      </c>
      <c r="Z12" s="2826">
        <v>283947</v>
      </c>
      <c r="AA12" s="2826">
        <v>135754</v>
      </c>
      <c r="AB12" s="2826">
        <v>44640</v>
      </c>
      <c r="AC12" s="2826">
        <v>308178</v>
      </c>
      <c r="AD12" s="2826">
        <v>89696</v>
      </c>
      <c r="AE12" s="2826">
        <v>2145</v>
      </c>
      <c r="AF12" s="2826">
        <v>12718</v>
      </c>
      <c r="AG12" s="2826">
        <v>26</v>
      </c>
      <c r="AH12" s="2826">
        <v>37</v>
      </c>
      <c r="AI12" s="2826"/>
      <c r="AJ12" s="2826">
        <v>0</v>
      </c>
      <c r="AK12" s="2826">
        <v>54612</v>
      </c>
      <c r="AL12" s="2826">
        <v>21944</v>
      </c>
      <c r="AM12" s="2826">
        <v>1010</v>
      </c>
      <c r="AN12" s="2826">
        <v>578268</v>
      </c>
      <c r="AO12" s="2831">
        <v>43466</v>
      </c>
      <c r="AP12" s="2831">
        <v>43830</v>
      </c>
      <c r="AQ12" s="2830" t="s">
        <v>398</v>
      </c>
    </row>
    <row r="13" spans="1:63" s="412" customFormat="1" ht="30" customHeight="1" x14ac:dyDescent="0.2">
      <c r="A13" s="2840"/>
      <c r="B13" s="2840"/>
      <c r="C13" s="2840"/>
      <c r="D13" s="2841"/>
      <c r="E13" s="2841"/>
      <c r="F13" s="2841"/>
      <c r="G13" s="2843"/>
      <c r="H13" s="2843"/>
      <c r="I13" s="2843"/>
      <c r="J13" s="2811"/>
      <c r="K13" s="2816"/>
      <c r="L13" s="2816"/>
      <c r="M13" s="2811"/>
      <c r="N13" s="2824"/>
      <c r="O13" s="2811"/>
      <c r="P13" s="2816"/>
      <c r="Q13" s="2819"/>
      <c r="R13" s="2809"/>
      <c r="S13" s="2808"/>
      <c r="T13" s="2822"/>
      <c r="U13" s="2513"/>
      <c r="V13" s="1940">
        <v>4200000</v>
      </c>
      <c r="W13" s="1505">
        <v>27</v>
      </c>
      <c r="X13" s="1904" t="s">
        <v>399</v>
      </c>
      <c r="Y13" s="2826"/>
      <c r="Z13" s="2826"/>
      <c r="AA13" s="2826"/>
      <c r="AB13" s="2826"/>
      <c r="AC13" s="2826"/>
      <c r="AD13" s="2826"/>
      <c r="AE13" s="2826"/>
      <c r="AF13" s="2826"/>
      <c r="AG13" s="2826"/>
      <c r="AH13" s="2826"/>
      <c r="AI13" s="2826"/>
      <c r="AJ13" s="2826"/>
      <c r="AK13" s="2826"/>
      <c r="AL13" s="2826"/>
      <c r="AM13" s="2826"/>
      <c r="AN13" s="2826"/>
      <c r="AO13" s="2831"/>
      <c r="AP13" s="2831"/>
      <c r="AQ13" s="2830"/>
    </row>
    <row r="14" spans="1:63" s="412" customFormat="1" ht="30.75" customHeight="1" x14ac:dyDescent="0.2">
      <c r="A14" s="2840"/>
      <c r="B14" s="2840"/>
      <c r="C14" s="2840"/>
      <c r="D14" s="2841"/>
      <c r="E14" s="2841"/>
      <c r="F14" s="2841"/>
      <c r="G14" s="2843"/>
      <c r="H14" s="2843"/>
      <c r="I14" s="2843"/>
      <c r="J14" s="2811"/>
      <c r="K14" s="2816"/>
      <c r="L14" s="2816"/>
      <c r="M14" s="2811"/>
      <c r="N14" s="2824"/>
      <c r="O14" s="2811"/>
      <c r="P14" s="2816"/>
      <c r="Q14" s="2819"/>
      <c r="R14" s="2809"/>
      <c r="S14" s="2808"/>
      <c r="T14" s="2821" t="s">
        <v>400</v>
      </c>
      <c r="U14" s="2513"/>
      <c r="V14" s="1940">
        <v>425000000</v>
      </c>
      <c r="W14" s="837" t="s">
        <v>401</v>
      </c>
      <c r="X14" s="1904" t="s">
        <v>402</v>
      </c>
      <c r="Y14" s="2826"/>
      <c r="Z14" s="2826"/>
      <c r="AA14" s="2826"/>
      <c r="AB14" s="2826"/>
      <c r="AC14" s="2826"/>
      <c r="AD14" s="2826"/>
      <c r="AE14" s="2826"/>
      <c r="AF14" s="2826"/>
      <c r="AG14" s="2826"/>
      <c r="AH14" s="2826"/>
      <c r="AI14" s="2826"/>
      <c r="AJ14" s="2826"/>
      <c r="AK14" s="2826"/>
      <c r="AL14" s="2826"/>
      <c r="AM14" s="2826"/>
      <c r="AN14" s="2826"/>
      <c r="AO14" s="2831"/>
      <c r="AP14" s="2831"/>
      <c r="AQ14" s="2830"/>
    </row>
    <row r="15" spans="1:63" s="412" customFormat="1" ht="41.25" customHeight="1" x14ac:dyDescent="0.2">
      <c r="A15" s="2840"/>
      <c r="B15" s="2840"/>
      <c r="C15" s="2840"/>
      <c r="D15" s="2841"/>
      <c r="E15" s="2841"/>
      <c r="F15" s="2841"/>
      <c r="G15" s="2843"/>
      <c r="H15" s="2843"/>
      <c r="I15" s="2843"/>
      <c r="J15" s="2811"/>
      <c r="K15" s="2816"/>
      <c r="L15" s="2816"/>
      <c r="M15" s="2811"/>
      <c r="N15" s="2825"/>
      <c r="O15" s="2811"/>
      <c r="P15" s="2816"/>
      <c r="Q15" s="2819"/>
      <c r="R15" s="2809"/>
      <c r="S15" s="2808"/>
      <c r="T15" s="2822"/>
      <c r="U15" s="2513"/>
      <c r="V15" s="1940">
        <v>11779994</v>
      </c>
      <c r="W15" s="1505">
        <v>90</v>
      </c>
      <c r="X15" s="1904" t="s">
        <v>403</v>
      </c>
      <c r="Y15" s="2826"/>
      <c r="Z15" s="2826">
        <v>283947</v>
      </c>
      <c r="AA15" s="2826">
        <v>135754</v>
      </c>
      <c r="AB15" s="2826">
        <v>44640</v>
      </c>
      <c r="AC15" s="2826">
        <v>308178</v>
      </c>
      <c r="AD15" s="2826">
        <v>89696</v>
      </c>
      <c r="AE15" s="2826">
        <v>2145</v>
      </c>
      <c r="AF15" s="2826">
        <v>12718</v>
      </c>
      <c r="AG15" s="2826">
        <v>26</v>
      </c>
      <c r="AH15" s="2826">
        <v>37</v>
      </c>
      <c r="AI15" s="2826"/>
      <c r="AJ15" s="2826"/>
      <c r="AK15" s="2826">
        <v>54612</v>
      </c>
      <c r="AL15" s="2826">
        <v>21944</v>
      </c>
      <c r="AM15" s="2826">
        <v>1010</v>
      </c>
      <c r="AN15" s="2826">
        <v>578268</v>
      </c>
      <c r="AO15" s="2831"/>
      <c r="AP15" s="2831"/>
      <c r="AQ15" s="2830"/>
    </row>
    <row r="16" spans="1:63" s="131" customFormat="1" ht="83.25" customHeight="1" x14ac:dyDescent="0.2">
      <c r="A16" s="2840"/>
      <c r="B16" s="2840"/>
      <c r="C16" s="2840"/>
      <c r="D16" s="2841"/>
      <c r="E16" s="2841"/>
      <c r="F16" s="2841"/>
      <c r="G16" s="2844"/>
      <c r="H16" s="2844"/>
      <c r="I16" s="2844"/>
      <c r="J16" s="2811">
        <v>9</v>
      </c>
      <c r="K16" s="2808" t="s">
        <v>388</v>
      </c>
      <c r="L16" s="2808" t="s">
        <v>389</v>
      </c>
      <c r="M16" s="2811">
        <v>5</v>
      </c>
      <c r="N16" s="2808" t="s">
        <v>404</v>
      </c>
      <c r="O16" s="2811" t="s">
        <v>405</v>
      </c>
      <c r="P16" s="2808" t="s">
        <v>406</v>
      </c>
      <c r="Q16" s="2820">
        <f>SUM(V16+V17)/R16</f>
        <v>1</v>
      </c>
      <c r="R16" s="2809">
        <f>SUM(V16+V17)</f>
        <v>1120246431</v>
      </c>
      <c r="S16" s="2808" t="s">
        <v>407</v>
      </c>
      <c r="T16" s="1553" t="s">
        <v>408</v>
      </c>
      <c r="U16" s="2513" t="s">
        <v>409</v>
      </c>
      <c r="V16" s="1940">
        <v>1105246431</v>
      </c>
      <c r="W16" s="1505">
        <v>27</v>
      </c>
      <c r="X16" s="1904" t="s">
        <v>399</v>
      </c>
      <c r="Y16" s="2826">
        <v>294321</v>
      </c>
      <c r="Z16" s="2826">
        <v>283947</v>
      </c>
      <c r="AA16" s="2826">
        <v>135754</v>
      </c>
      <c r="AB16" s="2826">
        <v>44640</v>
      </c>
      <c r="AC16" s="2826">
        <v>308178</v>
      </c>
      <c r="AD16" s="2826">
        <v>89696</v>
      </c>
      <c r="AE16" s="2826">
        <v>2145</v>
      </c>
      <c r="AF16" s="2826">
        <v>12718</v>
      </c>
      <c r="AG16" s="2826">
        <v>26</v>
      </c>
      <c r="AH16" s="2826">
        <v>37</v>
      </c>
      <c r="AI16" s="2826">
        <v>0</v>
      </c>
      <c r="AJ16" s="2826">
        <v>0</v>
      </c>
      <c r="AK16" s="2826">
        <v>54612</v>
      </c>
      <c r="AL16" s="2826">
        <v>21944</v>
      </c>
      <c r="AM16" s="2826">
        <v>1010</v>
      </c>
      <c r="AN16" s="2826">
        <v>578268</v>
      </c>
      <c r="AO16" s="2831">
        <v>43466</v>
      </c>
      <c r="AP16" s="2831">
        <v>43830</v>
      </c>
      <c r="AQ16" s="2830"/>
    </row>
    <row r="17" spans="1:47" s="412" customFormat="1" ht="49.5" customHeight="1" x14ac:dyDescent="0.2">
      <c r="A17" s="2840"/>
      <c r="B17" s="2840"/>
      <c r="C17" s="2840"/>
      <c r="D17" s="2841"/>
      <c r="E17" s="2841"/>
      <c r="F17" s="2841"/>
      <c r="G17" s="2844"/>
      <c r="H17" s="2844"/>
      <c r="I17" s="2844"/>
      <c r="J17" s="2811"/>
      <c r="K17" s="2808"/>
      <c r="L17" s="2808"/>
      <c r="M17" s="2811"/>
      <c r="N17" s="2808"/>
      <c r="O17" s="2811"/>
      <c r="P17" s="2808"/>
      <c r="Q17" s="2820"/>
      <c r="R17" s="2809"/>
      <c r="S17" s="2808"/>
      <c r="T17" s="1553" t="s">
        <v>410</v>
      </c>
      <c r="U17" s="2513"/>
      <c r="V17" s="1941">
        <f>0+15000000</f>
        <v>15000000</v>
      </c>
      <c r="W17" s="1505">
        <v>88</v>
      </c>
      <c r="X17" s="1904" t="s">
        <v>411</v>
      </c>
      <c r="Y17" s="2826"/>
      <c r="Z17" s="2826">
        <v>283947</v>
      </c>
      <c r="AA17" s="2826">
        <v>135754</v>
      </c>
      <c r="AB17" s="2826">
        <v>44640</v>
      </c>
      <c r="AC17" s="2826">
        <v>308178</v>
      </c>
      <c r="AD17" s="2826">
        <v>89696</v>
      </c>
      <c r="AE17" s="2826">
        <v>2145</v>
      </c>
      <c r="AF17" s="2826">
        <v>12718</v>
      </c>
      <c r="AG17" s="2826">
        <v>26</v>
      </c>
      <c r="AH17" s="2826">
        <v>37</v>
      </c>
      <c r="AI17" s="2826"/>
      <c r="AJ17" s="2826"/>
      <c r="AK17" s="2826">
        <v>54612</v>
      </c>
      <c r="AL17" s="2826">
        <v>21944</v>
      </c>
      <c r="AM17" s="2826">
        <v>1010</v>
      </c>
      <c r="AN17" s="2826">
        <v>578268</v>
      </c>
      <c r="AO17" s="2831"/>
      <c r="AP17" s="2831"/>
      <c r="AQ17" s="2830"/>
    </row>
    <row r="18" spans="1:47" s="178" customFormat="1" ht="51" customHeight="1" x14ac:dyDescent="0.2">
      <c r="A18" s="2840"/>
      <c r="B18" s="2840"/>
      <c r="C18" s="2840"/>
      <c r="D18" s="2841"/>
      <c r="E18" s="2841"/>
      <c r="F18" s="2841"/>
      <c r="G18" s="2845"/>
      <c r="H18" s="2845"/>
      <c r="I18" s="2845"/>
      <c r="J18" s="2811">
        <v>10</v>
      </c>
      <c r="K18" s="2808" t="s">
        <v>412</v>
      </c>
      <c r="L18" s="2808" t="s">
        <v>413</v>
      </c>
      <c r="M18" s="2811">
        <v>5</v>
      </c>
      <c r="N18" s="2808" t="s">
        <v>414</v>
      </c>
      <c r="O18" s="2811" t="s">
        <v>415</v>
      </c>
      <c r="P18" s="2808" t="s">
        <v>416</v>
      </c>
      <c r="Q18" s="2813">
        <f>V18/R18</f>
        <v>1</v>
      </c>
      <c r="R18" s="2809">
        <f>+V18</f>
        <v>80000000</v>
      </c>
      <c r="S18" s="2808" t="s">
        <v>417</v>
      </c>
      <c r="T18" s="1497" t="s">
        <v>418</v>
      </c>
      <c r="U18" s="2808" t="s">
        <v>419</v>
      </c>
      <c r="V18" s="2809">
        <v>80000000</v>
      </c>
      <c r="W18" s="2810">
        <v>27</v>
      </c>
      <c r="X18" s="2811" t="s">
        <v>399</v>
      </c>
      <c r="Y18" s="2826">
        <v>294321</v>
      </c>
      <c r="Z18" s="2826">
        <v>283947</v>
      </c>
      <c r="AA18" s="2826">
        <v>135754</v>
      </c>
      <c r="AB18" s="2826">
        <v>44640</v>
      </c>
      <c r="AC18" s="2826">
        <v>308178</v>
      </c>
      <c r="AD18" s="2826">
        <v>89696</v>
      </c>
      <c r="AE18" s="2826">
        <v>2145</v>
      </c>
      <c r="AF18" s="2826">
        <v>12718</v>
      </c>
      <c r="AG18" s="2826">
        <v>26</v>
      </c>
      <c r="AH18" s="2826">
        <v>37</v>
      </c>
      <c r="AI18" s="2826">
        <v>0</v>
      </c>
      <c r="AJ18" s="2826">
        <v>0</v>
      </c>
      <c r="AK18" s="2826">
        <v>54612</v>
      </c>
      <c r="AL18" s="2826">
        <v>21944</v>
      </c>
      <c r="AM18" s="2826">
        <v>1010</v>
      </c>
      <c r="AN18" s="2826">
        <v>578268</v>
      </c>
      <c r="AO18" s="2831">
        <v>43466</v>
      </c>
      <c r="AP18" s="2831">
        <v>43830</v>
      </c>
      <c r="AQ18" s="2830"/>
    </row>
    <row r="19" spans="1:47" s="178" customFormat="1" ht="51" customHeight="1" x14ac:dyDescent="0.2">
      <c r="A19" s="2840"/>
      <c r="B19" s="2840"/>
      <c r="C19" s="2840"/>
      <c r="D19" s="2841"/>
      <c r="E19" s="2841"/>
      <c r="F19" s="2841"/>
      <c r="G19" s="2845"/>
      <c r="H19" s="2845"/>
      <c r="I19" s="2845"/>
      <c r="J19" s="2811"/>
      <c r="K19" s="2808"/>
      <c r="L19" s="2808"/>
      <c r="M19" s="2811"/>
      <c r="N19" s="2808"/>
      <c r="O19" s="2811"/>
      <c r="P19" s="2808"/>
      <c r="Q19" s="2811"/>
      <c r="R19" s="2809"/>
      <c r="S19" s="2808"/>
      <c r="T19" s="1497" t="s">
        <v>420</v>
      </c>
      <c r="U19" s="2808"/>
      <c r="V19" s="2809"/>
      <c r="W19" s="2810"/>
      <c r="X19" s="2811"/>
      <c r="Y19" s="2826"/>
      <c r="Z19" s="2826"/>
      <c r="AA19" s="2826"/>
      <c r="AB19" s="2826"/>
      <c r="AC19" s="2826"/>
      <c r="AD19" s="2826"/>
      <c r="AE19" s="2826"/>
      <c r="AF19" s="2826"/>
      <c r="AG19" s="2826"/>
      <c r="AH19" s="2826"/>
      <c r="AI19" s="2826"/>
      <c r="AJ19" s="2826"/>
      <c r="AK19" s="2826"/>
      <c r="AL19" s="2826"/>
      <c r="AM19" s="2826"/>
      <c r="AN19" s="2826"/>
      <c r="AO19" s="2831"/>
      <c r="AP19" s="2831"/>
      <c r="AQ19" s="2830"/>
    </row>
    <row r="20" spans="1:47" s="178" customFormat="1" ht="402" customHeight="1" x14ac:dyDescent="0.2">
      <c r="A20" s="2840"/>
      <c r="B20" s="2840"/>
      <c r="C20" s="2840"/>
      <c r="D20" s="2841"/>
      <c r="E20" s="2841"/>
      <c r="F20" s="2841"/>
      <c r="G20" s="2824"/>
      <c r="H20" s="2824"/>
      <c r="I20" s="2824"/>
      <c r="J20" s="1498">
        <v>11</v>
      </c>
      <c r="K20" s="1497" t="s">
        <v>421</v>
      </c>
      <c r="L20" s="1497" t="s">
        <v>422</v>
      </c>
      <c r="M20" s="1498">
        <v>1</v>
      </c>
      <c r="N20" s="1497" t="s">
        <v>423</v>
      </c>
      <c r="O20" s="1904" t="s">
        <v>424</v>
      </c>
      <c r="P20" s="1497" t="s">
        <v>425</v>
      </c>
      <c r="Q20" s="1506">
        <f>+V20/R20</f>
        <v>1</v>
      </c>
      <c r="R20" s="1940">
        <f>SUM(V20)</f>
        <v>230000000</v>
      </c>
      <c r="S20" s="1497" t="s">
        <v>426</v>
      </c>
      <c r="T20" s="1497" t="s">
        <v>427</v>
      </c>
      <c r="U20" s="1497" t="s">
        <v>428</v>
      </c>
      <c r="V20" s="1908">
        <v>230000000</v>
      </c>
      <c r="W20" s="1505">
        <v>27</v>
      </c>
      <c r="X20" s="1904" t="s">
        <v>399</v>
      </c>
      <c r="Y20" s="1495">
        <v>294321</v>
      </c>
      <c r="Z20" s="1495">
        <v>283947</v>
      </c>
      <c r="AA20" s="1495">
        <v>135754</v>
      </c>
      <c r="AB20" s="1495">
        <v>44640</v>
      </c>
      <c r="AC20" s="1495">
        <v>308178</v>
      </c>
      <c r="AD20" s="1495">
        <v>89696</v>
      </c>
      <c r="AE20" s="1495">
        <v>2145</v>
      </c>
      <c r="AF20" s="1495">
        <v>12718</v>
      </c>
      <c r="AG20" s="1495">
        <v>26</v>
      </c>
      <c r="AH20" s="1495">
        <v>37</v>
      </c>
      <c r="AI20" s="1495">
        <v>0</v>
      </c>
      <c r="AJ20" s="1495"/>
      <c r="AK20" s="1495">
        <v>54612</v>
      </c>
      <c r="AL20" s="1495">
        <v>21944</v>
      </c>
      <c r="AM20" s="1495">
        <v>1010</v>
      </c>
      <c r="AN20" s="1495">
        <v>578268</v>
      </c>
      <c r="AO20" s="794">
        <v>43466</v>
      </c>
      <c r="AP20" s="794">
        <v>43830</v>
      </c>
      <c r="AQ20" s="2830"/>
    </row>
    <row r="21" spans="1:47" s="178" customFormat="1" ht="66.75" customHeight="1" x14ac:dyDescent="0.2">
      <c r="A21" s="2840"/>
      <c r="B21" s="2840"/>
      <c r="C21" s="2840"/>
      <c r="D21" s="2841"/>
      <c r="E21" s="2841"/>
      <c r="F21" s="2841"/>
      <c r="G21" s="2824"/>
      <c r="H21" s="2824"/>
      <c r="I21" s="2824"/>
      <c r="J21" s="2811">
        <v>12</v>
      </c>
      <c r="K21" s="2808" t="s">
        <v>429</v>
      </c>
      <c r="L21" s="2808" t="s">
        <v>430</v>
      </c>
      <c r="M21" s="2811">
        <v>3</v>
      </c>
      <c r="N21" s="2808" t="s">
        <v>431</v>
      </c>
      <c r="O21" s="2811" t="s">
        <v>432</v>
      </c>
      <c r="P21" s="2808" t="s">
        <v>433</v>
      </c>
      <c r="Q21" s="2865">
        <f>(+V21+V22)/R21</f>
        <v>1</v>
      </c>
      <c r="R21" s="2867">
        <f>SUM(V21:V22)</f>
        <v>1190000000</v>
      </c>
      <c r="S21" s="2808" t="s">
        <v>434</v>
      </c>
      <c r="T21" s="1497" t="s">
        <v>435</v>
      </c>
      <c r="U21" s="1497" t="s">
        <v>436</v>
      </c>
      <c r="V21" s="1908">
        <v>440000000</v>
      </c>
      <c r="W21" s="1505">
        <v>27</v>
      </c>
      <c r="X21" s="1623" t="s">
        <v>399</v>
      </c>
      <c r="Y21" s="2826">
        <v>294321</v>
      </c>
      <c r="Z21" s="2826">
        <v>283947</v>
      </c>
      <c r="AA21" s="2826">
        <v>135754</v>
      </c>
      <c r="AB21" s="2826">
        <v>44640</v>
      </c>
      <c r="AC21" s="2826">
        <v>308178</v>
      </c>
      <c r="AD21" s="2826">
        <v>89696</v>
      </c>
      <c r="AE21" s="2826">
        <v>2145</v>
      </c>
      <c r="AF21" s="2826">
        <v>12718</v>
      </c>
      <c r="AG21" s="2826">
        <v>26</v>
      </c>
      <c r="AH21" s="2826">
        <v>37</v>
      </c>
      <c r="AI21" s="2826">
        <v>0</v>
      </c>
      <c r="AJ21" s="2826">
        <v>0</v>
      </c>
      <c r="AK21" s="2826">
        <v>54612</v>
      </c>
      <c r="AL21" s="2826">
        <v>21944</v>
      </c>
      <c r="AM21" s="2826">
        <v>1010</v>
      </c>
      <c r="AN21" s="2826">
        <v>578268</v>
      </c>
      <c r="AO21" s="2831">
        <v>43466</v>
      </c>
      <c r="AP21" s="2831">
        <v>43830</v>
      </c>
      <c r="AQ21" s="2830"/>
    </row>
    <row r="22" spans="1:47" s="3" customFormat="1" ht="66.75" customHeight="1" x14ac:dyDescent="0.2">
      <c r="A22" s="2840"/>
      <c r="B22" s="2840"/>
      <c r="C22" s="2840"/>
      <c r="D22" s="2841"/>
      <c r="E22" s="2841"/>
      <c r="F22" s="2841"/>
      <c r="G22" s="2825"/>
      <c r="H22" s="2825"/>
      <c r="I22" s="2825"/>
      <c r="J22" s="2811"/>
      <c r="K22" s="2808"/>
      <c r="L22" s="2808"/>
      <c r="M22" s="2811"/>
      <c r="N22" s="2808"/>
      <c r="O22" s="2811"/>
      <c r="P22" s="2808"/>
      <c r="Q22" s="2866"/>
      <c r="R22" s="2868"/>
      <c r="S22" s="2808"/>
      <c r="T22" s="1497" t="s">
        <v>437</v>
      </c>
      <c r="U22" s="1497" t="s">
        <v>438</v>
      </c>
      <c r="V22" s="1942">
        <v>750000000</v>
      </c>
      <c r="W22" s="1505">
        <v>27</v>
      </c>
      <c r="X22" s="1623" t="s">
        <v>399</v>
      </c>
      <c r="Y22" s="2826"/>
      <c r="Z22" s="2826"/>
      <c r="AA22" s="2826"/>
      <c r="AB22" s="2826"/>
      <c r="AC22" s="2826"/>
      <c r="AD22" s="2826"/>
      <c r="AE22" s="2826"/>
      <c r="AF22" s="2826"/>
      <c r="AG22" s="2826"/>
      <c r="AH22" s="2826"/>
      <c r="AI22" s="2826"/>
      <c r="AJ22" s="2826"/>
      <c r="AK22" s="2826"/>
      <c r="AL22" s="2826"/>
      <c r="AM22" s="2826"/>
      <c r="AN22" s="2826"/>
      <c r="AO22" s="2831"/>
      <c r="AP22" s="2831"/>
      <c r="AQ22" s="2830"/>
    </row>
    <row r="23" spans="1:47" ht="27" customHeight="1" x14ac:dyDescent="0.2">
      <c r="A23" s="318" t="s">
        <v>439</v>
      </c>
      <c r="B23" s="795" t="s">
        <v>440</v>
      </c>
      <c r="C23" s="795"/>
      <c r="D23" s="795"/>
      <c r="E23" s="795"/>
      <c r="F23" s="796"/>
      <c r="G23" s="320"/>
      <c r="H23" s="319"/>
      <c r="I23" s="319"/>
      <c r="J23" s="797"/>
      <c r="K23" s="797"/>
      <c r="L23" s="797"/>
      <c r="M23" s="798"/>
      <c r="N23" s="797"/>
      <c r="O23" s="798"/>
      <c r="P23" s="797"/>
      <c r="Q23" s="797"/>
      <c r="R23" s="1956"/>
      <c r="S23" s="797"/>
      <c r="T23" s="319"/>
      <c r="U23" s="797"/>
      <c r="V23" s="1943"/>
      <c r="W23" s="799"/>
      <c r="X23" s="800"/>
      <c r="Y23" s="801"/>
      <c r="Z23" s="802"/>
      <c r="AA23" s="802"/>
      <c r="AB23" s="802"/>
      <c r="AC23" s="802"/>
      <c r="AD23" s="802"/>
      <c r="AE23" s="802"/>
      <c r="AF23" s="802"/>
      <c r="AG23" s="802"/>
      <c r="AH23" s="802"/>
      <c r="AI23" s="802"/>
      <c r="AJ23" s="802"/>
      <c r="AK23" s="802"/>
      <c r="AL23" s="321"/>
      <c r="AM23" s="321"/>
      <c r="AN23" s="803"/>
      <c r="AO23" s="804"/>
      <c r="AP23" s="804"/>
      <c r="AQ23" s="805"/>
      <c r="AR23" s="445"/>
      <c r="AS23" s="445"/>
      <c r="AT23" s="445"/>
      <c r="AU23" s="445"/>
    </row>
    <row r="24" spans="1:47" ht="27" customHeight="1" x14ac:dyDescent="0.2">
      <c r="A24" s="2871" t="s">
        <v>441</v>
      </c>
      <c r="B24" s="2871"/>
      <c r="C24" s="2871"/>
      <c r="D24" s="806" t="s">
        <v>442</v>
      </c>
      <c r="E24" s="2872" t="s">
        <v>443</v>
      </c>
      <c r="F24" s="2872"/>
      <c r="G24" s="2872"/>
      <c r="H24" s="2872"/>
      <c r="I24" s="2872"/>
      <c r="J24" s="2872"/>
      <c r="K24" s="2872"/>
      <c r="L24" s="2872"/>
      <c r="M24" s="323"/>
      <c r="N24" s="322"/>
      <c r="O24" s="323"/>
      <c r="P24" s="322"/>
      <c r="Q24" s="322"/>
      <c r="R24" s="1944"/>
      <c r="S24" s="322"/>
      <c r="T24" s="322"/>
      <c r="U24" s="322"/>
      <c r="V24" s="1944"/>
      <c r="W24" s="807"/>
      <c r="X24" s="808"/>
      <c r="Y24" s="809"/>
      <c r="Z24" s="324"/>
      <c r="AA24" s="324"/>
      <c r="AB24" s="324"/>
      <c r="AC24" s="324"/>
      <c r="AD24" s="324"/>
      <c r="AE24" s="324"/>
      <c r="AF24" s="324"/>
      <c r="AG24" s="324"/>
      <c r="AH24" s="324"/>
      <c r="AI24" s="324"/>
      <c r="AJ24" s="324"/>
      <c r="AK24" s="324"/>
      <c r="AL24" s="325"/>
      <c r="AM24" s="325"/>
      <c r="AN24" s="326"/>
      <c r="AO24" s="327"/>
      <c r="AP24" s="327"/>
      <c r="AQ24" s="810"/>
      <c r="AR24" s="445"/>
      <c r="AS24" s="445"/>
      <c r="AT24" s="445"/>
      <c r="AU24" s="445"/>
    </row>
    <row r="25" spans="1:47" ht="27" customHeight="1" x14ac:dyDescent="0.2">
      <c r="A25" s="2871"/>
      <c r="B25" s="2871"/>
      <c r="C25" s="2871"/>
      <c r="D25" s="2871" t="s">
        <v>441</v>
      </c>
      <c r="E25" s="2871"/>
      <c r="F25" s="2871"/>
      <c r="G25" s="703" t="s">
        <v>444</v>
      </c>
      <c r="H25" s="331" t="s">
        <v>445</v>
      </c>
      <c r="I25" s="331"/>
      <c r="J25" s="331"/>
      <c r="K25" s="329"/>
      <c r="L25" s="329"/>
      <c r="M25" s="328"/>
      <c r="N25" s="329"/>
      <c r="O25" s="328"/>
      <c r="P25" s="329"/>
      <c r="Q25" s="329"/>
      <c r="R25" s="1957"/>
      <c r="S25" s="329"/>
      <c r="T25" s="329"/>
      <c r="U25" s="330"/>
      <c r="V25" s="1945"/>
      <c r="W25" s="811"/>
      <c r="X25" s="1160"/>
      <c r="Y25" s="812"/>
      <c r="Z25" s="331"/>
      <c r="AA25" s="331"/>
      <c r="AB25" s="331"/>
      <c r="AC25" s="331"/>
      <c r="AD25" s="331"/>
      <c r="AE25" s="331"/>
      <c r="AF25" s="331"/>
      <c r="AG25" s="331"/>
      <c r="AH25" s="331"/>
      <c r="AI25" s="331"/>
      <c r="AJ25" s="331"/>
      <c r="AK25" s="331"/>
      <c r="AL25" s="332"/>
      <c r="AM25" s="332"/>
      <c r="AN25" s="333"/>
      <c r="AO25" s="334"/>
      <c r="AP25" s="334"/>
      <c r="AQ25" s="813"/>
      <c r="AR25" s="445"/>
      <c r="AS25" s="445"/>
      <c r="AT25" s="445"/>
      <c r="AU25" s="445"/>
    </row>
    <row r="26" spans="1:47" ht="45" customHeight="1" x14ac:dyDescent="0.2">
      <c r="A26" s="2871"/>
      <c r="B26" s="2871"/>
      <c r="C26" s="2871"/>
      <c r="D26" s="2871"/>
      <c r="E26" s="2871"/>
      <c r="F26" s="2871"/>
      <c r="G26" s="2793" t="s">
        <v>441</v>
      </c>
      <c r="H26" s="2794"/>
      <c r="I26" s="2873"/>
      <c r="J26" s="2876">
        <v>54</v>
      </c>
      <c r="K26" s="2800" t="s">
        <v>446</v>
      </c>
      <c r="L26" s="2800" t="s">
        <v>447</v>
      </c>
      <c r="M26" s="2878">
        <v>130</v>
      </c>
      <c r="N26" s="1486" t="s">
        <v>448</v>
      </c>
      <c r="O26" s="2878" t="s">
        <v>449</v>
      </c>
      <c r="P26" s="2800" t="s">
        <v>450</v>
      </c>
      <c r="Q26" s="2814">
        <f>SUM(V26:V32)/R26</f>
        <v>0.75621836672531229</v>
      </c>
      <c r="R26" s="2797">
        <f>SUM(V26:V38)</f>
        <v>6266240674</v>
      </c>
      <c r="S26" s="2816" t="s">
        <v>451</v>
      </c>
      <c r="T26" s="2802" t="s">
        <v>452</v>
      </c>
      <c r="U26" s="2812" t="s">
        <v>453</v>
      </c>
      <c r="V26" s="1946">
        <v>266273502</v>
      </c>
      <c r="W26" s="1165">
        <v>23</v>
      </c>
      <c r="X26" s="1937" t="s">
        <v>454</v>
      </c>
      <c r="Y26" s="2817">
        <v>294321</v>
      </c>
      <c r="Z26" s="2869">
        <v>283947</v>
      </c>
      <c r="AA26" s="2869">
        <v>135912</v>
      </c>
      <c r="AB26" s="2869">
        <v>44640</v>
      </c>
      <c r="AC26" s="2869">
        <v>308178</v>
      </c>
      <c r="AD26" s="2869">
        <v>89696</v>
      </c>
      <c r="AE26" s="2869">
        <v>2145</v>
      </c>
      <c r="AF26" s="2869">
        <v>12718</v>
      </c>
      <c r="AG26" s="2869">
        <v>26</v>
      </c>
      <c r="AH26" s="2869">
        <v>37</v>
      </c>
      <c r="AI26" s="2869">
        <v>0</v>
      </c>
      <c r="AJ26" s="2869">
        <v>0</v>
      </c>
      <c r="AK26" s="2869">
        <v>54612</v>
      </c>
      <c r="AL26" s="2869">
        <v>21944</v>
      </c>
      <c r="AM26" s="2869">
        <v>1010</v>
      </c>
      <c r="AN26" s="2869">
        <f>SUM(Y26:Z38)</f>
        <v>578268</v>
      </c>
      <c r="AO26" s="2880">
        <v>43466</v>
      </c>
      <c r="AP26" s="2880">
        <v>43830</v>
      </c>
      <c r="AQ26" s="2771" t="s">
        <v>398</v>
      </c>
      <c r="AR26" s="445"/>
      <c r="AS26" s="445"/>
      <c r="AT26" s="445"/>
      <c r="AU26" s="445"/>
    </row>
    <row r="27" spans="1:47" ht="45" customHeight="1" x14ac:dyDescent="0.2">
      <c r="A27" s="2871"/>
      <c r="B27" s="2871"/>
      <c r="C27" s="2871"/>
      <c r="D27" s="2871"/>
      <c r="E27" s="2871"/>
      <c r="F27" s="2871"/>
      <c r="G27" s="2795"/>
      <c r="H27" s="2874"/>
      <c r="I27" s="2875"/>
      <c r="J27" s="2877"/>
      <c r="K27" s="2801"/>
      <c r="L27" s="2801"/>
      <c r="M27" s="2879"/>
      <c r="N27" s="1487"/>
      <c r="O27" s="2879"/>
      <c r="P27" s="2801"/>
      <c r="Q27" s="2815"/>
      <c r="R27" s="2798"/>
      <c r="S27" s="2816"/>
      <c r="T27" s="2803"/>
      <c r="U27" s="2812"/>
      <c r="V27" s="1946">
        <f>0+402200000</f>
        <v>402200000</v>
      </c>
      <c r="W27" s="1165">
        <v>46</v>
      </c>
      <c r="X27" s="1937" t="s">
        <v>455</v>
      </c>
      <c r="Y27" s="2818"/>
      <c r="Z27" s="2870"/>
      <c r="AA27" s="2870"/>
      <c r="AB27" s="2870"/>
      <c r="AC27" s="2870"/>
      <c r="AD27" s="2870"/>
      <c r="AE27" s="2870"/>
      <c r="AF27" s="2870"/>
      <c r="AG27" s="2870"/>
      <c r="AH27" s="2870"/>
      <c r="AI27" s="2870"/>
      <c r="AJ27" s="2870"/>
      <c r="AK27" s="2870"/>
      <c r="AL27" s="2870"/>
      <c r="AM27" s="2870"/>
      <c r="AN27" s="2870"/>
      <c r="AO27" s="2881"/>
      <c r="AP27" s="2881"/>
      <c r="AQ27" s="2772"/>
      <c r="AR27" s="445"/>
      <c r="AS27" s="445"/>
      <c r="AT27" s="445"/>
      <c r="AU27" s="445"/>
    </row>
    <row r="28" spans="1:47" ht="45" customHeight="1" x14ac:dyDescent="0.2">
      <c r="A28" s="2871"/>
      <c r="B28" s="2871"/>
      <c r="C28" s="2871"/>
      <c r="D28" s="2871"/>
      <c r="E28" s="2871"/>
      <c r="F28" s="2871"/>
      <c r="G28" s="2795"/>
      <c r="H28" s="2796"/>
      <c r="I28" s="2875"/>
      <c r="J28" s="2877"/>
      <c r="K28" s="2801"/>
      <c r="L28" s="2801"/>
      <c r="M28" s="2879"/>
      <c r="N28" s="1487"/>
      <c r="O28" s="2879"/>
      <c r="P28" s="2801"/>
      <c r="Q28" s="2815"/>
      <c r="R28" s="2798"/>
      <c r="S28" s="2816"/>
      <c r="T28" s="2803"/>
      <c r="U28" s="1906" t="s">
        <v>456</v>
      </c>
      <c r="V28" s="1946">
        <v>193300000</v>
      </c>
      <c r="W28" s="1165">
        <v>23</v>
      </c>
      <c r="X28" s="1937" t="s">
        <v>454</v>
      </c>
      <c r="Y28" s="2818"/>
      <c r="Z28" s="2870"/>
      <c r="AA28" s="2870"/>
      <c r="AB28" s="2870"/>
      <c r="AC28" s="2870"/>
      <c r="AD28" s="2870"/>
      <c r="AE28" s="2870"/>
      <c r="AF28" s="2870"/>
      <c r="AG28" s="2870"/>
      <c r="AH28" s="2870"/>
      <c r="AI28" s="2870"/>
      <c r="AJ28" s="2870"/>
      <c r="AK28" s="2870"/>
      <c r="AL28" s="2870"/>
      <c r="AM28" s="2870"/>
      <c r="AN28" s="2870"/>
      <c r="AO28" s="2881"/>
      <c r="AP28" s="2881"/>
      <c r="AQ28" s="2772"/>
      <c r="AR28" s="1192"/>
      <c r="AS28" s="445"/>
      <c r="AT28" s="445"/>
      <c r="AU28" s="445"/>
    </row>
    <row r="29" spans="1:47" ht="32.25" customHeight="1" x14ac:dyDescent="0.2">
      <c r="A29" s="2871"/>
      <c r="B29" s="2871"/>
      <c r="C29" s="2871"/>
      <c r="D29" s="2871"/>
      <c r="E29" s="2871"/>
      <c r="F29" s="2871"/>
      <c r="G29" s="2795"/>
      <c r="H29" s="2796"/>
      <c r="I29" s="2875"/>
      <c r="J29" s="2877"/>
      <c r="K29" s="2801"/>
      <c r="L29" s="2801"/>
      <c r="M29" s="2879"/>
      <c r="N29" s="1487" t="s">
        <v>457</v>
      </c>
      <c r="O29" s="2879"/>
      <c r="P29" s="2801"/>
      <c r="Q29" s="2815"/>
      <c r="R29" s="2798"/>
      <c r="S29" s="2816"/>
      <c r="T29" s="2803"/>
      <c r="U29" s="2812" t="s">
        <v>458</v>
      </c>
      <c r="V29" s="1946">
        <f>2000000000-402200000</f>
        <v>1597800000</v>
      </c>
      <c r="W29" s="1165">
        <v>46</v>
      </c>
      <c r="X29" s="1937" t="s">
        <v>455</v>
      </c>
      <c r="Y29" s="2818"/>
      <c r="Z29" s="2870"/>
      <c r="AA29" s="2870"/>
      <c r="AB29" s="2870"/>
      <c r="AC29" s="2870"/>
      <c r="AD29" s="2870"/>
      <c r="AE29" s="2870"/>
      <c r="AF29" s="2870"/>
      <c r="AG29" s="2870"/>
      <c r="AH29" s="2870"/>
      <c r="AI29" s="2870"/>
      <c r="AJ29" s="2870"/>
      <c r="AK29" s="2870"/>
      <c r="AL29" s="2870"/>
      <c r="AM29" s="2870"/>
      <c r="AN29" s="2870"/>
      <c r="AO29" s="2881"/>
      <c r="AP29" s="2881"/>
      <c r="AQ29" s="2772"/>
      <c r="AR29" s="445"/>
      <c r="AS29" s="445"/>
      <c r="AT29" s="445"/>
      <c r="AU29" s="445"/>
    </row>
    <row r="30" spans="1:47" ht="46.5" customHeight="1" x14ac:dyDescent="0.2">
      <c r="A30" s="2871"/>
      <c r="B30" s="2871"/>
      <c r="C30" s="2871"/>
      <c r="D30" s="2871"/>
      <c r="E30" s="2871"/>
      <c r="F30" s="2871"/>
      <c r="G30" s="2795"/>
      <c r="H30" s="2796"/>
      <c r="I30" s="2875"/>
      <c r="J30" s="2877"/>
      <c r="K30" s="2801"/>
      <c r="L30" s="2801"/>
      <c r="M30" s="2879"/>
      <c r="N30" s="1487"/>
      <c r="O30" s="2879"/>
      <c r="P30" s="2801"/>
      <c r="Q30" s="2815"/>
      <c r="R30" s="2798"/>
      <c r="S30" s="2816"/>
      <c r="T30" s="2803"/>
      <c r="U30" s="2812"/>
      <c r="V30" s="1946">
        <v>1565383782</v>
      </c>
      <c r="W30" s="1165">
        <v>157</v>
      </c>
      <c r="X30" s="1937" t="s">
        <v>459</v>
      </c>
      <c r="Y30" s="2818"/>
      <c r="Z30" s="2870"/>
      <c r="AA30" s="2870"/>
      <c r="AB30" s="2870"/>
      <c r="AC30" s="2870"/>
      <c r="AD30" s="2870"/>
      <c r="AE30" s="2870"/>
      <c r="AF30" s="2870"/>
      <c r="AG30" s="2870"/>
      <c r="AH30" s="2870"/>
      <c r="AI30" s="2870"/>
      <c r="AJ30" s="2870"/>
      <c r="AK30" s="2870"/>
      <c r="AL30" s="2870"/>
      <c r="AM30" s="2870"/>
      <c r="AN30" s="2870"/>
      <c r="AO30" s="2881"/>
      <c r="AP30" s="2881"/>
      <c r="AQ30" s="2772"/>
      <c r="AR30" s="445"/>
      <c r="AS30" s="445"/>
      <c r="AT30" s="445"/>
      <c r="AU30" s="445"/>
    </row>
    <row r="31" spans="1:47" ht="50.25" customHeight="1" x14ac:dyDescent="0.2">
      <c r="A31" s="2871"/>
      <c r="B31" s="2871"/>
      <c r="C31" s="2871"/>
      <c r="D31" s="2871"/>
      <c r="E31" s="2871"/>
      <c r="F31" s="2871"/>
      <c r="G31" s="2795"/>
      <c r="H31" s="2796"/>
      <c r="I31" s="2875"/>
      <c r="J31" s="2877"/>
      <c r="K31" s="2801"/>
      <c r="L31" s="2801"/>
      <c r="M31" s="2879"/>
      <c r="N31" s="1487"/>
      <c r="O31" s="2879"/>
      <c r="P31" s="2801"/>
      <c r="Q31" s="2815"/>
      <c r="R31" s="2798"/>
      <c r="S31" s="2816"/>
      <c r="T31" s="2803"/>
      <c r="U31" s="2812"/>
      <c r="V31" s="1946">
        <f>0+393689004</f>
        <v>393689004</v>
      </c>
      <c r="W31" s="1165">
        <v>88</v>
      </c>
      <c r="X31" s="1937" t="s">
        <v>411</v>
      </c>
      <c r="Y31" s="2818"/>
      <c r="Z31" s="2870"/>
      <c r="AA31" s="2870"/>
      <c r="AB31" s="2870"/>
      <c r="AC31" s="2870"/>
      <c r="AD31" s="2870"/>
      <c r="AE31" s="2870"/>
      <c r="AF31" s="2870"/>
      <c r="AG31" s="2870"/>
      <c r="AH31" s="2870"/>
      <c r="AI31" s="2870"/>
      <c r="AJ31" s="2870"/>
      <c r="AK31" s="2870"/>
      <c r="AL31" s="2870"/>
      <c r="AM31" s="2870"/>
      <c r="AN31" s="2870"/>
      <c r="AO31" s="2881"/>
      <c r="AP31" s="2881"/>
      <c r="AQ31" s="2772"/>
      <c r="AR31" s="445"/>
      <c r="AS31" s="445"/>
      <c r="AT31" s="445"/>
      <c r="AU31" s="445"/>
    </row>
    <row r="32" spans="1:47" ht="56.25" customHeight="1" x14ac:dyDescent="0.2">
      <c r="A32" s="2871"/>
      <c r="B32" s="2871"/>
      <c r="C32" s="2871"/>
      <c r="D32" s="2871"/>
      <c r="E32" s="2871"/>
      <c r="F32" s="2871"/>
      <c r="G32" s="2795"/>
      <c r="H32" s="2796"/>
      <c r="I32" s="2875"/>
      <c r="J32" s="2877"/>
      <c r="K32" s="2801"/>
      <c r="L32" s="2801"/>
      <c r="M32" s="2879"/>
      <c r="N32" s="1487" t="s">
        <v>460</v>
      </c>
      <c r="O32" s="2879"/>
      <c r="P32" s="2801"/>
      <c r="Q32" s="2815"/>
      <c r="R32" s="2798"/>
      <c r="S32" s="2816"/>
      <c r="T32" s="2803"/>
      <c r="U32" s="1906" t="s">
        <v>461</v>
      </c>
      <c r="V32" s="1946">
        <v>320000000</v>
      </c>
      <c r="W32" s="1165">
        <v>46</v>
      </c>
      <c r="X32" s="1937" t="s">
        <v>455</v>
      </c>
      <c r="Y32" s="2818"/>
      <c r="Z32" s="2870"/>
      <c r="AA32" s="2870"/>
      <c r="AB32" s="2870"/>
      <c r="AC32" s="2870"/>
      <c r="AD32" s="2870"/>
      <c r="AE32" s="2870"/>
      <c r="AF32" s="2870"/>
      <c r="AG32" s="2870"/>
      <c r="AH32" s="2870"/>
      <c r="AI32" s="2870"/>
      <c r="AJ32" s="2870"/>
      <c r="AK32" s="2870"/>
      <c r="AL32" s="2870"/>
      <c r="AM32" s="2870"/>
      <c r="AN32" s="2870"/>
      <c r="AO32" s="2881"/>
      <c r="AP32" s="2881"/>
      <c r="AQ32" s="2772"/>
      <c r="AR32" s="445"/>
      <c r="AS32" s="445"/>
      <c r="AT32" s="445"/>
      <c r="AU32" s="445"/>
    </row>
    <row r="33" spans="1:47" ht="45" customHeight="1" x14ac:dyDescent="0.2">
      <c r="A33" s="2871"/>
      <c r="B33" s="2871"/>
      <c r="C33" s="2871"/>
      <c r="D33" s="2871"/>
      <c r="E33" s="2871"/>
      <c r="F33" s="2871"/>
      <c r="G33" s="2795"/>
      <c r="H33" s="2796"/>
      <c r="I33" s="2875"/>
      <c r="J33" s="2876">
        <v>55</v>
      </c>
      <c r="K33" s="2800" t="s">
        <v>462</v>
      </c>
      <c r="L33" s="2800" t="s">
        <v>463</v>
      </c>
      <c r="M33" s="2878">
        <v>12</v>
      </c>
      <c r="O33" s="2879"/>
      <c r="P33" s="2801"/>
      <c r="Q33" s="2814">
        <f>SUM(V33:V38)/R26</f>
        <v>0.24378163327468771</v>
      </c>
      <c r="R33" s="2798"/>
      <c r="S33" s="2816"/>
      <c r="T33" s="2802" t="s">
        <v>464</v>
      </c>
      <c r="U33" s="2812" t="s">
        <v>465</v>
      </c>
      <c r="V33" s="1947">
        <v>51500000</v>
      </c>
      <c r="W33" s="1165">
        <v>23</v>
      </c>
      <c r="X33" s="1937" t="s">
        <v>466</v>
      </c>
      <c r="Y33" s="2818"/>
      <c r="Z33" s="2870"/>
      <c r="AA33" s="2870"/>
      <c r="AB33" s="2870"/>
      <c r="AC33" s="2870"/>
      <c r="AD33" s="2870"/>
      <c r="AE33" s="2870"/>
      <c r="AF33" s="2870"/>
      <c r="AG33" s="2870"/>
      <c r="AH33" s="2870"/>
      <c r="AI33" s="2870"/>
      <c r="AJ33" s="2870"/>
      <c r="AK33" s="2870"/>
      <c r="AL33" s="2870"/>
      <c r="AM33" s="2870"/>
      <c r="AN33" s="2870"/>
      <c r="AO33" s="2881"/>
      <c r="AP33" s="2881"/>
      <c r="AQ33" s="2772"/>
      <c r="AR33" s="445"/>
      <c r="AS33" s="445"/>
      <c r="AT33" s="445"/>
      <c r="AU33" s="445"/>
    </row>
    <row r="34" spans="1:47" ht="45" customHeight="1" x14ac:dyDescent="0.2">
      <c r="A34" s="2871"/>
      <c r="B34" s="2871"/>
      <c r="C34" s="2871"/>
      <c r="D34" s="2871"/>
      <c r="E34" s="2871"/>
      <c r="F34" s="2871"/>
      <c r="G34" s="2795"/>
      <c r="H34" s="2796"/>
      <c r="I34" s="2875"/>
      <c r="J34" s="2877"/>
      <c r="K34" s="2801"/>
      <c r="L34" s="2801"/>
      <c r="M34" s="2879"/>
      <c r="N34" s="1487" t="s">
        <v>467</v>
      </c>
      <c r="O34" s="2879"/>
      <c r="P34" s="2801"/>
      <c r="Q34" s="2815"/>
      <c r="R34" s="2798"/>
      <c r="S34" s="2816"/>
      <c r="T34" s="2803"/>
      <c r="U34" s="2812"/>
      <c r="V34" s="1947">
        <v>100000000</v>
      </c>
      <c r="W34" s="1165">
        <v>46</v>
      </c>
      <c r="X34" s="1937" t="s">
        <v>468</v>
      </c>
      <c r="Y34" s="2818"/>
      <c r="Z34" s="2870"/>
      <c r="AA34" s="2870"/>
      <c r="AB34" s="2870"/>
      <c r="AC34" s="2870"/>
      <c r="AD34" s="2870"/>
      <c r="AE34" s="2870"/>
      <c r="AF34" s="2870"/>
      <c r="AG34" s="2870"/>
      <c r="AH34" s="2870"/>
      <c r="AI34" s="2870"/>
      <c r="AJ34" s="2870"/>
      <c r="AK34" s="2870"/>
      <c r="AL34" s="2870"/>
      <c r="AM34" s="2870"/>
      <c r="AN34" s="2870"/>
      <c r="AO34" s="2881"/>
      <c r="AP34" s="2881"/>
      <c r="AQ34" s="2772"/>
      <c r="AR34" s="445"/>
      <c r="AS34" s="445"/>
      <c r="AT34" s="445"/>
      <c r="AU34" s="445"/>
    </row>
    <row r="35" spans="1:47" ht="45" customHeight="1" x14ac:dyDescent="0.2">
      <c r="A35" s="2871"/>
      <c r="B35" s="2871"/>
      <c r="C35" s="2871"/>
      <c r="D35" s="2871"/>
      <c r="E35" s="2871"/>
      <c r="F35" s="2871"/>
      <c r="G35" s="2795"/>
      <c r="H35" s="2796"/>
      <c r="I35" s="2875"/>
      <c r="J35" s="2877"/>
      <c r="K35" s="2801"/>
      <c r="L35" s="2801"/>
      <c r="M35" s="2879"/>
      <c r="O35" s="2879"/>
      <c r="P35" s="2801"/>
      <c r="Q35" s="2815"/>
      <c r="R35" s="2798"/>
      <c r="S35" s="2816"/>
      <c r="T35" s="2803"/>
      <c r="U35" s="2812" t="s">
        <v>469</v>
      </c>
      <c r="V35" s="1947">
        <v>448500000</v>
      </c>
      <c r="W35" s="1165">
        <v>23</v>
      </c>
      <c r="X35" s="1937" t="s">
        <v>466</v>
      </c>
      <c r="Y35" s="2818"/>
      <c r="Z35" s="2870"/>
      <c r="AA35" s="2870"/>
      <c r="AB35" s="2870"/>
      <c r="AC35" s="2870"/>
      <c r="AD35" s="2870"/>
      <c r="AE35" s="2870"/>
      <c r="AF35" s="2870"/>
      <c r="AG35" s="2870"/>
      <c r="AH35" s="2870"/>
      <c r="AI35" s="2870"/>
      <c r="AJ35" s="2870"/>
      <c r="AK35" s="2870"/>
      <c r="AL35" s="2870"/>
      <c r="AM35" s="2870"/>
      <c r="AN35" s="2870"/>
      <c r="AO35" s="2881"/>
      <c r="AP35" s="2881"/>
      <c r="AQ35" s="2772"/>
      <c r="AR35" s="445"/>
      <c r="AS35" s="445"/>
      <c r="AT35" s="445"/>
      <c r="AU35" s="445"/>
    </row>
    <row r="36" spans="1:47" ht="45" customHeight="1" x14ac:dyDescent="0.2">
      <c r="A36" s="2871"/>
      <c r="B36" s="2871"/>
      <c r="C36" s="2871"/>
      <c r="D36" s="2871"/>
      <c r="E36" s="2871"/>
      <c r="F36" s="2871"/>
      <c r="G36" s="2795"/>
      <c r="H36" s="2796"/>
      <c r="I36" s="2875"/>
      <c r="J36" s="2877"/>
      <c r="K36" s="2801"/>
      <c r="L36" s="2801"/>
      <c r="M36" s="2879"/>
      <c r="O36" s="2879"/>
      <c r="P36" s="2801"/>
      <c r="Q36" s="2815"/>
      <c r="R36" s="2798"/>
      <c r="S36" s="2816"/>
      <c r="T36" s="2803"/>
      <c r="U36" s="2812"/>
      <c r="V36" s="1947">
        <v>42594386</v>
      </c>
      <c r="W36" s="1165">
        <v>89</v>
      </c>
      <c r="X36" s="1938" t="s">
        <v>470</v>
      </c>
      <c r="Y36" s="2818"/>
      <c r="Z36" s="2870"/>
      <c r="AA36" s="2870"/>
      <c r="AB36" s="2870"/>
      <c r="AC36" s="2870"/>
      <c r="AD36" s="2870"/>
      <c r="AE36" s="2870"/>
      <c r="AF36" s="2870"/>
      <c r="AG36" s="2870"/>
      <c r="AH36" s="2870"/>
      <c r="AI36" s="2870"/>
      <c r="AJ36" s="2870"/>
      <c r="AK36" s="2870"/>
      <c r="AL36" s="2870"/>
      <c r="AM36" s="2870"/>
      <c r="AN36" s="2870"/>
      <c r="AO36" s="2881"/>
      <c r="AP36" s="2881"/>
      <c r="AQ36" s="2772"/>
      <c r="AR36" s="445"/>
      <c r="AS36" s="445"/>
      <c r="AT36" s="445"/>
      <c r="AU36" s="445"/>
    </row>
    <row r="37" spans="1:47" ht="45" customHeight="1" x14ac:dyDescent="0.2">
      <c r="A37" s="2871"/>
      <c r="B37" s="2871"/>
      <c r="C37" s="2871"/>
      <c r="D37" s="2871"/>
      <c r="E37" s="2871"/>
      <c r="F37" s="2871"/>
      <c r="G37" s="2795"/>
      <c r="H37" s="2796"/>
      <c r="I37" s="2875"/>
      <c r="J37" s="2877"/>
      <c r="K37" s="2801"/>
      <c r="L37" s="2801"/>
      <c r="M37" s="2879"/>
      <c r="N37" s="412" t="s">
        <v>471</v>
      </c>
      <c r="O37" s="2879"/>
      <c r="P37" s="2801"/>
      <c r="Q37" s="2815"/>
      <c r="R37" s="2798"/>
      <c r="S37" s="2816"/>
      <c r="T37" s="2803"/>
      <c r="U37" s="2812"/>
      <c r="V37" s="1961">
        <f>0+185000000</f>
        <v>185000000</v>
      </c>
      <c r="W37" s="1909">
        <v>88</v>
      </c>
      <c r="X37" s="1939" t="s">
        <v>411</v>
      </c>
      <c r="Y37" s="2818"/>
      <c r="Z37" s="2870"/>
      <c r="AA37" s="2870"/>
      <c r="AB37" s="2870"/>
      <c r="AC37" s="2870"/>
      <c r="AD37" s="2870"/>
      <c r="AE37" s="2870"/>
      <c r="AF37" s="2870"/>
      <c r="AG37" s="2870"/>
      <c r="AH37" s="2870"/>
      <c r="AI37" s="2870"/>
      <c r="AJ37" s="2870"/>
      <c r="AK37" s="2870"/>
      <c r="AL37" s="2870"/>
      <c r="AM37" s="2870"/>
      <c r="AN37" s="2870"/>
      <c r="AO37" s="2881"/>
      <c r="AP37" s="2881"/>
      <c r="AQ37" s="2772"/>
      <c r="AR37" s="445"/>
      <c r="AS37" s="445"/>
      <c r="AT37" s="445"/>
      <c r="AU37" s="445"/>
    </row>
    <row r="38" spans="1:47" ht="45" customHeight="1" x14ac:dyDescent="0.2">
      <c r="A38" s="2871"/>
      <c r="B38" s="2871"/>
      <c r="C38" s="2871"/>
      <c r="D38" s="2871"/>
      <c r="E38" s="2871"/>
      <c r="F38" s="2871"/>
      <c r="G38" s="2795"/>
      <c r="H38" s="2796"/>
      <c r="I38" s="2875"/>
      <c r="J38" s="2877"/>
      <c r="K38" s="2801"/>
      <c r="L38" s="2801"/>
      <c r="M38" s="2879"/>
      <c r="N38" s="1487"/>
      <c r="O38" s="2879"/>
      <c r="P38" s="2801"/>
      <c r="Q38" s="2815"/>
      <c r="R38" s="2798"/>
      <c r="S38" s="2816"/>
      <c r="T38" s="2801"/>
      <c r="U38" s="1907" t="s">
        <v>472</v>
      </c>
      <c r="V38" s="1948">
        <v>700000000</v>
      </c>
      <c r="W38" s="1299">
        <v>46</v>
      </c>
      <c r="X38" s="1371" t="s">
        <v>468</v>
      </c>
      <c r="Y38" s="2818"/>
      <c r="Z38" s="2870"/>
      <c r="AA38" s="2870"/>
      <c r="AB38" s="2870"/>
      <c r="AC38" s="2870"/>
      <c r="AD38" s="2870"/>
      <c r="AE38" s="2870"/>
      <c r="AF38" s="2870"/>
      <c r="AG38" s="2870"/>
      <c r="AH38" s="2870"/>
      <c r="AI38" s="2870"/>
      <c r="AJ38" s="2870"/>
      <c r="AK38" s="2870"/>
      <c r="AL38" s="2870"/>
      <c r="AM38" s="2870"/>
      <c r="AN38" s="2870"/>
      <c r="AO38" s="2881"/>
      <c r="AP38" s="2881"/>
      <c r="AQ38" s="2772"/>
      <c r="AR38" s="445"/>
      <c r="AS38" s="445"/>
      <c r="AT38" s="445"/>
      <c r="AU38" s="445"/>
    </row>
    <row r="39" spans="1:47" ht="27" customHeight="1" x14ac:dyDescent="0.2">
      <c r="A39" s="814"/>
      <c r="B39" s="815"/>
      <c r="C39" s="337"/>
      <c r="D39" s="2793"/>
      <c r="E39" s="2794"/>
      <c r="F39" s="2794"/>
      <c r="G39" s="739" t="s">
        <v>473</v>
      </c>
      <c r="H39" s="335" t="s">
        <v>474</v>
      </c>
      <c r="I39" s="331"/>
      <c r="J39" s="331"/>
      <c r="K39" s="331"/>
      <c r="L39" s="331"/>
      <c r="M39" s="331"/>
      <c r="N39" s="331"/>
      <c r="O39" s="328"/>
      <c r="P39" s="331"/>
      <c r="Q39" s="331"/>
      <c r="R39" s="1958"/>
      <c r="S39" s="331"/>
      <c r="T39" s="331"/>
      <c r="U39" s="336"/>
      <c r="V39" s="1949"/>
      <c r="W39" s="336"/>
      <c r="X39" s="1163"/>
      <c r="Y39" s="331"/>
      <c r="Z39" s="331"/>
      <c r="AA39" s="331"/>
      <c r="AB39" s="331"/>
      <c r="AC39" s="331"/>
      <c r="AD39" s="331"/>
      <c r="AE39" s="331"/>
      <c r="AF39" s="331"/>
      <c r="AG39" s="331"/>
      <c r="AH39" s="331"/>
      <c r="AI39" s="331"/>
      <c r="AJ39" s="331"/>
      <c r="AK39" s="331"/>
      <c r="AL39" s="331"/>
      <c r="AM39" s="331"/>
      <c r="AN39" s="331"/>
      <c r="AO39" s="816"/>
      <c r="AP39" s="331"/>
      <c r="AQ39" s="338"/>
      <c r="AR39" s="445"/>
      <c r="AS39" s="445"/>
      <c r="AT39" s="445"/>
      <c r="AU39" s="445"/>
    </row>
    <row r="40" spans="1:47" ht="48.75" customHeight="1" x14ac:dyDescent="0.2">
      <c r="A40" s="814"/>
      <c r="B40" s="815"/>
      <c r="C40" s="337"/>
      <c r="D40" s="2795"/>
      <c r="E40" s="2796"/>
      <c r="F40" s="2796"/>
      <c r="G40" s="2871"/>
      <c r="H40" s="2871"/>
      <c r="I40" s="2871"/>
      <c r="J40" s="2883">
        <v>57</v>
      </c>
      <c r="K40" s="2800" t="s">
        <v>475</v>
      </c>
      <c r="L40" s="2800" t="s">
        <v>476</v>
      </c>
      <c r="M40" s="2878">
        <v>12</v>
      </c>
      <c r="N40" s="2437" t="s">
        <v>477</v>
      </c>
      <c r="O40" s="2878" t="s">
        <v>478</v>
      </c>
      <c r="P40" s="2800" t="s">
        <v>479</v>
      </c>
      <c r="Q40" s="2898">
        <f>SUM(V40:V44)/R40</f>
        <v>0.21473347171373725</v>
      </c>
      <c r="R40" s="2797">
        <f>SUM(V40:V59)</f>
        <v>20985340781</v>
      </c>
      <c r="S40" s="2800" t="s">
        <v>480</v>
      </c>
      <c r="T40" s="2802" t="s">
        <v>481</v>
      </c>
      <c r="U40" s="1504" t="s">
        <v>482</v>
      </c>
      <c r="V40" s="1950">
        <v>174840000</v>
      </c>
      <c r="W40" s="837" t="s">
        <v>396</v>
      </c>
      <c r="X40" s="817" t="s">
        <v>483</v>
      </c>
      <c r="Y40" s="2804">
        <v>294321</v>
      </c>
      <c r="Z40" s="2804">
        <v>283947</v>
      </c>
      <c r="AA40" s="2804">
        <v>135754</v>
      </c>
      <c r="AB40" s="2804">
        <v>44640</v>
      </c>
      <c r="AC40" s="2804">
        <v>308178</v>
      </c>
      <c r="AD40" s="2804">
        <v>89696</v>
      </c>
      <c r="AE40" s="2804">
        <v>2145</v>
      </c>
      <c r="AF40" s="2804">
        <v>12178</v>
      </c>
      <c r="AG40" s="2804">
        <v>26</v>
      </c>
      <c r="AH40" s="2804">
        <v>37</v>
      </c>
      <c r="AI40" s="2804">
        <v>0</v>
      </c>
      <c r="AJ40" s="2804">
        <v>0</v>
      </c>
      <c r="AK40" s="2437">
        <v>54612</v>
      </c>
      <c r="AL40" s="2437">
        <v>21944</v>
      </c>
      <c r="AM40" s="2900">
        <v>1010</v>
      </c>
      <c r="AN40" s="2900">
        <v>578268</v>
      </c>
      <c r="AO40" s="2880">
        <v>43466</v>
      </c>
      <c r="AP40" s="2880">
        <v>43830</v>
      </c>
      <c r="AQ40" s="2900" t="s">
        <v>398</v>
      </c>
      <c r="AR40" s="445"/>
      <c r="AS40" s="445"/>
      <c r="AT40" s="445"/>
      <c r="AU40" s="445"/>
    </row>
    <row r="41" spans="1:47" ht="40.5" customHeight="1" x14ac:dyDescent="0.2">
      <c r="A41" s="814"/>
      <c r="B41" s="815"/>
      <c r="C41" s="337"/>
      <c r="D41" s="2795"/>
      <c r="E41" s="2796"/>
      <c r="F41" s="2796"/>
      <c r="G41" s="2871"/>
      <c r="H41" s="2871"/>
      <c r="I41" s="2871"/>
      <c r="J41" s="2884"/>
      <c r="K41" s="2801"/>
      <c r="L41" s="2801"/>
      <c r="M41" s="2879"/>
      <c r="N41" s="2887"/>
      <c r="O41" s="2879"/>
      <c r="P41" s="2801"/>
      <c r="Q41" s="2899"/>
      <c r="R41" s="2798"/>
      <c r="S41" s="2801"/>
      <c r="T41" s="2803"/>
      <c r="U41" s="1504" t="s">
        <v>484</v>
      </c>
      <c r="V41" s="1950">
        <v>1025160000</v>
      </c>
      <c r="W41" s="837" t="s">
        <v>396</v>
      </c>
      <c r="X41" s="817" t="s">
        <v>483</v>
      </c>
      <c r="Y41" s="2805"/>
      <c r="Z41" s="2805"/>
      <c r="AA41" s="2805"/>
      <c r="AB41" s="2805"/>
      <c r="AC41" s="2805"/>
      <c r="AD41" s="2805"/>
      <c r="AE41" s="2805"/>
      <c r="AF41" s="2805"/>
      <c r="AG41" s="2805"/>
      <c r="AH41" s="2805"/>
      <c r="AI41" s="2805"/>
      <c r="AJ41" s="2805"/>
      <c r="AK41" s="2887"/>
      <c r="AL41" s="2887"/>
      <c r="AM41" s="2901"/>
      <c r="AN41" s="2901"/>
      <c r="AO41" s="2881"/>
      <c r="AP41" s="2881"/>
      <c r="AQ41" s="2901"/>
      <c r="AR41" s="445"/>
      <c r="AS41" s="445"/>
      <c r="AT41" s="445"/>
      <c r="AU41" s="445"/>
    </row>
    <row r="42" spans="1:47" ht="51" customHeight="1" x14ac:dyDescent="0.2">
      <c r="A42" s="814"/>
      <c r="B42" s="815"/>
      <c r="C42" s="337"/>
      <c r="D42" s="2795"/>
      <c r="E42" s="2796"/>
      <c r="F42" s="2796"/>
      <c r="G42" s="2871"/>
      <c r="H42" s="2871"/>
      <c r="I42" s="2871"/>
      <c r="J42" s="2884"/>
      <c r="K42" s="2801"/>
      <c r="L42" s="2801"/>
      <c r="M42" s="2879"/>
      <c r="N42" s="2887"/>
      <c r="O42" s="2879"/>
      <c r="P42" s="2801"/>
      <c r="Q42" s="2899"/>
      <c r="R42" s="2798"/>
      <c r="S42" s="2801"/>
      <c r="T42" s="2803"/>
      <c r="U42" s="2888" t="s">
        <v>485</v>
      </c>
      <c r="V42" s="1950">
        <v>1500000000</v>
      </c>
      <c r="W42" s="837" t="s">
        <v>396</v>
      </c>
      <c r="X42" s="817" t="s">
        <v>483</v>
      </c>
      <c r="Y42" s="2805"/>
      <c r="Z42" s="2805"/>
      <c r="AA42" s="2805"/>
      <c r="AB42" s="2805"/>
      <c r="AC42" s="2805"/>
      <c r="AD42" s="2805"/>
      <c r="AE42" s="2805"/>
      <c r="AF42" s="2805"/>
      <c r="AG42" s="2805"/>
      <c r="AH42" s="2805"/>
      <c r="AI42" s="2805"/>
      <c r="AJ42" s="2805"/>
      <c r="AK42" s="2887"/>
      <c r="AL42" s="2887"/>
      <c r="AM42" s="2901"/>
      <c r="AN42" s="2901"/>
      <c r="AO42" s="2881"/>
      <c r="AP42" s="2881"/>
      <c r="AQ42" s="2901"/>
      <c r="AR42" s="445"/>
      <c r="AS42" s="445"/>
      <c r="AT42" s="445"/>
      <c r="AU42" s="445"/>
    </row>
    <row r="43" spans="1:47" ht="56.25" customHeight="1" x14ac:dyDescent="0.2">
      <c r="A43" s="814"/>
      <c r="B43" s="815"/>
      <c r="C43" s="337"/>
      <c r="D43" s="2795"/>
      <c r="E43" s="2796"/>
      <c r="F43" s="2796"/>
      <c r="G43" s="2871"/>
      <c r="H43" s="2871"/>
      <c r="I43" s="2871"/>
      <c r="J43" s="2884"/>
      <c r="K43" s="2801"/>
      <c r="L43" s="2801"/>
      <c r="M43" s="2879"/>
      <c r="N43" s="2887"/>
      <c r="O43" s="2879"/>
      <c r="P43" s="2801"/>
      <c r="Q43" s="2899"/>
      <c r="R43" s="2798"/>
      <c r="S43" s="2801"/>
      <c r="T43" s="2803"/>
      <c r="U43" s="2889"/>
      <c r="V43" s="1950">
        <v>1706255081</v>
      </c>
      <c r="W43" s="837" t="s">
        <v>401</v>
      </c>
      <c r="X43" s="817" t="s">
        <v>486</v>
      </c>
      <c r="Y43" s="2805"/>
      <c r="Z43" s="2805"/>
      <c r="AA43" s="2805"/>
      <c r="AB43" s="2805"/>
      <c r="AC43" s="2805"/>
      <c r="AD43" s="2805"/>
      <c r="AE43" s="2805"/>
      <c r="AF43" s="2805"/>
      <c r="AG43" s="2805"/>
      <c r="AH43" s="2805"/>
      <c r="AI43" s="2805"/>
      <c r="AJ43" s="2805"/>
      <c r="AK43" s="2887"/>
      <c r="AL43" s="2887"/>
      <c r="AM43" s="2901"/>
      <c r="AN43" s="2901"/>
      <c r="AO43" s="2881"/>
      <c r="AP43" s="2881"/>
      <c r="AQ43" s="2901"/>
      <c r="AR43" s="445"/>
      <c r="AS43" s="445"/>
      <c r="AT43" s="445"/>
      <c r="AU43" s="445"/>
    </row>
    <row r="44" spans="1:47" ht="57" customHeight="1" x14ac:dyDescent="0.2">
      <c r="A44" s="814"/>
      <c r="B44" s="815"/>
      <c r="C44" s="337"/>
      <c r="D44" s="2795"/>
      <c r="E44" s="2796"/>
      <c r="F44" s="2796"/>
      <c r="G44" s="2871"/>
      <c r="H44" s="2871"/>
      <c r="I44" s="2871"/>
      <c r="J44" s="2884"/>
      <c r="K44" s="2801"/>
      <c r="L44" s="2801"/>
      <c r="M44" s="2879"/>
      <c r="N44" s="2887"/>
      <c r="O44" s="2879"/>
      <c r="P44" s="2801"/>
      <c r="Q44" s="2899"/>
      <c r="R44" s="2798"/>
      <c r="S44" s="2801"/>
      <c r="T44" s="2803"/>
      <c r="U44" s="1504" t="s">
        <v>487</v>
      </c>
      <c r="V44" s="1950">
        <v>100000000</v>
      </c>
      <c r="W44" s="837" t="s">
        <v>396</v>
      </c>
      <c r="X44" s="817" t="s">
        <v>483</v>
      </c>
      <c r="Y44" s="2805"/>
      <c r="Z44" s="2805"/>
      <c r="AA44" s="2805"/>
      <c r="AB44" s="2805"/>
      <c r="AC44" s="2805"/>
      <c r="AD44" s="2805"/>
      <c r="AE44" s="2805"/>
      <c r="AF44" s="2805"/>
      <c r="AG44" s="2805"/>
      <c r="AH44" s="2805"/>
      <c r="AI44" s="2805"/>
      <c r="AJ44" s="2805"/>
      <c r="AK44" s="2887"/>
      <c r="AL44" s="2887"/>
      <c r="AM44" s="2901"/>
      <c r="AN44" s="2901"/>
      <c r="AO44" s="2881"/>
      <c r="AP44" s="2881"/>
      <c r="AQ44" s="2901"/>
      <c r="AR44" s="445"/>
      <c r="AS44" s="445"/>
      <c r="AT44" s="445"/>
      <c r="AU44" s="445"/>
    </row>
    <row r="45" spans="1:47" ht="69.75" customHeight="1" x14ac:dyDescent="0.2">
      <c r="A45" s="1179"/>
      <c r="B45" s="1180"/>
      <c r="C45" s="1181"/>
      <c r="D45" s="2795"/>
      <c r="E45" s="2796"/>
      <c r="F45" s="2796"/>
      <c r="G45" s="2871"/>
      <c r="H45" s="2871"/>
      <c r="I45" s="2871"/>
      <c r="J45" s="2883">
        <v>58</v>
      </c>
      <c r="K45" s="2885" t="s">
        <v>488</v>
      </c>
      <c r="L45" s="2885" t="s">
        <v>489</v>
      </c>
      <c r="M45" s="2437">
        <v>1</v>
      </c>
      <c r="N45" s="2887"/>
      <c r="O45" s="2879"/>
      <c r="P45" s="2803"/>
      <c r="Q45" s="2903">
        <f>SUM(V45:V46)/R40</f>
        <v>0.23739549507390009</v>
      </c>
      <c r="R45" s="2799"/>
      <c r="S45" s="2801"/>
      <c r="T45" s="2803"/>
      <c r="U45" s="1494" t="s">
        <v>490</v>
      </c>
      <c r="V45" s="1951">
        <v>4181825364</v>
      </c>
      <c r="W45" s="1164">
        <v>46</v>
      </c>
      <c r="X45" s="818" t="s">
        <v>455</v>
      </c>
      <c r="Y45" s="2805"/>
      <c r="Z45" s="2805"/>
      <c r="AA45" s="2805"/>
      <c r="AB45" s="2805"/>
      <c r="AC45" s="2805"/>
      <c r="AD45" s="2805"/>
      <c r="AE45" s="2805"/>
      <c r="AF45" s="2805"/>
      <c r="AG45" s="2805"/>
      <c r="AH45" s="2805"/>
      <c r="AI45" s="2805"/>
      <c r="AJ45" s="2805"/>
      <c r="AK45" s="2887"/>
      <c r="AL45" s="2887"/>
      <c r="AM45" s="2901"/>
      <c r="AN45" s="2901"/>
      <c r="AO45" s="2881"/>
      <c r="AP45" s="2881"/>
      <c r="AQ45" s="2901"/>
      <c r="AR45" s="1182"/>
      <c r="AS45" s="1182"/>
      <c r="AT45" s="1182"/>
      <c r="AU45" s="1182"/>
    </row>
    <row r="46" spans="1:47" ht="45.75" customHeight="1" x14ac:dyDescent="0.2">
      <c r="A46" s="1179"/>
      <c r="B46" s="1180"/>
      <c r="C46" s="1181"/>
      <c r="D46" s="2795"/>
      <c r="E46" s="2796"/>
      <c r="F46" s="2796"/>
      <c r="G46" s="2871"/>
      <c r="H46" s="2871"/>
      <c r="I46" s="2871"/>
      <c r="J46" s="2884"/>
      <c r="K46" s="2886"/>
      <c r="L46" s="2886"/>
      <c r="M46" s="2887"/>
      <c r="N46" s="2887"/>
      <c r="O46" s="2879"/>
      <c r="P46" s="2803"/>
      <c r="Q46" s="2904"/>
      <c r="R46" s="2799"/>
      <c r="S46" s="2801"/>
      <c r="T46" s="2803"/>
      <c r="U46" s="1494" t="s">
        <v>491</v>
      </c>
      <c r="V46" s="1951">
        <v>800000000</v>
      </c>
      <c r="W46" s="1164">
        <v>46</v>
      </c>
      <c r="X46" s="818" t="s">
        <v>455</v>
      </c>
      <c r="Y46" s="2805"/>
      <c r="Z46" s="2805"/>
      <c r="AA46" s="2805"/>
      <c r="AB46" s="2805"/>
      <c r="AC46" s="2805"/>
      <c r="AD46" s="2805"/>
      <c r="AE46" s="2805"/>
      <c r="AF46" s="2805"/>
      <c r="AG46" s="2805"/>
      <c r="AH46" s="2805"/>
      <c r="AI46" s="2805"/>
      <c r="AJ46" s="2805"/>
      <c r="AK46" s="2887"/>
      <c r="AL46" s="2887"/>
      <c r="AM46" s="2901"/>
      <c r="AN46" s="2901"/>
      <c r="AO46" s="2881"/>
      <c r="AP46" s="2881"/>
      <c r="AQ46" s="2901"/>
      <c r="AR46" s="1182"/>
      <c r="AS46" s="1182"/>
      <c r="AT46" s="1182"/>
      <c r="AU46" s="1182"/>
    </row>
    <row r="47" spans="1:47" ht="47.25" customHeight="1" x14ac:dyDescent="0.2">
      <c r="A47" s="1179"/>
      <c r="B47" s="1180"/>
      <c r="C47" s="1181"/>
      <c r="D47" s="2795"/>
      <c r="E47" s="2796"/>
      <c r="F47" s="2796"/>
      <c r="G47" s="2871"/>
      <c r="H47" s="2871"/>
      <c r="I47" s="2871"/>
      <c r="J47" s="2892">
        <v>59</v>
      </c>
      <c r="K47" s="2437" t="s">
        <v>492</v>
      </c>
      <c r="L47" s="2878" t="s">
        <v>493</v>
      </c>
      <c r="M47" s="2878">
        <v>12</v>
      </c>
      <c r="N47" s="2887"/>
      <c r="O47" s="2879"/>
      <c r="P47" s="2803"/>
      <c r="Q47" s="2896">
        <f>SUM(V47:V52)/R40</f>
        <v>0.14171441412533906</v>
      </c>
      <c r="R47" s="2799"/>
      <c r="S47" s="2801"/>
      <c r="T47" s="2803"/>
      <c r="U47" s="1494" t="s">
        <v>494</v>
      </c>
      <c r="V47" s="1952">
        <v>225000000</v>
      </c>
      <c r="W47" s="1161" t="s">
        <v>396</v>
      </c>
      <c r="X47" s="874" t="s">
        <v>495</v>
      </c>
      <c r="Y47" s="2805"/>
      <c r="Z47" s="2805"/>
      <c r="AA47" s="2805"/>
      <c r="AB47" s="2805"/>
      <c r="AC47" s="2805"/>
      <c r="AD47" s="2805"/>
      <c r="AE47" s="2805"/>
      <c r="AF47" s="2805"/>
      <c r="AG47" s="2805"/>
      <c r="AH47" s="2805"/>
      <c r="AI47" s="2805"/>
      <c r="AJ47" s="2805"/>
      <c r="AK47" s="2887"/>
      <c r="AL47" s="2887"/>
      <c r="AM47" s="2901"/>
      <c r="AN47" s="2901"/>
      <c r="AO47" s="2881"/>
      <c r="AP47" s="2881"/>
      <c r="AQ47" s="2901"/>
      <c r="AR47" s="1182"/>
      <c r="AS47" s="1182"/>
      <c r="AT47" s="1182"/>
      <c r="AU47" s="1182"/>
    </row>
    <row r="48" spans="1:47" ht="54.75" customHeight="1" x14ac:dyDescent="0.2">
      <c r="A48" s="1179"/>
      <c r="B48" s="1180"/>
      <c r="C48" s="1181"/>
      <c r="D48" s="2795"/>
      <c r="E48" s="2796"/>
      <c r="F48" s="2796"/>
      <c r="G48" s="2871"/>
      <c r="H48" s="2871"/>
      <c r="I48" s="2871"/>
      <c r="J48" s="2893"/>
      <c r="K48" s="2887"/>
      <c r="L48" s="2879"/>
      <c r="M48" s="2879"/>
      <c r="N48" s="2887"/>
      <c r="O48" s="2879"/>
      <c r="P48" s="2803"/>
      <c r="Q48" s="2896"/>
      <c r="R48" s="2799"/>
      <c r="S48" s="2801"/>
      <c r="T48" s="2803"/>
      <c r="U48" s="2890" t="s">
        <v>496</v>
      </c>
      <c r="V48" s="1952">
        <v>383410000</v>
      </c>
      <c r="W48" s="1161" t="s">
        <v>396</v>
      </c>
      <c r="X48" s="818" t="s">
        <v>495</v>
      </c>
      <c r="Y48" s="2805"/>
      <c r="Z48" s="2805"/>
      <c r="AA48" s="2805"/>
      <c r="AB48" s="2805"/>
      <c r="AC48" s="2805"/>
      <c r="AD48" s="2805"/>
      <c r="AE48" s="2805"/>
      <c r="AF48" s="2805"/>
      <c r="AG48" s="2805"/>
      <c r="AH48" s="2805"/>
      <c r="AI48" s="2805"/>
      <c r="AJ48" s="2805"/>
      <c r="AK48" s="2887"/>
      <c r="AL48" s="2887"/>
      <c r="AM48" s="2901"/>
      <c r="AN48" s="2901"/>
      <c r="AO48" s="2881"/>
      <c r="AP48" s="2881"/>
      <c r="AQ48" s="2901"/>
      <c r="AR48" s="1182"/>
      <c r="AS48" s="1182"/>
      <c r="AT48" s="1182"/>
      <c r="AU48" s="1182"/>
    </row>
    <row r="49" spans="1:47" ht="42.75" customHeight="1" x14ac:dyDescent="0.2">
      <c r="A49" s="1179"/>
      <c r="B49" s="1180"/>
      <c r="C49" s="1181"/>
      <c r="D49" s="2795"/>
      <c r="E49" s="2796"/>
      <c r="F49" s="2796"/>
      <c r="G49" s="2871"/>
      <c r="H49" s="2871"/>
      <c r="I49" s="2871"/>
      <c r="J49" s="2893"/>
      <c r="K49" s="2887"/>
      <c r="L49" s="2879"/>
      <c r="M49" s="2879"/>
      <c r="N49" s="2887"/>
      <c r="O49" s="2879"/>
      <c r="P49" s="2803"/>
      <c r="Q49" s="2896"/>
      <c r="R49" s="2799"/>
      <c r="S49" s="2801"/>
      <c r="T49" s="2803"/>
      <c r="U49" s="2891"/>
      <c r="V49" s="1952">
        <v>246521300</v>
      </c>
      <c r="W49" s="1161" t="s">
        <v>401</v>
      </c>
      <c r="X49" s="817" t="s">
        <v>486</v>
      </c>
      <c r="Y49" s="2805"/>
      <c r="Z49" s="2805"/>
      <c r="AA49" s="2805"/>
      <c r="AB49" s="2805"/>
      <c r="AC49" s="2805"/>
      <c r="AD49" s="2805"/>
      <c r="AE49" s="2805"/>
      <c r="AF49" s="2805"/>
      <c r="AG49" s="2805"/>
      <c r="AH49" s="2805"/>
      <c r="AI49" s="2805"/>
      <c r="AJ49" s="2805"/>
      <c r="AK49" s="2887"/>
      <c r="AL49" s="2887"/>
      <c r="AM49" s="2901"/>
      <c r="AN49" s="2901"/>
      <c r="AO49" s="2881"/>
      <c r="AP49" s="2881"/>
      <c r="AQ49" s="2901"/>
      <c r="AR49" s="1182"/>
      <c r="AS49" s="1182"/>
      <c r="AT49" s="1182"/>
      <c r="AU49" s="1182"/>
    </row>
    <row r="50" spans="1:47" ht="51.75" customHeight="1" x14ac:dyDescent="0.2">
      <c r="A50" s="1179"/>
      <c r="B50" s="1180"/>
      <c r="C50" s="1181"/>
      <c r="D50" s="2795"/>
      <c r="E50" s="2796"/>
      <c r="F50" s="2796"/>
      <c r="G50" s="2871"/>
      <c r="H50" s="2871"/>
      <c r="I50" s="2871"/>
      <c r="J50" s="2893"/>
      <c r="K50" s="2887"/>
      <c r="L50" s="2879"/>
      <c r="M50" s="2879"/>
      <c r="N50" s="2887"/>
      <c r="O50" s="2879"/>
      <c r="P50" s="2803"/>
      <c r="Q50" s="2896"/>
      <c r="R50" s="2799"/>
      <c r="S50" s="2801"/>
      <c r="T50" s="2803"/>
      <c r="U50" s="2882" t="s">
        <v>497</v>
      </c>
      <c r="V50" s="1952">
        <v>2018993974</v>
      </c>
      <c r="W50" s="1161" t="s">
        <v>396</v>
      </c>
      <c r="X50" s="818" t="s">
        <v>483</v>
      </c>
      <c r="Y50" s="2805"/>
      <c r="Z50" s="2805"/>
      <c r="AA50" s="2805"/>
      <c r="AB50" s="2805"/>
      <c r="AC50" s="2805"/>
      <c r="AD50" s="2805"/>
      <c r="AE50" s="2805"/>
      <c r="AF50" s="2805"/>
      <c r="AG50" s="2805"/>
      <c r="AH50" s="2805"/>
      <c r="AI50" s="2805"/>
      <c r="AJ50" s="2805"/>
      <c r="AK50" s="2887"/>
      <c r="AL50" s="2887"/>
      <c r="AM50" s="2901"/>
      <c r="AN50" s="2901"/>
      <c r="AO50" s="2881"/>
      <c r="AP50" s="2881"/>
      <c r="AQ50" s="2901"/>
      <c r="AR50" s="1182"/>
      <c r="AS50" s="1182"/>
      <c r="AT50" s="1182"/>
      <c r="AU50" s="1182"/>
    </row>
    <row r="51" spans="1:47" ht="58.5" customHeight="1" x14ac:dyDescent="0.2">
      <c r="A51" s="1179"/>
      <c r="B51" s="1180"/>
      <c r="C51" s="1181"/>
      <c r="D51" s="2795"/>
      <c r="E51" s="2796"/>
      <c r="F51" s="2796"/>
      <c r="G51" s="2871"/>
      <c r="H51" s="2871"/>
      <c r="I51" s="2871"/>
      <c r="J51" s="2893"/>
      <c r="K51" s="2887"/>
      <c r="L51" s="2879"/>
      <c r="M51" s="2879"/>
      <c r="N51" s="2887"/>
      <c r="O51" s="2879"/>
      <c r="P51" s="2803"/>
      <c r="Q51" s="2896"/>
      <c r="R51" s="2799"/>
      <c r="S51" s="2801"/>
      <c r="T51" s="2803"/>
      <c r="U51" s="2882"/>
      <c r="V51" s="1952">
        <f>600000000-600000000</f>
        <v>0</v>
      </c>
      <c r="W51" s="1164">
        <v>46</v>
      </c>
      <c r="X51" s="818" t="s">
        <v>455</v>
      </c>
      <c r="Y51" s="2805"/>
      <c r="Z51" s="2805"/>
      <c r="AA51" s="2805"/>
      <c r="AB51" s="2805"/>
      <c r="AC51" s="2805"/>
      <c r="AD51" s="2805"/>
      <c r="AE51" s="2805"/>
      <c r="AF51" s="2805"/>
      <c r="AG51" s="2805"/>
      <c r="AH51" s="2805"/>
      <c r="AI51" s="2805"/>
      <c r="AJ51" s="2805"/>
      <c r="AK51" s="2887"/>
      <c r="AL51" s="2887"/>
      <c r="AM51" s="2901"/>
      <c r="AN51" s="2901"/>
      <c r="AO51" s="2881"/>
      <c r="AP51" s="2881"/>
      <c r="AQ51" s="2901"/>
      <c r="AR51" s="1182"/>
      <c r="AS51" s="1182"/>
      <c r="AT51" s="1182"/>
      <c r="AU51" s="1182"/>
    </row>
    <row r="52" spans="1:47" ht="54" customHeight="1" x14ac:dyDescent="0.2">
      <c r="A52" s="814"/>
      <c r="B52" s="815"/>
      <c r="C52" s="337"/>
      <c r="D52" s="2795"/>
      <c r="E52" s="2796"/>
      <c r="F52" s="2796"/>
      <c r="G52" s="2871"/>
      <c r="H52" s="2871"/>
      <c r="I52" s="2871"/>
      <c r="J52" s="2894"/>
      <c r="K52" s="2438"/>
      <c r="L52" s="2895"/>
      <c r="M52" s="2895"/>
      <c r="N52" s="2887"/>
      <c r="O52" s="2879"/>
      <c r="P52" s="2803"/>
      <c r="Q52" s="2896"/>
      <c r="R52" s="2799"/>
      <c r="S52" s="2801"/>
      <c r="T52" s="2803"/>
      <c r="U52" s="1494" t="s">
        <v>498</v>
      </c>
      <c r="V52" s="1946">
        <v>100000000</v>
      </c>
      <c r="W52" s="1161" t="s">
        <v>396</v>
      </c>
      <c r="X52" s="818" t="s">
        <v>495</v>
      </c>
      <c r="Y52" s="2805"/>
      <c r="Z52" s="2805"/>
      <c r="AA52" s="2805"/>
      <c r="AB52" s="2805"/>
      <c r="AC52" s="2805"/>
      <c r="AD52" s="2805"/>
      <c r="AE52" s="2805"/>
      <c r="AF52" s="2805"/>
      <c r="AG52" s="2805"/>
      <c r="AH52" s="2805"/>
      <c r="AI52" s="2805"/>
      <c r="AJ52" s="2805"/>
      <c r="AK52" s="2887"/>
      <c r="AL52" s="2887"/>
      <c r="AM52" s="2901"/>
      <c r="AN52" s="2901"/>
      <c r="AO52" s="2881"/>
      <c r="AP52" s="2881"/>
      <c r="AQ52" s="2901"/>
      <c r="AR52" s="445"/>
      <c r="AS52" s="445"/>
      <c r="AT52" s="445"/>
      <c r="AU52" s="445"/>
    </row>
    <row r="53" spans="1:47" ht="48.75" customHeight="1" x14ac:dyDescent="0.2">
      <c r="A53" s="814"/>
      <c r="B53" s="815"/>
      <c r="C53" s="337"/>
      <c r="D53" s="2795"/>
      <c r="E53" s="2796"/>
      <c r="F53" s="2796"/>
      <c r="G53" s="2871"/>
      <c r="H53" s="2871"/>
      <c r="I53" s="2871"/>
      <c r="J53" s="2893">
        <v>60</v>
      </c>
      <c r="K53" s="2885" t="s">
        <v>499</v>
      </c>
      <c r="L53" s="2800" t="s">
        <v>500</v>
      </c>
      <c r="M53" s="2878">
        <v>12</v>
      </c>
      <c r="N53" s="2887"/>
      <c r="O53" s="2879"/>
      <c r="P53" s="2801"/>
      <c r="Q53" s="2815">
        <f>SUM(V53:V55)/R40</f>
        <v>0.26177905683446429</v>
      </c>
      <c r="R53" s="2798"/>
      <c r="S53" s="2801"/>
      <c r="T53" s="2803"/>
      <c r="U53" s="1494" t="s">
        <v>501</v>
      </c>
      <c r="V53" s="1946">
        <f>224581000-224581000</f>
        <v>0</v>
      </c>
      <c r="W53" s="1164">
        <v>20</v>
      </c>
      <c r="X53" s="818" t="s">
        <v>502</v>
      </c>
      <c r="Y53" s="2805"/>
      <c r="Z53" s="2805"/>
      <c r="AA53" s="2805"/>
      <c r="AB53" s="2805"/>
      <c r="AC53" s="2805"/>
      <c r="AD53" s="2805"/>
      <c r="AE53" s="2805"/>
      <c r="AF53" s="2805"/>
      <c r="AG53" s="2805"/>
      <c r="AH53" s="2805"/>
      <c r="AI53" s="2805"/>
      <c r="AJ53" s="2805"/>
      <c r="AK53" s="2887"/>
      <c r="AL53" s="2887"/>
      <c r="AM53" s="2901"/>
      <c r="AN53" s="2901"/>
      <c r="AO53" s="2881"/>
      <c r="AP53" s="2881"/>
      <c r="AQ53" s="2901"/>
    </row>
    <row r="54" spans="1:47" ht="48.75" customHeight="1" x14ac:dyDescent="0.2">
      <c r="A54" s="814"/>
      <c r="B54" s="815"/>
      <c r="C54" s="337"/>
      <c r="D54" s="2795"/>
      <c r="E54" s="2796"/>
      <c r="F54" s="2796"/>
      <c r="G54" s="2871"/>
      <c r="H54" s="2871"/>
      <c r="I54" s="2871"/>
      <c r="J54" s="2893"/>
      <c r="K54" s="2886"/>
      <c r="L54" s="2801"/>
      <c r="M54" s="2879"/>
      <c r="N54" s="2887"/>
      <c r="O54" s="2879"/>
      <c r="P54" s="2801"/>
      <c r="Q54" s="2815"/>
      <c r="R54" s="2798"/>
      <c r="S54" s="2801"/>
      <c r="T54" s="2803"/>
      <c r="U54" s="1486" t="s">
        <v>503</v>
      </c>
      <c r="V54" s="1953">
        <f>3668941717+1600000000</f>
        <v>5268941717</v>
      </c>
      <c r="W54" s="1368">
        <v>46</v>
      </c>
      <c r="X54" s="1491" t="s">
        <v>455</v>
      </c>
      <c r="Y54" s="2805"/>
      <c r="Z54" s="2805"/>
      <c r="AA54" s="2805"/>
      <c r="AB54" s="2805"/>
      <c r="AC54" s="2805"/>
      <c r="AD54" s="2805"/>
      <c r="AE54" s="2805"/>
      <c r="AF54" s="2805"/>
      <c r="AG54" s="2805"/>
      <c r="AH54" s="2805"/>
      <c r="AI54" s="2805"/>
      <c r="AJ54" s="2805"/>
      <c r="AK54" s="2887"/>
      <c r="AL54" s="2887"/>
      <c r="AM54" s="2901"/>
      <c r="AN54" s="2901"/>
      <c r="AO54" s="2881"/>
      <c r="AP54" s="2881"/>
      <c r="AQ54" s="2901"/>
    </row>
    <row r="55" spans="1:47" ht="54" customHeight="1" x14ac:dyDescent="0.2">
      <c r="A55" s="814"/>
      <c r="B55" s="815"/>
      <c r="C55" s="337"/>
      <c r="D55" s="2795"/>
      <c r="E55" s="2796"/>
      <c r="F55" s="2796"/>
      <c r="G55" s="2871"/>
      <c r="H55" s="2871"/>
      <c r="I55" s="2871"/>
      <c r="J55" s="2894"/>
      <c r="K55" s="2905"/>
      <c r="L55" s="2906"/>
      <c r="M55" s="2895"/>
      <c r="N55" s="2887"/>
      <c r="O55" s="2879"/>
      <c r="P55" s="2801"/>
      <c r="Q55" s="2907"/>
      <c r="R55" s="2798"/>
      <c r="S55" s="2801"/>
      <c r="T55" s="2803"/>
      <c r="U55" s="1936" t="s">
        <v>504</v>
      </c>
      <c r="V55" s="1962">
        <f>0+224581000</f>
        <v>224581000</v>
      </c>
      <c r="W55" s="1286">
        <v>20</v>
      </c>
      <c r="X55" s="1628" t="s">
        <v>505</v>
      </c>
      <c r="Y55" s="2806"/>
      <c r="Z55" s="2805"/>
      <c r="AA55" s="2805"/>
      <c r="AB55" s="2805"/>
      <c r="AC55" s="2805"/>
      <c r="AD55" s="2805"/>
      <c r="AE55" s="2805"/>
      <c r="AF55" s="2805"/>
      <c r="AG55" s="2805"/>
      <c r="AH55" s="2805"/>
      <c r="AI55" s="2805"/>
      <c r="AJ55" s="2805"/>
      <c r="AK55" s="2887"/>
      <c r="AL55" s="2887"/>
      <c r="AM55" s="2901"/>
      <c r="AN55" s="2901"/>
      <c r="AO55" s="2881"/>
      <c r="AP55" s="2881"/>
      <c r="AQ55" s="2901"/>
      <c r="AR55" s="1182"/>
    </row>
    <row r="56" spans="1:47" ht="58.5" customHeight="1" x14ac:dyDescent="0.2">
      <c r="A56" s="814"/>
      <c r="B56" s="815"/>
      <c r="C56" s="337"/>
      <c r="D56" s="2795"/>
      <c r="E56" s="2796"/>
      <c r="F56" s="2796"/>
      <c r="G56" s="2871"/>
      <c r="H56" s="2871"/>
      <c r="I56" s="2871"/>
      <c r="J56" s="2908">
        <v>62</v>
      </c>
      <c r="K56" s="2800" t="s">
        <v>506</v>
      </c>
      <c r="L56" s="2800" t="s">
        <v>507</v>
      </c>
      <c r="M56" s="2878">
        <v>2</v>
      </c>
      <c r="N56" s="2887"/>
      <c r="O56" s="2879"/>
      <c r="P56" s="2801"/>
      <c r="Q56" s="2898">
        <f>SUM(V56:V57)/R40</f>
        <v>4.765231169871656E-2</v>
      </c>
      <c r="R56" s="2798"/>
      <c r="S56" s="2801"/>
      <c r="T56" s="2803"/>
      <c r="U56" s="1488" t="s">
        <v>508</v>
      </c>
      <c r="V56" s="1954">
        <f>820000000+180000000</f>
        <v>1000000000</v>
      </c>
      <c r="W56" s="1369">
        <v>46</v>
      </c>
      <c r="X56" s="1492" t="s">
        <v>468</v>
      </c>
      <c r="Y56" s="2805"/>
      <c r="Z56" s="2805"/>
      <c r="AA56" s="2805"/>
      <c r="AB56" s="2805"/>
      <c r="AC56" s="2805"/>
      <c r="AD56" s="2805"/>
      <c r="AE56" s="2805"/>
      <c r="AF56" s="2805"/>
      <c r="AG56" s="2805"/>
      <c r="AH56" s="2805"/>
      <c r="AI56" s="2805"/>
      <c r="AJ56" s="2805"/>
      <c r="AK56" s="2887"/>
      <c r="AL56" s="2887"/>
      <c r="AM56" s="2901"/>
      <c r="AN56" s="2901"/>
      <c r="AO56" s="2881"/>
      <c r="AP56" s="2881"/>
      <c r="AQ56" s="2901"/>
      <c r="AR56" s="1182"/>
    </row>
    <row r="57" spans="1:47" ht="83.25" customHeight="1" x14ac:dyDescent="0.2">
      <c r="A57" s="814"/>
      <c r="B57" s="815"/>
      <c r="C57" s="337"/>
      <c r="D57" s="2795"/>
      <c r="E57" s="2796"/>
      <c r="F57" s="2796"/>
      <c r="G57" s="2871"/>
      <c r="H57" s="2871"/>
      <c r="I57" s="2871"/>
      <c r="J57" s="2909"/>
      <c r="K57" s="2801"/>
      <c r="L57" s="2801"/>
      <c r="M57" s="2879"/>
      <c r="N57" s="2887"/>
      <c r="O57" s="2879"/>
      <c r="P57" s="2801"/>
      <c r="Q57" s="2899"/>
      <c r="R57" s="2798"/>
      <c r="S57" s="2801"/>
      <c r="T57" s="2803"/>
      <c r="U57" s="1494" t="s">
        <v>509</v>
      </c>
      <c r="V57" s="1946">
        <f>180000000-180000000</f>
        <v>0</v>
      </c>
      <c r="W57" s="1164">
        <v>46</v>
      </c>
      <c r="X57" s="818" t="s">
        <v>468</v>
      </c>
      <c r="Y57" s="2805"/>
      <c r="Z57" s="2805"/>
      <c r="AA57" s="2805"/>
      <c r="AB57" s="2805"/>
      <c r="AC57" s="2805"/>
      <c r="AD57" s="2805"/>
      <c r="AE57" s="2805"/>
      <c r="AF57" s="2805"/>
      <c r="AG57" s="2805"/>
      <c r="AH57" s="2805"/>
      <c r="AI57" s="2805"/>
      <c r="AJ57" s="2805"/>
      <c r="AK57" s="2887"/>
      <c r="AL57" s="2887"/>
      <c r="AM57" s="2901"/>
      <c r="AN57" s="2901"/>
      <c r="AO57" s="2881"/>
      <c r="AP57" s="2881"/>
      <c r="AQ57" s="2901"/>
    </row>
    <row r="58" spans="1:47" ht="71.25" customHeight="1" x14ac:dyDescent="0.2">
      <c r="A58" s="814"/>
      <c r="B58" s="815"/>
      <c r="C58" s="337"/>
      <c r="D58" s="2795"/>
      <c r="E58" s="2796"/>
      <c r="F58" s="2796"/>
      <c r="G58" s="2871"/>
      <c r="H58" s="2871"/>
      <c r="I58" s="2897"/>
      <c r="J58" s="1303">
        <v>63</v>
      </c>
      <c r="K58" s="1304" t="s">
        <v>510</v>
      </c>
      <c r="L58" s="1486" t="s">
        <v>511</v>
      </c>
      <c r="M58" s="1425">
        <v>250</v>
      </c>
      <c r="N58" s="2887"/>
      <c r="O58" s="2879"/>
      <c r="P58" s="2801"/>
      <c r="Q58" s="1493">
        <f>SUM(V58:V58)/R40</f>
        <v>9.5304623397433119E-2</v>
      </c>
      <c r="R58" s="2798"/>
      <c r="S58" s="2801"/>
      <c r="T58" s="2803"/>
      <c r="U58" s="1494" t="s">
        <v>512</v>
      </c>
      <c r="V58" s="1946">
        <f>3000000000-1000000000</f>
        <v>2000000000</v>
      </c>
      <c r="W58" s="1164">
        <v>46</v>
      </c>
      <c r="X58" s="818" t="s">
        <v>468</v>
      </c>
      <c r="Y58" s="2805"/>
      <c r="Z58" s="2805"/>
      <c r="AA58" s="2805"/>
      <c r="AB58" s="2805"/>
      <c r="AC58" s="2805"/>
      <c r="AD58" s="2805"/>
      <c r="AE58" s="2805"/>
      <c r="AF58" s="2805"/>
      <c r="AG58" s="2805"/>
      <c r="AH58" s="2805"/>
      <c r="AI58" s="2805"/>
      <c r="AJ58" s="2805"/>
      <c r="AK58" s="2887"/>
      <c r="AL58" s="2887"/>
      <c r="AM58" s="2901"/>
      <c r="AN58" s="2901"/>
      <c r="AO58" s="2881"/>
      <c r="AP58" s="2881">
        <v>43100</v>
      </c>
      <c r="AQ58" s="2901"/>
    </row>
    <row r="59" spans="1:47" ht="89.25" customHeight="1" x14ac:dyDescent="0.2">
      <c r="A59" s="814"/>
      <c r="B59" s="815"/>
      <c r="C59" s="337"/>
      <c r="D59" s="2795"/>
      <c r="E59" s="2796"/>
      <c r="F59" s="2796"/>
      <c r="G59" s="2871"/>
      <c r="H59" s="2871"/>
      <c r="I59" s="2897"/>
      <c r="J59" s="1303">
        <v>64</v>
      </c>
      <c r="K59" s="1304" t="s">
        <v>513</v>
      </c>
      <c r="L59" s="1489" t="s">
        <v>514</v>
      </c>
      <c r="M59" s="1490">
        <v>1</v>
      </c>
      <c r="N59" s="2438"/>
      <c r="O59" s="2879"/>
      <c r="P59" s="2801"/>
      <c r="Q59" s="1493">
        <f>V59/R40</f>
        <v>1.4206271564096741E-3</v>
      </c>
      <c r="R59" s="2798"/>
      <c r="S59" s="2801"/>
      <c r="T59" s="2803"/>
      <c r="U59" s="1504" t="s">
        <v>515</v>
      </c>
      <c r="V59" s="1946">
        <v>29812345</v>
      </c>
      <c r="W59" s="1165">
        <v>20</v>
      </c>
      <c r="X59" s="817" t="s">
        <v>516</v>
      </c>
      <c r="Y59" s="2807"/>
      <c r="Z59" s="2807"/>
      <c r="AA59" s="2807"/>
      <c r="AB59" s="2807"/>
      <c r="AC59" s="2807"/>
      <c r="AD59" s="2807"/>
      <c r="AE59" s="2807"/>
      <c r="AF59" s="2807"/>
      <c r="AG59" s="2807"/>
      <c r="AH59" s="2807"/>
      <c r="AI59" s="2807"/>
      <c r="AJ59" s="2807"/>
      <c r="AK59" s="2438"/>
      <c r="AL59" s="2438"/>
      <c r="AM59" s="2902"/>
      <c r="AN59" s="2902"/>
      <c r="AO59" s="2881"/>
      <c r="AP59" s="2881" t="s">
        <v>517</v>
      </c>
      <c r="AQ59" s="2901"/>
    </row>
    <row r="60" spans="1:47" s="3" customFormat="1" ht="108.75" customHeight="1" x14ac:dyDescent="0.2">
      <c r="A60" s="814"/>
      <c r="B60" s="815"/>
      <c r="C60" s="337"/>
      <c r="D60" s="2795"/>
      <c r="E60" s="2796"/>
      <c r="F60" s="2796"/>
      <c r="G60" s="2878"/>
      <c r="H60" s="2878"/>
      <c r="I60" s="2878"/>
      <c r="J60" s="1485">
        <v>59</v>
      </c>
      <c r="K60" s="1486" t="s">
        <v>492</v>
      </c>
      <c r="L60" s="1489" t="s">
        <v>493</v>
      </c>
      <c r="M60" s="1496">
        <v>1</v>
      </c>
      <c r="N60" s="1486" t="s">
        <v>518</v>
      </c>
      <c r="O60" s="1903" t="s">
        <v>519</v>
      </c>
      <c r="P60" s="1494" t="s">
        <v>520</v>
      </c>
      <c r="Q60" s="1960">
        <f>V60/R60</f>
        <v>1</v>
      </c>
      <c r="R60" s="1947">
        <f>SUM(V60)</f>
        <v>815853756</v>
      </c>
      <c r="S60" s="1435" t="s">
        <v>521</v>
      </c>
      <c r="T60" s="1454" t="s">
        <v>522</v>
      </c>
      <c r="U60" s="1435" t="s">
        <v>523</v>
      </c>
      <c r="V60" s="1946">
        <v>815853756</v>
      </c>
      <c r="W60" s="1434">
        <v>56</v>
      </c>
      <c r="X60" s="817" t="s">
        <v>524</v>
      </c>
      <c r="Y60" s="1162">
        <v>12668</v>
      </c>
      <c r="Z60" s="818">
        <v>12704</v>
      </c>
      <c r="AA60" s="818">
        <v>7596</v>
      </c>
      <c r="AB60" s="818">
        <v>1582</v>
      </c>
      <c r="AC60" s="818">
        <v>13190</v>
      </c>
      <c r="AD60" s="818">
        <v>1890</v>
      </c>
      <c r="AE60" s="818">
        <v>142</v>
      </c>
      <c r="AF60" s="818">
        <v>64</v>
      </c>
      <c r="AG60" s="818"/>
      <c r="AH60" s="818"/>
      <c r="AI60" s="818"/>
      <c r="AJ60" s="818"/>
      <c r="AK60" s="1424">
        <v>908</v>
      </c>
      <c r="AL60" s="1424"/>
      <c r="AM60" s="819"/>
      <c r="AN60" s="818">
        <f>+Y60+Z60</f>
        <v>25372</v>
      </c>
      <c r="AO60" s="820">
        <v>43497</v>
      </c>
      <c r="AP60" s="820">
        <v>43830</v>
      </c>
      <c r="AQ60" s="819" t="s">
        <v>398</v>
      </c>
    </row>
    <row r="61" spans="1:47" ht="27" customHeight="1" x14ac:dyDescent="0.2">
      <c r="A61" s="1193" t="s">
        <v>525</v>
      </c>
      <c r="B61" s="821"/>
      <c r="C61" s="821"/>
      <c r="D61" s="821"/>
      <c r="E61" s="821"/>
      <c r="F61" s="821"/>
      <c r="G61" s="821"/>
      <c r="H61" s="821"/>
      <c r="I61" s="821"/>
      <c r="J61" s="822"/>
      <c r="K61" s="821"/>
      <c r="L61" s="823"/>
      <c r="M61" s="740"/>
      <c r="N61" s="824"/>
      <c r="O61" s="1934"/>
      <c r="P61" s="824"/>
      <c r="Q61" s="827"/>
      <c r="R61" s="1959">
        <f>SUM(R12:R60)</f>
        <v>33128661636</v>
      </c>
      <c r="S61" s="826"/>
      <c r="T61" s="825"/>
      <c r="U61" s="1510"/>
      <c r="V61" s="1955">
        <f>SUM(V11:V60)</f>
        <v>33128661636</v>
      </c>
      <c r="W61" s="1166"/>
      <c r="X61" s="1666"/>
      <c r="Y61" s="828"/>
      <c r="Z61" s="829"/>
      <c r="AA61" s="829"/>
      <c r="AB61" s="829"/>
      <c r="AC61" s="829"/>
      <c r="AD61" s="829"/>
      <c r="AE61" s="829"/>
      <c r="AF61" s="829"/>
      <c r="AG61" s="829"/>
      <c r="AH61" s="829"/>
      <c r="AI61" s="829"/>
      <c r="AJ61" s="829"/>
      <c r="AK61" s="829"/>
      <c r="AL61" s="829"/>
      <c r="AM61" s="829"/>
      <c r="AN61" s="830"/>
      <c r="AO61" s="830"/>
      <c r="AP61" s="830"/>
      <c r="AQ61" s="831"/>
    </row>
    <row r="62" spans="1:47" ht="27" customHeight="1" x14ac:dyDescent="0.2">
      <c r="O62" s="1935"/>
      <c r="S62" s="832"/>
      <c r="T62" s="832"/>
      <c r="U62" s="832"/>
      <c r="X62" s="1534"/>
    </row>
    <row r="63" spans="1:47" ht="27" customHeight="1" x14ac:dyDescent="0.2">
      <c r="O63" s="1935"/>
      <c r="S63" s="832"/>
      <c r="T63" s="832"/>
      <c r="U63" s="832"/>
      <c r="X63" s="441"/>
    </row>
    <row r="64" spans="1:47" ht="27" customHeight="1" x14ac:dyDescent="0.25">
      <c r="D64" s="836" t="s">
        <v>526</v>
      </c>
      <c r="E64" s="836"/>
      <c r="F64" s="836"/>
      <c r="X64" s="441"/>
    </row>
    <row r="65" spans="1:24" ht="15" customHeight="1" x14ac:dyDescent="0.2">
      <c r="D65" s="404" t="s">
        <v>527</v>
      </c>
      <c r="X65" s="441"/>
    </row>
    <row r="66" spans="1:24" ht="13.5" customHeight="1" x14ac:dyDescent="0.2">
      <c r="D66" s="404" t="s">
        <v>528</v>
      </c>
      <c r="W66" s="833"/>
      <c r="X66" s="441"/>
    </row>
    <row r="67" spans="1:24" ht="27" customHeight="1" x14ac:dyDescent="0.2">
      <c r="X67" s="1534"/>
    </row>
    <row r="68" spans="1:24" ht="27" customHeight="1" x14ac:dyDescent="0.2">
      <c r="X68" s="1534"/>
    </row>
    <row r="69" spans="1:24" ht="27" customHeight="1" x14ac:dyDescent="0.2">
      <c r="A69" s="437" t="s">
        <v>529</v>
      </c>
      <c r="C69" s="404" t="s">
        <v>530</v>
      </c>
      <c r="X69" s="1534"/>
    </row>
    <row r="70" spans="1:24" ht="15" customHeight="1" x14ac:dyDescent="0.2">
      <c r="A70" s="437" t="s">
        <v>531</v>
      </c>
      <c r="C70" s="404" t="s">
        <v>532</v>
      </c>
      <c r="X70" s="1534"/>
    </row>
    <row r="71" spans="1:24" ht="15.75" customHeight="1" x14ac:dyDescent="0.2">
      <c r="C71" s="404" t="s">
        <v>533</v>
      </c>
      <c r="X71" s="1534"/>
    </row>
  </sheetData>
  <sheetProtection password="D9CF" sheet="1" objects="1" scenarios="1"/>
  <mergeCells count="258">
    <mergeCell ref="AM40:AM59"/>
    <mergeCell ref="AN40:AN59"/>
    <mergeCell ref="AO40:AO59"/>
    <mergeCell ref="AP40:AP59"/>
    <mergeCell ref="AQ40:AQ59"/>
    <mergeCell ref="Q45:Q46"/>
    <mergeCell ref="J53:J55"/>
    <mergeCell ref="K53:K55"/>
    <mergeCell ref="L53:L55"/>
    <mergeCell ref="M53:M55"/>
    <mergeCell ref="Q53:Q55"/>
    <mergeCell ref="J56:J57"/>
    <mergeCell ref="K56:K57"/>
    <mergeCell ref="L56:L57"/>
    <mergeCell ref="M56:M57"/>
    <mergeCell ref="AD40:AD59"/>
    <mergeCell ref="AE40:AE59"/>
    <mergeCell ref="AF40:AF59"/>
    <mergeCell ref="AG40:AG59"/>
    <mergeCell ref="AH40:AH59"/>
    <mergeCell ref="AI40:AI59"/>
    <mergeCell ref="AJ40:AJ59"/>
    <mergeCell ref="AK40:AK59"/>
    <mergeCell ref="AL40:AL59"/>
    <mergeCell ref="G40:I60"/>
    <mergeCell ref="J40:J44"/>
    <mergeCell ref="K40:K44"/>
    <mergeCell ref="L40:L44"/>
    <mergeCell ref="M40:M44"/>
    <mergeCell ref="O40:O59"/>
    <mergeCell ref="P40:P59"/>
    <mergeCell ref="Q40:Q44"/>
    <mergeCell ref="Q56:Q57"/>
    <mergeCell ref="Z40:Z59"/>
    <mergeCell ref="AA40:AA59"/>
    <mergeCell ref="AB40:AB59"/>
    <mergeCell ref="AC40:AC59"/>
    <mergeCell ref="U50:U51"/>
    <mergeCell ref="J45:J46"/>
    <mergeCell ref="K45:K46"/>
    <mergeCell ref="L45:L46"/>
    <mergeCell ref="M45:M46"/>
    <mergeCell ref="U42:U43"/>
    <mergeCell ref="U48:U49"/>
    <mergeCell ref="N40:N59"/>
    <mergeCell ref="J47:J52"/>
    <mergeCell ref="K47:K52"/>
    <mergeCell ref="L47:L52"/>
    <mergeCell ref="M47:M52"/>
    <mergeCell ref="Q47:Q52"/>
    <mergeCell ref="AN26:AN38"/>
    <mergeCell ref="AO26:AO38"/>
    <mergeCell ref="AP26:AP38"/>
    <mergeCell ref="AQ26:AQ38"/>
    <mergeCell ref="J33:J38"/>
    <mergeCell ref="K33:K38"/>
    <mergeCell ref="L33:L38"/>
    <mergeCell ref="M33:M38"/>
    <mergeCell ref="Q33:Q38"/>
    <mergeCell ref="T33:T38"/>
    <mergeCell ref="AB26:AB38"/>
    <mergeCell ref="AC26:AC38"/>
    <mergeCell ref="AD26:AD38"/>
    <mergeCell ref="AE26:AE38"/>
    <mergeCell ref="AF26:AF38"/>
    <mergeCell ref="AG26:AG38"/>
    <mergeCell ref="AH26:AH38"/>
    <mergeCell ref="AI26:AI38"/>
    <mergeCell ref="AJ26:AJ38"/>
    <mergeCell ref="Z26:Z38"/>
    <mergeCell ref="AA26:AA38"/>
    <mergeCell ref="U35:U37"/>
    <mergeCell ref="U29:U31"/>
    <mergeCell ref="U26:U27"/>
    <mergeCell ref="AC21:AC22"/>
    <mergeCell ref="AA21:AA22"/>
    <mergeCell ref="AB21:AB22"/>
    <mergeCell ref="AK26:AK38"/>
    <mergeCell ref="AL26:AL38"/>
    <mergeCell ref="AM26:AM38"/>
    <mergeCell ref="AJ21:AJ22"/>
    <mergeCell ref="A24:C38"/>
    <mergeCell ref="E24:L24"/>
    <mergeCell ref="D25:F38"/>
    <mergeCell ref="G26:I38"/>
    <mergeCell ref="J26:J32"/>
    <mergeCell ref="K26:K32"/>
    <mergeCell ref="L26:L32"/>
    <mergeCell ref="M26:M32"/>
    <mergeCell ref="O26:O38"/>
    <mergeCell ref="AD21:AD22"/>
    <mergeCell ref="AE21:AE22"/>
    <mergeCell ref="AF21:AF22"/>
    <mergeCell ref="AG21:AG22"/>
    <mergeCell ref="AH21:AH22"/>
    <mergeCell ref="AI21:AI22"/>
    <mergeCell ref="AK21:AK22"/>
    <mergeCell ref="L21:L22"/>
    <mergeCell ref="Z18:Z19"/>
    <mergeCell ref="AA18:AA19"/>
    <mergeCell ref="AB16:AB17"/>
    <mergeCell ref="M21:M22"/>
    <mergeCell ref="N21:N22"/>
    <mergeCell ref="O21:O22"/>
    <mergeCell ref="P21:P22"/>
    <mergeCell ref="Q21:Q22"/>
    <mergeCell ref="S21:S22"/>
    <mergeCell ref="Y21:Y22"/>
    <mergeCell ref="Z21:Z22"/>
    <mergeCell ref="R21:R22"/>
    <mergeCell ref="O16:O17"/>
    <mergeCell ref="A1:AO4"/>
    <mergeCell ref="A5:M6"/>
    <mergeCell ref="N5:AQ5"/>
    <mergeCell ref="A7:A8"/>
    <mergeCell ref="B7:C8"/>
    <mergeCell ref="D7:D8"/>
    <mergeCell ref="E7:F8"/>
    <mergeCell ref="G7:G8"/>
    <mergeCell ref="O7:O8"/>
    <mergeCell ref="P7:P8"/>
    <mergeCell ref="Q7:Q8"/>
    <mergeCell ref="R7:R8"/>
    <mergeCell ref="S7:S8"/>
    <mergeCell ref="T7:T8"/>
    <mergeCell ref="H7:I8"/>
    <mergeCell ref="J7:J8"/>
    <mergeCell ref="K7:K8"/>
    <mergeCell ref="L7:L8"/>
    <mergeCell ref="M7:M8"/>
    <mergeCell ref="N7:N8"/>
    <mergeCell ref="AE7:AJ7"/>
    <mergeCell ref="AK7:AM7"/>
    <mergeCell ref="AO7:AO8"/>
    <mergeCell ref="AP7:AP8"/>
    <mergeCell ref="A10:C22"/>
    <mergeCell ref="D11:F22"/>
    <mergeCell ref="G12:I15"/>
    <mergeCell ref="J12:J15"/>
    <mergeCell ref="K12:K15"/>
    <mergeCell ref="G16:I17"/>
    <mergeCell ref="J16:J17"/>
    <mergeCell ref="K16:K17"/>
    <mergeCell ref="G18:I19"/>
    <mergeCell ref="J18:J19"/>
    <mergeCell ref="K18:K19"/>
    <mergeCell ref="G20:I20"/>
    <mergeCell ref="G21:I22"/>
    <mergeCell ref="J21:J22"/>
    <mergeCell ref="K21:K22"/>
    <mergeCell ref="AM18:AM19"/>
    <mergeCell ref="AN18:AN19"/>
    <mergeCell ref="AO21:AO22"/>
    <mergeCell ref="AO18:AO19"/>
    <mergeCell ref="AP21:AP22"/>
    <mergeCell ref="AO12:AO15"/>
    <mergeCell ref="AP12:AP15"/>
    <mergeCell ref="AQ7:AQ8"/>
    <mergeCell ref="U7:U8"/>
    <mergeCell ref="V7:V8"/>
    <mergeCell ref="X7:X8"/>
    <mergeCell ref="Y7:Z7"/>
    <mergeCell ref="AA7:AD7"/>
    <mergeCell ref="AC12:AC15"/>
    <mergeCell ref="AD12:AD15"/>
    <mergeCell ref="AE12:AE15"/>
    <mergeCell ref="AB18:AB19"/>
    <mergeCell ref="AC18:AC19"/>
    <mergeCell ref="AD18:AD19"/>
    <mergeCell ref="AE18:AE19"/>
    <mergeCell ref="AF18:AF19"/>
    <mergeCell ref="AG18:AG19"/>
    <mergeCell ref="AH18:AH19"/>
    <mergeCell ref="U16:U17"/>
    <mergeCell ref="AN12:AN15"/>
    <mergeCell ref="Z12:Z15"/>
    <mergeCell ref="AF12:AF15"/>
    <mergeCell ref="AG12:AG15"/>
    <mergeCell ref="AH12:AH15"/>
    <mergeCell ref="AI12:AI15"/>
    <mergeCell ref="AA12:AA15"/>
    <mergeCell ref="AB12:AB15"/>
    <mergeCell ref="AQ12:AQ22"/>
    <mergeCell ref="AJ16:AJ17"/>
    <mergeCell ref="AK16:AK17"/>
    <mergeCell ref="AL16:AL17"/>
    <mergeCell ref="AM16:AM17"/>
    <mergeCell ref="AN16:AN17"/>
    <mergeCell ref="AO16:AO17"/>
    <mergeCell ref="AP16:AP17"/>
    <mergeCell ref="AI18:AI19"/>
    <mergeCell ref="AP18:AP19"/>
    <mergeCell ref="AJ18:AJ19"/>
    <mergeCell ref="AK18:AK19"/>
    <mergeCell ref="AL21:AL22"/>
    <mergeCell ref="AM21:AM22"/>
    <mergeCell ref="AN21:AN22"/>
    <mergeCell ref="AL18:AL19"/>
    <mergeCell ref="AH16:AH17"/>
    <mergeCell ref="AI16:AI17"/>
    <mergeCell ref="AA16:AA17"/>
    <mergeCell ref="Y6:AM6"/>
    <mergeCell ref="AJ12:AJ15"/>
    <mergeCell ref="AK12:AK15"/>
    <mergeCell ref="AL12:AL15"/>
    <mergeCell ref="AM12:AM15"/>
    <mergeCell ref="AC16:AC17"/>
    <mergeCell ref="AD16:AD17"/>
    <mergeCell ref="AE16:AE17"/>
    <mergeCell ref="AF16:AF17"/>
    <mergeCell ref="AG16:AG17"/>
    <mergeCell ref="Y16:Y17"/>
    <mergeCell ref="Z16:Z17"/>
    <mergeCell ref="Y26:Y38"/>
    <mergeCell ref="L12:L15"/>
    <mergeCell ref="M12:M15"/>
    <mergeCell ref="R12:R15"/>
    <mergeCell ref="O12:O15"/>
    <mergeCell ref="P12:P15"/>
    <mergeCell ref="Q12:Q15"/>
    <mergeCell ref="S12:S15"/>
    <mergeCell ref="U12:U15"/>
    <mergeCell ref="P16:P17"/>
    <mergeCell ref="Q16:Q17"/>
    <mergeCell ref="S16:S17"/>
    <mergeCell ref="L16:L17"/>
    <mergeCell ref="R16:R17"/>
    <mergeCell ref="M16:M17"/>
    <mergeCell ref="N16:N17"/>
    <mergeCell ref="T12:T13"/>
    <mergeCell ref="T14:T15"/>
    <mergeCell ref="N12:N15"/>
    <mergeCell ref="Y12:Y15"/>
    <mergeCell ref="Y18:Y19"/>
    <mergeCell ref="AN7:AN8"/>
    <mergeCell ref="D39:F60"/>
    <mergeCell ref="R40:R59"/>
    <mergeCell ref="S40:S59"/>
    <mergeCell ref="T40:T59"/>
    <mergeCell ref="Y40:Y59"/>
    <mergeCell ref="U18:U19"/>
    <mergeCell ref="V18:V19"/>
    <mergeCell ref="W18:W19"/>
    <mergeCell ref="X18:X19"/>
    <mergeCell ref="U33:U34"/>
    <mergeCell ref="S18:S19"/>
    <mergeCell ref="R18:R19"/>
    <mergeCell ref="L18:L19"/>
    <mergeCell ref="M18:M19"/>
    <mergeCell ref="N18:N19"/>
    <mergeCell ref="O18:O19"/>
    <mergeCell ref="P18:P19"/>
    <mergeCell ref="Q18:Q19"/>
    <mergeCell ref="P26:P38"/>
    <mergeCell ref="Q26:Q32"/>
    <mergeCell ref="R26:R38"/>
    <mergeCell ref="S26:S38"/>
    <mergeCell ref="T26:T3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9"/>
  <sheetViews>
    <sheetView showGridLines="0" zoomScale="50" zoomScaleNormal="50" workbookViewId="0">
      <selection sqref="A1:AO4"/>
    </sheetView>
  </sheetViews>
  <sheetFormatPr baseColWidth="10" defaultColWidth="11.42578125" defaultRowHeight="15" x14ac:dyDescent="0.2"/>
  <cols>
    <col min="1" max="1" width="13.140625" style="21" customWidth="1"/>
    <col min="2" max="2" width="6.5703125" style="3" customWidth="1"/>
    <col min="3" max="3" width="15.85546875" style="3" customWidth="1"/>
    <col min="4" max="4" width="14.7109375" style="3" customWidth="1"/>
    <col min="5" max="5" width="10" style="3" customWidth="1"/>
    <col min="6" max="6" width="8.85546875" style="3" customWidth="1"/>
    <col min="7" max="7" width="14.28515625" style="3" customWidth="1"/>
    <col min="8" max="8" width="8.5703125" style="3" customWidth="1"/>
    <col min="9" max="9" width="16.85546875" style="3" customWidth="1"/>
    <col min="10" max="10" width="12.85546875" style="3" customWidth="1"/>
    <col min="11" max="11" width="40.140625" style="2179" customWidth="1"/>
    <col min="12" max="12" width="32.28515625" style="178" customWidth="1"/>
    <col min="13" max="13" width="17.28515625" style="131" customWidth="1"/>
    <col min="14" max="14" width="36.7109375" style="1982" customWidth="1"/>
    <col min="15" max="15" width="23.7109375" style="1982" customWidth="1"/>
    <col min="16" max="16" width="29.42578125" style="249" customWidth="1"/>
    <col min="17" max="17" width="15" style="310" customWidth="1"/>
    <col min="18" max="18" width="29.85546875" style="2180" customWidth="1"/>
    <col min="19" max="19" width="29.85546875" style="249" customWidth="1"/>
    <col min="20" max="20" width="31" style="249" customWidth="1"/>
    <col min="21" max="21" width="51.7109375" style="2179" customWidth="1"/>
    <col min="22" max="22" width="27.140625" style="2181" customWidth="1"/>
    <col min="23" max="23" width="19.28515625" style="253" customWidth="1"/>
    <col min="24" max="24" width="21.85546875" style="1984" customWidth="1"/>
    <col min="25" max="25" width="13.42578125" style="3" customWidth="1"/>
    <col min="26" max="26" width="11.42578125" style="3" customWidth="1"/>
    <col min="27" max="27" width="9.28515625" style="3" bestFit="1" customWidth="1"/>
    <col min="28" max="28" width="11.140625" style="3" customWidth="1"/>
    <col min="29" max="29" width="9.7109375" style="3" customWidth="1"/>
    <col min="30" max="30" width="10.140625" style="3" customWidth="1"/>
    <col min="31" max="31" width="6.85546875" style="3" bestFit="1" customWidth="1"/>
    <col min="32" max="32" width="8.140625" style="3" bestFit="1" customWidth="1"/>
    <col min="33" max="35" width="7.140625" style="3" customWidth="1"/>
    <col min="36" max="36" width="5.5703125" style="3" customWidth="1"/>
    <col min="37" max="37" width="8.7109375" style="3" customWidth="1"/>
    <col min="38" max="38" width="9.5703125" style="3" customWidth="1"/>
    <col min="39" max="39" width="9" style="3" customWidth="1"/>
    <col min="40" max="40" width="13.85546875" style="3" customWidth="1"/>
    <col min="41" max="41" width="25" style="254" customWidth="1"/>
    <col min="42" max="42" width="24.5703125" style="255" customWidth="1"/>
    <col min="43" max="43" width="25.5703125" style="1976" customWidth="1"/>
    <col min="44" max="16384" width="11.42578125" style="3"/>
  </cols>
  <sheetData>
    <row r="1" spans="1:60" ht="16.5" customHeight="1" x14ac:dyDescent="0.2">
      <c r="A1" s="2734" t="s">
        <v>2035</v>
      </c>
      <c r="B1" s="2735"/>
      <c r="C1" s="2735"/>
      <c r="D1" s="2735"/>
      <c r="E1" s="2735"/>
      <c r="F1" s="2735"/>
      <c r="G1" s="2735"/>
      <c r="H1" s="2735"/>
      <c r="I1" s="2735"/>
      <c r="J1" s="2735"/>
      <c r="K1" s="2735"/>
      <c r="L1" s="2735"/>
      <c r="M1" s="2735"/>
      <c r="N1" s="2735"/>
      <c r="O1" s="2735"/>
      <c r="P1" s="2735"/>
      <c r="Q1" s="2735"/>
      <c r="R1" s="2735"/>
      <c r="S1" s="2735"/>
      <c r="T1" s="2735"/>
      <c r="U1" s="2735"/>
      <c r="V1" s="2735"/>
      <c r="W1" s="2735"/>
      <c r="X1" s="2735"/>
      <c r="Y1" s="2735"/>
      <c r="Z1" s="2735"/>
      <c r="AA1" s="2735"/>
      <c r="AB1" s="2735"/>
      <c r="AC1" s="2735"/>
      <c r="AD1" s="2735"/>
      <c r="AE1" s="2735"/>
      <c r="AF1" s="2735"/>
      <c r="AG1" s="2735"/>
      <c r="AH1" s="2735"/>
      <c r="AI1" s="2735"/>
      <c r="AJ1" s="2735"/>
      <c r="AK1" s="2735"/>
      <c r="AL1" s="2735"/>
      <c r="AM1" s="2735"/>
      <c r="AN1" s="2735"/>
      <c r="AO1" s="2735"/>
      <c r="AP1" s="1986" t="s">
        <v>0</v>
      </c>
      <c r="AQ1" s="1987" t="s">
        <v>1</v>
      </c>
      <c r="AR1" s="131"/>
      <c r="AS1" s="131"/>
      <c r="AT1" s="131"/>
      <c r="AU1" s="131"/>
      <c r="AV1" s="131"/>
      <c r="AW1" s="131"/>
      <c r="AX1" s="131"/>
      <c r="AY1" s="131"/>
      <c r="AZ1" s="131"/>
      <c r="BA1" s="131"/>
      <c r="BB1" s="131"/>
      <c r="BC1" s="131"/>
      <c r="BD1" s="131"/>
      <c r="BE1" s="131"/>
      <c r="BF1" s="131"/>
      <c r="BG1" s="131"/>
      <c r="BH1" s="131"/>
    </row>
    <row r="2" spans="1:60" ht="16.5" customHeight="1" x14ac:dyDescent="0.2">
      <c r="A2" s="2736"/>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2678"/>
      <c r="AO2" s="2678"/>
      <c r="AP2" s="1988" t="s">
        <v>2</v>
      </c>
      <c r="AQ2" s="1989" t="s">
        <v>114</v>
      </c>
      <c r="AR2" s="131"/>
      <c r="AS2" s="131"/>
      <c r="AT2" s="131"/>
      <c r="AU2" s="131"/>
      <c r="AV2" s="131"/>
      <c r="AW2" s="131"/>
      <c r="AX2" s="131"/>
      <c r="AY2" s="131"/>
      <c r="AZ2" s="131"/>
      <c r="BA2" s="131"/>
      <c r="BB2" s="131"/>
      <c r="BC2" s="131"/>
      <c r="BD2" s="131"/>
      <c r="BE2" s="131"/>
      <c r="BF2" s="131"/>
      <c r="BG2" s="131"/>
      <c r="BH2" s="131"/>
    </row>
    <row r="3" spans="1:60" ht="16.5" customHeight="1" x14ac:dyDescent="0.2">
      <c r="A3" s="2736"/>
      <c r="B3" s="2678"/>
      <c r="C3" s="2678"/>
      <c r="D3" s="2678"/>
      <c r="E3" s="2678"/>
      <c r="F3" s="2678"/>
      <c r="G3" s="2678"/>
      <c r="H3" s="2678"/>
      <c r="I3" s="2678"/>
      <c r="J3" s="2678"/>
      <c r="K3" s="2678"/>
      <c r="L3" s="2678"/>
      <c r="M3" s="2678"/>
      <c r="N3" s="2678"/>
      <c r="O3" s="2678"/>
      <c r="P3" s="2678"/>
      <c r="Q3" s="2678"/>
      <c r="R3" s="2678"/>
      <c r="S3" s="2678"/>
      <c r="T3" s="2678"/>
      <c r="U3" s="2678"/>
      <c r="V3" s="2678"/>
      <c r="W3" s="2678"/>
      <c r="X3" s="2678"/>
      <c r="Y3" s="2678"/>
      <c r="Z3" s="2678"/>
      <c r="AA3" s="2678"/>
      <c r="AB3" s="2678"/>
      <c r="AC3" s="2678"/>
      <c r="AD3" s="2678"/>
      <c r="AE3" s="2678"/>
      <c r="AF3" s="2678"/>
      <c r="AG3" s="2678"/>
      <c r="AH3" s="2678"/>
      <c r="AI3" s="2678"/>
      <c r="AJ3" s="2678"/>
      <c r="AK3" s="2678"/>
      <c r="AL3" s="2678"/>
      <c r="AM3" s="2678"/>
      <c r="AN3" s="2678"/>
      <c r="AO3" s="2678"/>
      <c r="AP3" s="1990" t="s">
        <v>4</v>
      </c>
      <c r="AQ3" s="1989" t="s">
        <v>5</v>
      </c>
      <c r="AR3" s="131"/>
      <c r="AS3" s="131"/>
      <c r="AT3" s="131"/>
      <c r="AU3" s="131"/>
      <c r="AV3" s="131"/>
      <c r="AW3" s="131"/>
      <c r="AX3" s="131"/>
      <c r="AY3" s="131"/>
      <c r="AZ3" s="131"/>
      <c r="BA3" s="131"/>
      <c r="BB3" s="131"/>
      <c r="BC3" s="131"/>
      <c r="BD3" s="131"/>
      <c r="BE3" s="131"/>
      <c r="BF3" s="131"/>
      <c r="BG3" s="131"/>
      <c r="BH3" s="131"/>
    </row>
    <row r="4" spans="1:60" ht="16.5" customHeight="1" x14ac:dyDescent="0.2">
      <c r="A4" s="2737"/>
      <c r="B4" s="2679"/>
      <c r="C4" s="2679"/>
      <c r="D4" s="2679"/>
      <c r="E4" s="2679"/>
      <c r="F4" s="2679"/>
      <c r="G4" s="2679"/>
      <c r="H4" s="2679"/>
      <c r="I4" s="2679"/>
      <c r="J4" s="2679"/>
      <c r="K4" s="2679"/>
      <c r="L4" s="2679"/>
      <c r="M4" s="2679"/>
      <c r="N4" s="2679"/>
      <c r="O4" s="2679"/>
      <c r="P4" s="2679"/>
      <c r="Q4" s="2679"/>
      <c r="R4" s="2679"/>
      <c r="S4" s="2679"/>
      <c r="T4" s="2679"/>
      <c r="U4" s="2679"/>
      <c r="V4" s="2679"/>
      <c r="W4" s="2679"/>
      <c r="X4" s="2679"/>
      <c r="Y4" s="2679"/>
      <c r="Z4" s="2679"/>
      <c r="AA4" s="2679"/>
      <c r="AB4" s="2679"/>
      <c r="AC4" s="2679"/>
      <c r="AD4" s="2679"/>
      <c r="AE4" s="2679"/>
      <c r="AF4" s="2679"/>
      <c r="AG4" s="2679"/>
      <c r="AH4" s="2679"/>
      <c r="AI4" s="2679"/>
      <c r="AJ4" s="2679"/>
      <c r="AK4" s="2679"/>
      <c r="AL4" s="2679"/>
      <c r="AM4" s="2679"/>
      <c r="AN4" s="2679"/>
      <c r="AO4" s="2679"/>
      <c r="AP4" s="1990" t="s">
        <v>6</v>
      </c>
      <c r="AQ4" s="1991" t="s">
        <v>7</v>
      </c>
      <c r="AR4" s="131"/>
      <c r="AS4" s="131"/>
      <c r="AT4" s="131"/>
      <c r="AU4" s="131"/>
      <c r="AV4" s="131"/>
      <c r="AW4" s="131"/>
      <c r="AX4" s="131"/>
      <c r="AY4" s="131"/>
      <c r="AZ4" s="131"/>
      <c r="BA4" s="131"/>
      <c r="BB4" s="131"/>
      <c r="BC4" s="131"/>
      <c r="BD4" s="131"/>
      <c r="BE4" s="131"/>
      <c r="BF4" s="131"/>
      <c r="BG4" s="131"/>
      <c r="BH4" s="131"/>
    </row>
    <row r="5" spans="1:60" ht="18" customHeight="1" x14ac:dyDescent="0.2">
      <c r="A5" s="2738" t="s">
        <v>8</v>
      </c>
      <c r="B5" s="2680"/>
      <c r="C5" s="2680"/>
      <c r="D5" s="2680"/>
      <c r="E5" s="2680"/>
      <c r="F5" s="2680"/>
      <c r="G5" s="2680"/>
      <c r="H5" s="2680"/>
      <c r="I5" s="2680"/>
      <c r="J5" s="2680"/>
      <c r="K5" s="2680"/>
      <c r="L5" s="2680"/>
      <c r="M5" s="2680"/>
      <c r="N5" s="2681" t="s">
        <v>9</v>
      </c>
      <c r="O5" s="2681"/>
      <c r="P5" s="2681"/>
      <c r="Q5" s="2681"/>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c r="AP5" s="2681"/>
      <c r="AQ5" s="2741"/>
      <c r="AR5" s="131"/>
      <c r="AS5" s="131"/>
      <c r="AT5" s="131"/>
      <c r="AU5" s="131"/>
      <c r="AV5" s="131"/>
      <c r="AW5" s="131"/>
      <c r="AX5" s="131"/>
      <c r="AY5" s="131"/>
      <c r="AZ5" s="131"/>
      <c r="BA5" s="131"/>
      <c r="BB5" s="131"/>
      <c r="BC5" s="131"/>
      <c r="BD5" s="131"/>
      <c r="BE5" s="131"/>
      <c r="BF5" s="131"/>
      <c r="BG5" s="131"/>
      <c r="BH5" s="131"/>
    </row>
    <row r="6" spans="1:60" ht="18.75" customHeight="1" x14ac:dyDescent="0.2">
      <c r="A6" s="2739"/>
      <c r="B6" s="2740"/>
      <c r="C6" s="2740"/>
      <c r="D6" s="2740"/>
      <c r="E6" s="2740"/>
      <c r="F6" s="2740"/>
      <c r="G6" s="2740"/>
      <c r="H6" s="2740"/>
      <c r="I6" s="2740"/>
      <c r="J6" s="2740"/>
      <c r="K6" s="2740"/>
      <c r="L6" s="2740"/>
      <c r="M6" s="2740"/>
      <c r="N6" s="1992"/>
      <c r="O6" s="350"/>
      <c r="P6" s="267"/>
      <c r="Q6" s="270"/>
      <c r="R6" s="270"/>
      <c r="S6" s="267"/>
      <c r="T6" s="267"/>
      <c r="U6" s="1993"/>
      <c r="V6" s="1994"/>
      <c r="W6" s="270"/>
      <c r="X6" s="1978"/>
      <c r="Y6" s="2742" t="s">
        <v>10</v>
      </c>
      <c r="Z6" s="2740"/>
      <c r="AA6" s="2740"/>
      <c r="AB6" s="2740"/>
      <c r="AC6" s="2740"/>
      <c r="AD6" s="2740"/>
      <c r="AE6" s="2740"/>
      <c r="AF6" s="2740"/>
      <c r="AG6" s="2740"/>
      <c r="AH6" s="2740"/>
      <c r="AI6" s="2740"/>
      <c r="AJ6" s="2740"/>
      <c r="AK6" s="2740"/>
      <c r="AL6" s="2740"/>
      <c r="AM6" s="2743"/>
      <c r="AN6" s="1978"/>
      <c r="AO6" s="270"/>
      <c r="AP6" s="270"/>
      <c r="AQ6" s="1995"/>
      <c r="AR6" s="131"/>
      <c r="AS6" s="131"/>
      <c r="AT6" s="131"/>
      <c r="AU6" s="131"/>
      <c r="AV6" s="131"/>
      <c r="AW6" s="131"/>
      <c r="AX6" s="131"/>
      <c r="AY6" s="131"/>
      <c r="AZ6" s="131"/>
      <c r="BA6" s="131"/>
      <c r="BB6" s="131"/>
      <c r="BC6" s="131"/>
      <c r="BD6" s="131"/>
      <c r="BE6" s="131"/>
      <c r="BF6" s="131"/>
      <c r="BG6" s="131"/>
      <c r="BH6" s="131"/>
    </row>
    <row r="7" spans="1:60" ht="18.75" customHeight="1" x14ac:dyDescent="0.2">
      <c r="A7" s="1977"/>
      <c r="B7" s="1978"/>
      <c r="C7" s="1978"/>
      <c r="D7" s="1978"/>
      <c r="E7" s="1978"/>
      <c r="F7" s="1978"/>
      <c r="G7" s="1978"/>
      <c r="H7" s="1978"/>
      <c r="I7" s="1978"/>
      <c r="J7" s="1978"/>
      <c r="K7" s="1993"/>
      <c r="L7" s="1978"/>
      <c r="M7" s="1978"/>
      <c r="N7" s="1992"/>
      <c r="O7" s="350"/>
      <c r="P7" s="267"/>
      <c r="Q7" s="270"/>
      <c r="R7" s="270"/>
      <c r="S7" s="267"/>
      <c r="T7" s="267"/>
      <c r="U7" s="1993"/>
      <c r="V7" s="1994"/>
      <c r="W7" s="270"/>
      <c r="X7" s="1978"/>
      <c r="Y7" s="1979"/>
      <c r="Z7" s="1978"/>
      <c r="AA7" s="1978"/>
      <c r="AB7" s="1978"/>
      <c r="AC7" s="1978"/>
      <c r="AD7" s="1978"/>
      <c r="AE7" s="1978"/>
      <c r="AF7" s="1978"/>
      <c r="AG7" s="1978"/>
      <c r="AH7" s="1978"/>
      <c r="AI7" s="1978"/>
      <c r="AJ7" s="1978"/>
      <c r="AK7" s="1978"/>
      <c r="AL7" s="1978"/>
      <c r="AM7" s="1980"/>
      <c r="AN7" s="1978"/>
      <c r="AO7" s="271"/>
      <c r="AP7" s="271"/>
      <c r="AQ7" s="1995"/>
      <c r="AR7" s="131"/>
      <c r="AS7" s="131"/>
      <c r="AT7" s="131"/>
      <c r="AU7" s="131"/>
      <c r="AV7" s="131"/>
      <c r="AW7" s="131"/>
      <c r="AX7" s="131"/>
      <c r="AY7" s="131"/>
      <c r="AZ7" s="131"/>
      <c r="BA7" s="131"/>
      <c r="BB7" s="131"/>
      <c r="BC7" s="131"/>
      <c r="BD7" s="131"/>
      <c r="BE7" s="131"/>
      <c r="BF7" s="131"/>
      <c r="BG7" s="131"/>
      <c r="BH7" s="131"/>
    </row>
    <row r="8" spans="1:60" s="27" customFormat="1" ht="16.5" customHeight="1" x14ac:dyDescent="0.25">
      <c r="A8" s="3127" t="s">
        <v>11</v>
      </c>
      <c r="B8" s="3119" t="s">
        <v>12</v>
      </c>
      <c r="C8" s="3119"/>
      <c r="D8" s="3119" t="s">
        <v>11</v>
      </c>
      <c r="E8" s="3119" t="s">
        <v>13</v>
      </c>
      <c r="F8" s="3119"/>
      <c r="G8" s="3119" t="s">
        <v>11</v>
      </c>
      <c r="H8" s="3119" t="s">
        <v>14</v>
      </c>
      <c r="I8" s="3119"/>
      <c r="J8" s="3119" t="s">
        <v>11</v>
      </c>
      <c r="K8" s="3119" t="s">
        <v>15</v>
      </c>
      <c r="L8" s="3119" t="s">
        <v>16</v>
      </c>
      <c r="M8" s="2688" t="s">
        <v>17</v>
      </c>
      <c r="N8" s="3119" t="s">
        <v>18</v>
      </c>
      <c r="O8" s="3119" t="s">
        <v>19</v>
      </c>
      <c r="P8" s="3119" t="s">
        <v>9</v>
      </c>
      <c r="Q8" s="3124" t="s">
        <v>20</v>
      </c>
      <c r="R8" s="3125" t="s">
        <v>21</v>
      </c>
      <c r="S8" s="3119" t="s">
        <v>22</v>
      </c>
      <c r="T8" s="3119" t="s">
        <v>23</v>
      </c>
      <c r="U8" s="3119" t="s">
        <v>24</v>
      </c>
      <c r="V8" s="3120" t="s">
        <v>21</v>
      </c>
      <c r="W8" s="3122" t="s">
        <v>11</v>
      </c>
      <c r="X8" s="3119" t="s">
        <v>25</v>
      </c>
      <c r="Y8" s="3123" t="s">
        <v>26</v>
      </c>
      <c r="Z8" s="3123"/>
      <c r="AA8" s="3128" t="s">
        <v>27</v>
      </c>
      <c r="AB8" s="3128"/>
      <c r="AC8" s="3128"/>
      <c r="AD8" s="3128"/>
      <c r="AE8" s="3133" t="s">
        <v>28</v>
      </c>
      <c r="AF8" s="3133"/>
      <c r="AG8" s="3133"/>
      <c r="AH8" s="3133"/>
      <c r="AI8" s="3133"/>
      <c r="AJ8" s="3133"/>
      <c r="AK8" s="3128" t="s">
        <v>29</v>
      </c>
      <c r="AL8" s="3128"/>
      <c r="AM8" s="3128"/>
      <c r="AN8" s="3129" t="s">
        <v>30</v>
      </c>
      <c r="AO8" s="2694" t="s">
        <v>31</v>
      </c>
      <c r="AP8" s="2694" t="s">
        <v>32</v>
      </c>
      <c r="AQ8" s="3132" t="s">
        <v>33</v>
      </c>
      <c r="AR8" s="1996"/>
      <c r="AS8" s="1996"/>
      <c r="AT8" s="1996"/>
      <c r="AU8" s="1996"/>
      <c r="AV8" s="1996"/>
      <c r="AW8" s="1996"/>
      <c r="AX8" s="1996"/>
      <c r="AY8" s="1996"/>
      <c r="AZ8" s="1996"/>
      <c r="BA8" s="1996"/>
      <c r="BB8" s="1996"/>
      <c r="BC8" s="1996"/>
      <c r="BD8" s="1996"/>
      <c r="BE8" s="1996"/>
      <c r="BF8" s="1996"/>
      <c r="BG8" s="1996"/>
      <c r="BH8" s="1996"/>
    </row>
    <row r="9" spans="1:60" s="27" customFormat="1" ht="72" customHeight="1" x14ac:dyDescent="0.25">
      <c r="A9" s="3127"/>
      <c r="B9" s="3119"/>
      <c r="C9" s="3119"/>
      <c r="D9" s="3119"/>
      <c r="E9" s="3119"/>
      <c r="F9" s="3119"/>
      <c r="G9" s="3119"/>
      <c r="H9" s="3119"/>
      <c r="I9" s="3119"/>
      <c r="J9" s="3119"/>
      <c r="K9" s="3119"/>
      <c r="L9" s="3119"/>
      <c r="M9" s="2689"/>
      <c r="N9" s="3119"/>
      <c r="O9" s="3119"/>
      <c r="P9" s="3119"/>
      <c r="Q9" s="3124"/>
      <c r="R9" s="3125"/>
      <c r="S9" s="3119"/>
      <c r="T9" s="3119"/>
      <c r="U9" s="3119"/>
      <c r="V9" s="3121"/>
      <c r="W9" s="3122"/>
      <c r="X9" s="3119"/>
      <c r="Y9" s="136" t="s">
        <v>34</v>
      </c>
      <c r="Z9" s="136" t="s">
        <v>35</v>
      </c>
      <c r="AA9" s="136" t="s">
        <v>36</v>
      </c>
      <c r="AB9" s="136" t="s">
        <v>115</v>
      </c>
      <c r="AC9" s="136" t="s">
        <v>1769</v>
      </c>
      <c r="AD9" s="136" t="s">
        <v>117</v>
      </c>
      <c r="AE9" s="136" t="s">
        <v>40</v>
      </c>
      <c r="AF9" s="136" t="s">
        <v>41</v>
      </c>
      <c r="AG9" s="136" t="s">
        <v>42</v>
      </c>
      <c r="AH9" s="136" t="s">
        <v>43</v>
      </c>
      <c r="AI9" s="136" t="s">
        <v>44</v>
      </c>
      <c r="AJ9" s="136" t="s">
        <v>45</v>
      </c>
      <c r="AK9" s="136" t="s">
        <v>46</v>
      </c>
      <c r="AL9" s="136" t="s">
        <v>47</v>
      </c>
      <c r="AM9" s="136" t="s">
        <v>48</v>
      </c>
      <c r="AN9" s="3130"/>
      <c r="AO9" s="3131"/>
      <c r="AP9" s="3131"/>
      <c r="AQ9" s="3132"/>
      <c r="AR9" s="1996"/>
      <c r="AS9" s="1996"/>
      <c r="AT9" s="1996"/>
      <c r="AU9" s="1996"/>
      <c r="AV9" s="1996"/>
      <c r="AW9" s="1996"/>
      <c r="AX9" s="1996"/>
      <c r="AY9" s="1996"/>
      <c r="AZ9" s="1996"/>
      <c r="BA9" s="1996"/>
      <c r="BB9" s="1996"/>
      <c r="BC9" s="1996"/>
      <c r="BD9" s="1996"/>
      <c r="BE9" s="1996"/>
      <c r="BF9" s="1996"/>
      <c r="BG9" s="1996"/>
      <c r="BH9" s="1996"/>
    </row>
    <row r="10" spans="1:60" s="404" customFormat="1" ht="18.75" customHeight="1" x14ac:dyDescent="0.2">
      <c r="A10" s="1997">
        <v>4</v>
      </c>
      <c r="B10" s="768" t="s">
        <v>1770</v>
      </c>
      <c r="C10" s="768"/>
      <c r="D10" s="938"/>
      <c r="E10" s="938"/>
      <c r="F10" s="938"/>
      <c r="G10" s="938"/>
      <c r="H10" s="938"/>
      <c r="I10" s="938"/>
      <c r="J10" s="902"/>
      <c r="K10" s="1998"/>
      <c r="L10" s="1999"/>
      <c r="M10" s="938"/>
      <c r="N10" s="903"/>
      <c r="O10" s="902"/>
      <c r="P10" s="1999"/>
      <c r="Q10" s="2000"/>
      <c r="R10" s="2001"/>
      <c r="S10" s="1999"/>
      <c r="T10" s="1998"/>
      <c r="U10" s="1998"/>
      <c r="V10" s="2002"/>
      <c r="W10" s="2003"/>
      <c r="X10" s="2004"/>
      <c r="Y10" s="938"/>
      <c r="Z10" s="938"/>
      <c r="AA10" s="938"/>
      <c r="AB10" s="938"/>
      <c r="AC10" s="938"/>
      <c r="AD10" s="938"/>
      <c r="AE10" s="938"/>
      <c r="AF10" s="938"/>
      <c r="AG10" s="938"/>
      <c r="AH10" s="938"/>
      <c r="AI10" s="938"/>
      <c r="AJ10" s="938"/>
      <c r="AK10" s="2005"/>
      <c r="AL10" s="2005"/>
      <c r="AM10" s="1999"/>
      <c r="AN10" s="1999"/>
      <c r="AO10" s="1999"/>
      <c r="AP10" s="1999"/>
      <c r="AQ10" s="2006"/>
    </row>
    <row r="11" spans="1:60" s="412" customFormat="1" ht="21.75" customHeight="1" x14ac:dyDescent="0.2">
      <c r="A11" s="1043"/>
      <c r="B11" s="1043"/>
      <c r="C11" s="1043"/>
      <c r="D11" s="1043">
        <v>23</v>
      </c>
      <c r="E11" s="1011" t="s">
        <v>1771</v>
      </c>
      <c r="F11" s="1011"/>
      <c r="G11" s="2007"/>
      <c r="H11" s="2007"/>
      <c r="I11" s="2007"/>
      <c r="J11" s="2008"/>
      <c r="K11" s="2009"/>
      <c r="L11" s="2010"/>
      <c r="M11" s="2007"/>
      <c r="N11" s="2011"/>
      <c r="O11" s="2008"/>
      <c r="P11" s="2010"/>
      <c r="Q11" s="2012"/>
      <c r="R11" s="2013"/>
      <c r="S11" s="2010"/>
      <c r="T11" s="2009"/>
      <c r="U11" s="2009"/>
      <c r="V11" s="2014"/>
      <c r="W11" s="2015"/>
      <c r="X11" s="2016"/>
      <c r="Y11" s="2007"/>
      <c r="Z11" s="2007"/>
      <c r="AA11" s="2007"/>
      <c r="AB11" s="2007"/>
      <c r="AC11" s="2007"/>
      <c r="AD11" s="2007"/>
      <c r="AE11" s="2007"/>
      <c r="AF11" s="2007"/>
      <c r="AG11" s="2007"/>
      <c r="AH11" s="2007"/>
      <c r="AI11" s="2007"/>
      <c r="AJ11" s="2007"/>
      <c r="AK11" s="2017"/>
      <c r="AL11" s="2017"/>
      <c r="AM11" s="2010"/>
      <c r="AN11" s="2010"/>
      <c r="AO11" s="2010"/>
      <c r="AP11" s="2010"/>
      <c r="AQ11" s="2018"/>
    </row>
    <row r="12" spans="1:60" s="412" customFormat="1" ht="15.75" customHeight="1" x14ac:dyDescent="0.2">
      <c r="A12" s="3099"/>
      <c r="B12" s="3102"/>
      <c r="C12" s="3103"/>
      <c r="D12" s="2841"/>
      <c r="E12" s="2841"/>
      <c r="F12" s="2841"/>
      <c r="G12" s="2019">
        <v>75</v>
      </c>
      <c r="H12" s="864" t="s">
        <v>1772</v>
      </c>
      <c r="I12" s="864"/>
      <c r="J12" s="2020"/>
      <c r="K12" s="2021"/>
      <c r="L12" s="2022"/>
      <c r="M12" s="921"/>
      <c r="N12" s="926"/>
      <c r="O12" s="927"/>
      <c r="P12" s="866"/>
      <c r="Q12" s="2023"/>
      <c r="R12" s="2024"/>
      <c r="S12" s="2022"/>
      <c r="T12" s="2021"/>
      <c r="U12" s="2021"/>
      <c r="V12" s="2025"/>
      <c r="W12" s="2026"/>
      <c r="X12" s="2027"/>
      <c r="Y12" s="921"/>
      <c r="Z12" s="921"/>
      <c r="AA12" s="921"/>
      <c r="AB12" s="921"/>
      <c r="AC12" s="921"/>
      <c r="AD12" s="921"/>
      <c r="AE12" s="921"/>
      <c r="AF12" s="921"/>
      <c r="AG12" s="921"/>
      <c r="AH12" s="921"/>
      <c r="AI12" s="921"/>
      <c r="AJ12" s="921"/>
      <c r="AK12" s="2028"/>
      <c r="AL12" s="2028"/>
      <c r="AM12" s="2022"/>
      <c r="AN12" s="2022"/>
      <c r="AO12" s="2022"/>
      <c r="AP12" s="2022"/>
      <c r="AQ12" s="2029"/>
    </row>
    <row r="13" spans="1:60" s="404" customFormat="1" ht="43.5" customHeight="1" x14ac:dyDescent="0.2">
      <c r="A13" s="3100"/>
      <c r="B13" s="3104"/>
      <c r="C13" s="3105"/>
      <c r="D13" s="2841"/>
      <c r="E13" s="2841"/>
      <c r="F13" s="2841"/>
      <c r="G13" s="412"/>
      <c r="H13" s="2030"/>
      <c r="I13" s="2031"/>
      <c r="J13" s="3108">
        <v>214</v>
      </c>
      <c r="K13" s="2949" t="s">
        <v>1773</v>
      </c>
      <c r="L13" s="2994" t="s">
        <v>1774</v>
      </c>
      <c r="M13" s="2993">
        <v>1</v>
      </c>
      <c r="N13" s="3094"/>
      <c r="O13" s="3126" t="s">
        <v>1775</v>
      </c>
      <c r="P13" s="3038" t="s">
        <v>1776</v>
      </c>
      <c r="Q13" s="3078">
        <f>SUM(V13:V14)/R13</f>
        <v>5.2487744082888388E-3</v>
      </c>
      <c r="R13" s="3047">
        <f>SUM(V13:V52)</f>
        <v>6668223337</v>
      </c>
      <c r="S13" s="2945" t="s">
        <v>1777</v>
      </c>
      <c r="T13" s="2945" t="s">
        <v>1778</v>
      </c>
      <c r="U13" s="3111" t="s">
        <v>1779</v>
      </c>
      <c r="V13" s="2032">
        <v>15000000</v>
      </c>
      <c r="W13" s="2033">
        <v>20</v>
      </c>
      <c r="X13" s="2034" t="s">
        <v>61</v>
      </c>
      <c r="Y13" s="3112">
        <v>292684</v>
      </c>
      <c r="Z13" s="3115">
        <v>282326</v>
      </c>
      <c r="AA13" s="3092">
        <v>135912</v>
      </c>
      <c r="AB13" s="3092">
        <v>45122</v>
      </c>
      <c r="AC13" s="3092">
        <v>307101</v>
      </c>
      <c r="AD13" s="3093">
        <v>86875</v>
      </c>
      <c r="AE13" s="3092">
        <v>2145</v>
      </c>
      <c r="AF13" s="3092">
        <v>12718</v>
      </c>
      <c r="AG13" s="3086">
        <v>26</v>
      </c>
      <c r="AH13" s="3090">
        <v>37</v>
      </c>
      <c r="AI13" s="3090" t="s">
        <v>441</v>
      </c>
      <c r="AJ13" s="3090" t="s">
        <v>531</v>
      </c>
      <c r="AK13" s="3090" t="s">
        <v>531</v>
      </c>
      <c r="AL13" s="3090">
        <v>16982</v>
      </c>
      <c r="AM13" s="3090" t="s">
        <v>441</v>
      </c>
      <c r="AN13" s="3086" t="s">
        <v>1780</v>
      </c>
      <c r="AO13" s="3096">
        <v>43480</v>
      </c>
      <c r="AP13" s="3096">
        <v>43819</v>
      </c>
      <c r="AQ13" s="3083" t="s">
        <v>1781</v>
      </c>
    </row>
    <row r="14" spans="1:60" s="404" customFormat="1" ht="33.75" customHeight="1" x14ac:dyDescent="0.2">
      <c r="A14" s="3100"/>
      <c r="B14" s="3104"/>
      <c r="C14" s="3105"/>
      <c r="D14" s="2841"/>
      <c r="E14" s="2841"/>
      <c r="F14" s="2841"/>
      <c r="G14" s="412"/>
      <c r="H14" s="2035"/>
      <c r="I14" s="2036"/>
      <c r="J14" s="3109"/>
      <c r="K14" s="2951"/>
      <c r="L14" s="2995"/>
      <c r="M14" s="2927"/>
      <c r="N14" s="2966"/>
      <c r="O14" s="3053"/>
      <c r="P14" s="2942"/>
      <c r="Q14" s="3078"/>
      <c r="R14" s="3048"/>
      <c r="S14" s="2945"/>
      <c r="T14" s="2945"/>
      <c r="U14" s="2922"/>
      <c r="V14" s="2032">
        <f>0+20000000</f>
        <v>20000000</v>
      </c>
      <c r="W14" s="2033">
        <v>92</v>
      </c>
      <c r="X14" s="2034" t="s">
        <v>1782</v>
      </c>
      <c r="Y14" s="3113"/>
      <c r="Z14" s="3116"/>
      <c r="AA14" s="3092"/>
      <c r="AB14" s="3092"/>
      <c r="AC14" s="3092"/>
      <c r="AD14" s="3093"/>
      <c r="AE14" s="3092"/>
      <c r="AF14" s="3092"/>
      <c r="AG14" s="3087"/>
      <c r="AH14" s="3090"/>
      <c r="AI14" s="3090"/>
      <c r="AJ14" s="3090"/>
      <c r="AK14" s="3090"/>
      <c r="AL14" s="3090"/>
      <c r="AM14" s="3090"/>
      <c r="AN14" s="3087"/>
      <c r="AO14" s="3097"/>
      <c r="AP14" s="3097"/>
      <c r="AQ14" s="3083"/>
    </row>
    <row r="15" spans="1:60" s="404" customFormat="1" ht="56.25" customHeight="1" x14ac:dyDescent="0.2">
      <c r="A15" s="3100"/>
      <c r="B15" s="3104"/>
      <c r="C15" s="3105"/>
      <c r="D15" s="2841"/>
      <c r="E15" s="2841"/>
      <c r="F15" s="2841"/>
      <c r="G15" s="412"/>
      <c r="H15" s="2035"/>
      <c r="I15" s="2036"/>
      <c r="J15" s="2034">
        <v>215</v>
      </c>
      <c r="K15" s="2037" t="s">
        <v>1783</v>
      </c>
      <c r="L15" s="2038" t="s">
        <v>1784</v>
      </c>
      <c r="M15" s="2039">
        <v>2</v>
      </c>
      <c r="N15" s="2966"/>
      <c r="O15" s="3053"/>
      <c r="P15" s="2942"/>
      <c r="Q15" s="2040">
        <f>SUM(V15)/R13</f>
        <v>2.2494747464095024E-3</v>
      </c>
      <c r="R15" s="3048"/>
      <c r="S15" s="2945"/>
      <c r="T15" s="2945"/>
      <c r="U15" s="2041" t="s">
        <v>1785</v>
      </c>
      <c r="V15" s="2042">
        <v>15000000</v>
      </c>
      <c r="W15" s="2033">
        <v>20</v>
      </c>
      <c r="X15" s="2034" t="s">
        <v>61</v>
      </c>
      <c r="Y15" s="3113"/>
      <c r="Z15" s="3116"/>
      <c r="AA15" s="3091"/>
      <c r="AB15" s="3091"/>
      <c r="AC15" s="3091"/>
      <c r="AD15" s="3091"/>
      <c r="AE15" s="3091"/>
      <c r="AF15" s="3091"/>
      <c r="AG15" s="3088"/>
      <c r="AH15" s="3091"/>
      <c r="AI15" s="3091"/>
      <c r="AJ15" s="3091"/>
      <c r="AK15" s="3091"/>
      <c r="AL15" s="3091"/>
      <c r="AM15" s="3091"/>
      <c r="AN15" s="3087"/>
      <c r="AO15" s="3097"/>
      <c r="AP15" s="3097"/>
      <c r="AQ15" s="3084"/>
    </row>
    <row r="16" spans="1:60" s="404" customFormat="1" ht="39.75" customHeight="1" x14ac:dyDescent="0.2">
      <c r="A16" s="3100"/>
      <c r="B16" s="3104"/>
      <c r="C16" s="3105"/>
      <c r="D16" s="2841"/>
      <c r="E16" s="2841"/>
      <c r="F16" s="2841"/>
      <c r="G16" s="412"/>
      <c r="H16" s="2035"/>
      <c r="I16" s="2036"/>
      <c r="J16" s="3039">
        <v>216</v>
      </c>
      <c r="K16" s="2947" t="s">
        <v>1786</v>
      </c>
      <c r="L16" s="2992" t="s">
        <v>1787</v>
      </c>
      <c r="M16" s="3085">
        <f>1.994+2</f>
        <v>3.9939999999999998</v>
      </c>
      <c r="N16" s="2966"/>
      <c r="O16" s="3053"/>
      <c r="P16" s="2942"/>
      <c r="Q16" s="3078">
        <f>SUM(V16:V20)/R13</f>
        <v>0.17096008072712218</v>
      </c>
      <c r="R16" s="3048"/>
      <c r="S16" s="2945"/>
      <c r="T16" s="2945"/>
      <c r="U16" s="2043" t="s">
        <v>1788</v>
      </c>
      <c r="V16" s="2042">
        <f>15000000-15000000</f>
        <v>0</v>
      </c>
      <c r="W16" s="1983">
        <v>20</v>
      </c>
      <c r="X16" s="1183" t="s">
        <v>61</v>
      </c>
      <c r="Y16" s="3113"/>
      <c r="Z16" s="3116"/>
      <c r="AA16" s="3091"/>
      <c r="AB16" s="3091"/>
      <c r="AC16" s="3091"/>
      <c r="AD16" s="3091"/>
      <c r="AE16" s="3091"/>
      <c r="AF16" s="3091"/>
      <c r="AG16" s="3088"/>
      <c r="AH16" s="3091"/>
      <c r="AI16" s="3091"/>
      <c r="AJ16" s="3091"/>
      <c r="AK16" s="3091"/>
      <c r="AL16" s="3091"/>
      <c r="AM16" s="3091"/>
      <c r="AN16" s="3087"/>
      <c r="AO16" s="3097"/>
      <c r="AP16" s="3097"/>
      <c r="AQ16" s="3084"/>
    </row>
    <row r="17" spans="1:43" s="404" customFormat="1" ht="54.75" customHeight="1" x14ac:dyDescent="0.2">
      <c r="A17" s="3100"/>
      <c r="B17" s="3104"/>
      <c r="C17" s="3105"/>
      <c r="D17" s="2841"/>
      <c r="E17" s="2841"/>
      <c r="F17" s="2841"/>
      <c r="G17" s="412"/>
      <c r="H17" s="2035"/>
      <c r="I17" s="2036"/>
      <c r="J17" s="3039"/>
      <c r="K17" s="2947"/>
      <c r="L17" s="2992"/>
      <c r="M17" s="3085"/>
      <c r="N17" s="2966"/>
      <c r="O17" s="3053"/>
      <c r="P17" s="2942"/>
      <c r="Q17" s="3078"/>
      <c r="R17" s="3048"/>
      <c r="S17" s="2945"/>
      <c r="T17" s="2945"/>
      <c r="U17" s="2044" t="s">
        <v>1789</v>
      </c>
      <c r="V17" s="2032">
        <f>0+850000000+65000000</f>
        <v>915000000</v>
      </c>
      <c r="W17" s="2033">
        <v>92</v>
      </c>
      <c r="X17" s="2034" t="s">
        <v>1782</v>
      </c>
      <c r="Y17" s="3113"/>
      <c r="Z17" s="3116"/>
      <c r="AA17" s="3091"/>
      <c r="AB17" s="3091"/>
      <c r="AC17" s="3091"/>
      <c r="AD17" s="3091"/>
      <c r="AE17" s="3091"/>
      <c r="AF17" s="3091"/>
      <c r="AG17" s="3088"/>
      <c r="AH17" s="3091"/>
      <c r="AI17" s="3091"/>
      <c r="AJ17" s="3091"/>
      <c r="AK17" s="3091"/>
      <c r="AL17" s="3091"/>
      <c r="AM17" s="3091"/>
      <c r="AN17" s="3087"/>
      <c r="AO17" s="3097"/>
      <c r="AP17" s="3097"/>
      <c r="AQ17" s="3084"/>
    </row>
    <row r="18" spans="1:43" s="404" customFormat="1" ht="29.25" customHeight="1" x14ac:dyDescent="0.2">
      <c r="A18" s="3100"/>
      <c r="B18" s="3104"/>
      <c r="C18" s="3105"/>
      <c r="D18" s="2841"/>
      <c r="E18" s="2841"/>
      <c r="F18" s="2841"/>
      <c r="G18" s="412"/>
      <c r="H18" s="2035"/>
      <c r="I18" s="2036"/>
      <c r="J18" s="3039"/>
      <c r="K18" s="2947"/>
      <c r="L18" s="2992"/>
      <c r="M18" s="3085"/>
      <c r="N18" s="2966"/>
      <c r="O18" s="3053"/>
      <c r="P18" s="2942"/>
      <c r="Q18" s="3078"/>
      <c r="R18" s="3048"/>
      <c r="S18" s="2945"/>
      <c r="T18" s="2958"/>
      <c r="U18" s="3118" t="s">
        <v>1790</v>
      </c>
      <c r="V18" s="2045">
        <f>10000000-10000000</f>
        <v>0</v>
      </c>
      <c r="W18" s="1286">
        <v>20</v>
      </c>
      <c r="X18" s="1985" t="s">
        <v>61</v>
      </c>
      <c r="Y18" s="3113"/>
      <c r="Z18" s="3116"/>
      <c r="AA18" s="3091"/>
      <c r="AB18" s="3091"/>
      <c r="AC18" s="3091"/>
      <c r="AD18" s="3091"/>
      <c r="AE18" s="3091"/>
      <c r="AF18" s="3091"/>
      <c r="AG18" s="3088"/>
      <c r="AH18" s="3091"/>
      <c r="AI18" s="3091"/>
      <c r="AJ18" s="3091"/>
      <c r="AK18" s="3091"/>
      <c r="AL18" s="3091"/>
      <c r="AM18" s="3091"/>
      <c r="AN18" s="3087"/>
      <c r="AO18" s="3097"/>
      <c r="AP18" s="3097"/>
      <c r="AQ18" s="3084"/>
    </row>
    <row r="19" spans="1:43" s="404" customFormat="1" ht="29.25" customHeight="1" x14ac:dyDescent="0.2">
      <c r="A19" s="3100"/>
      <c r="B19" s="3104"/>
      <c r="C19" s="3105"/>
      <c r="D19" s="2841"/>
      <c r="E19" s="2841"/>
      <c r="F19" s="2841"/>
      <c r="G19" s="412"/>
      <c r="H19" s="2035"/>
      <c r="I19" s="2036"/>
      <c r="J19" s="3039"/>
      <c r="K19" s="2947"/>
      <c r="L19" s="2992"/>
      <c r="M19" s="3085"/>
      <c r="N19" s="2966"/>
      <c r="O19" s="3053"/>
      <c r="P19" s="2942"/>
      <c r="Q19" s="3078"/>
      <c r="R19" s="3048"/>
      <c r="S19" s="2945"/>
      <c r="T19" s="2958"/>
      <c r="U19" s="3118"/>
      <c r="V19" s="2045">
        <f>0+200000000</f>
        <v>200000000</v>
      </c>
      <c r="W19" s="2033">
        <v>92</v>
      </c>
      <c r="X19" s="2034" t="s">
        <v>1782</v>
      </c>
      <c r="Y19" s="3113"/>
      <c r="Z19" s="3116"/>
      <c r="AA19" s="3091"/>
      <c r="AB19" s="3091"/>
      <c r="AC19" s="3091"/>
      <c r="AD19" s="3091"/>
      <c r="AE19" s="3091"/>
      <c r="AF19" s="3091"/>
      <c r="AG19" s="3088"/>
      <c r="AH19" s="3091"/>
      <c r="AI19" s="3091"/>
      <c r="AJ19" s="3091"/>
      <c r="AK19" s="3091"/>
      <c r="AL19" s="3091"/>
      <c r="AM19" s="3091"/>
      <c r="AN19" s="3087"/>
      <c r="AO19" s="3097"/>
      <c r="AP19" s="3097"/>
      <c r="AQ19" s="3084"/>
    </row>
    <row r="20" spans="1:43" s="404" customFormat="1" ht="48.75" customHeight="1" x14ac:dyDescent="0.2">
      <c r="A20" s="3100"/>
      <c r="B20" s="3104"/>
      <c r="C20" s="3105"/>
      <c r="D20" s="2841"/>
      <c r="E20" s="2841"/>
      <c r="F20" s="2841"/>
      <c r="G20" s="412"/>
      <c r="H20" s="2035"/>
      <c r="I20" s="2036"/>
      <c r="J20" s="3039"/>
      <c r="K20" s="2947"/>
      <c r="L20" s="2992"/>
      <c r="M20" s="3085"/>
      <c r="N20" s="2966"/>
      <c r="O20" s="3053"/>
      <c r="P20" s="2942"/>
      <c r="Q20" s="3078"/>
      <c r="R20" s="3048"/>
      <c r="S20" s="2945"/>
      <c r="T20" s="2958"/>
      <c r="U20" s="2046" t="s">
        <v>1791</v>
      </c>
      <c r="V20" s="2045">
        <v>25000000</v>
      </c>
      <c r="W20" s="2033">
        <v>20</v>
      </c>
      <c r="X20" s="1985" t="s">
        <v>61</v>
      </c>
      <c r="Y20" s="3113"/>
      <c r="Z20" s="3116"/>
      <c r="AA20" s="3091"/>
      <c r="AB20" s="3091"/>
      <c r="AC20" s="3091"/>
      <c r="AD20" s="3091"/>
      <c r="AE20" s="3091"/>
      <c r="AF20" s="3091"/>
      <c r="AG20" s="3088"/>
      <c r="AH20" s="3091"/>
      <c r="AI20" s="3091"/>
      <c r="AJ20" s="3091"/>
      <c r="AK20" s="3091"/>
      <c r="AL20" s="3091"/>
      <c r="AM20" s="3091"/>
      <c r="AN20" s="3087"/>
      <c r="AO20" s="3097"/>
      <c r="AP20" s="3097"/>
      <c r="AQ20" s="3084"/>
    </row>
    <row r="21" spans="1:43" s="404" customFormat="1" ht="33" customHeight="1" x14ac:dyDescent="0.2">
      <c r="A21" s="3100"/>
      <c r="B21" s="3104"/>
      <c r="C21" s="3105"/>
      <c r="D21" s="2841"/>
      <c r="E21" s="2841"/>
      <c r="F21" s="2841"/>
      <c r="G21" s="412"/>
      <c r="H21" s="2035"/>
      <c r="I21" s="2036"/>
      <c r="J21" s="3039">
        <v>217</v>
      </c>
      <c r="K21" s="2947" t="s">
        <v>1792</v>
      </c>
      <c r="L21" s="2992" t="s">
        <v>1793</v>
      </c>
      <c r="M21" s="2991">
        <v>5</v>
      </c>
      <c r="N21" s="2047"/>
      <c r="O21" s="3053"/>
      <c r="P21" s="2942"/>
      <c r="Q21" s="3078">
        <f>SUM(V21:V49)/R13</f>
        <v>0.80363551131610811</v>
      </c>
      <c r="R21" s="3048"/>
      <c r="S21" s="2945"/>
      <c r="T21" s="2958"/>
      <c r="U21" s="3082" t="s">
        <v>1794</v>
      </c>
      <c r="V21" s="2048">
        <f>1600000000+700000000-36759029</f>
        <v>2263240971</v>
      </c>
      <c r="W21" s="2049">
        <v>42</v>
      </c>
      <c r="X21" s="2050" t="s">
        <v>1795</v>
      </c>
      <c r="Y21" s="3113"/>
      <c r="Z21" s="3116"/>
      <c r="AA21" s="3091"/>
      <c r="AB21" s="3091"/>
      <c r="AC21" s="3091"/>
      <c r="AD21" s="3091"/>
      <c r="AE21" s="3091"/>
      <c r="AF21" s="3091"/>
      <c r="AG21" s="3088"/>
      <c r="AH21" s="3091"/>
      <c r="AI21" s="3091"/>
      <c r="AJ21" s="3091"/>
      <c r="AK21" s="3091"/>
      <c r="AL21" s="3091"/>
      <c r="AM21" s="3091"/>
      <c r="AN21" s="3087"/>
      <c r="AO21" s="3097"/>
      <c r="AP21" s="3097"/>
      <c r="AQ21" s="3084"/>
    </row>
    <row r="22" spans="1:43" s="404" customFormat="1" ht="30.75" customHeight="1" x14ac:dyDescent="0.2">
      <c r="A22" s="3100"/>
      <c r="B22" s="3104"/>
      <c r="C22" s="3105"/>
      <c r="D22" s="2841"/>
      <c r="E22" s="2841"/>
      <c r="F22" s="2841"/>
      <c r="G22" s="412"/>
      <c r="H22" s="2035"/>
      <c r="I22" s="2036"/>
      <c r="J22" s="3039"/>
      <c r="K22" s="2947"/>
      <c r="L22" s="2992"/>
      <c r="M22" s="2991"/>
      <c r="N22" s="2047"/>
      <c r="O22" s="3053"/>
      <c r="P22" s="2942"/>
      <c r="Q22" s="3078"/>
      <c r="R22" s="3048"/>
      <c r="S22" s="2945"/>
      <c r="T22" s="2958"/>
      <c r="U22" s="2963"/>
      <c r="V22" s="2042">
        <f>0+2200000000-65000000</f>
        <v>2135000000</v>
      </c>
      <c r="W22" s="2033">
        <v>92</v>
      </c>
      <c r="X22" s="2034" t="s">
        <v>1782</v>
      </c>
      <c r="Y22" s="3113"/>
      <c r="Z22" s="3116"/>
      <c r="AA22" s="3091"/>
      <c r="AB22" s="3091"/>
      <c r="AC22" s="3091"/>
      <c r="AD22" s="3091"/>
      <c r="AE22" s="3091"/>
      <c r="AF22" s="3091"/>
      <c r="AG22" s="3088"/>
      <c r="AH22" s="3091"/>
      <c r="AI22" s="3091"/>
      <c r="AJ22" s="3091"/>
      <c r="AK22" s="3091"/>
      <c r="AL22" s="3091"/>
      <c r="AM22" s="3091"/>
      <c r="AN22" s="3087"/>
      <c r="AO22" s="3097"/>
      <c r="AP22" s="3097"/>
      <c r="AQ22" s="3084"/>
    </row>
    <row r="23" spans="1:43" s="404" customFormat="1" ht="28.5" x14ac:dyDescent="0.2">
      <c r="A23" s="3100"/>
      <c r="B23" s="3104"/>
      <c r="C23" s="3105"/>
      <c r="D23" s="2841"/>
      <c r="E23" s="2841"/>
      <c r="F23" s="2841"/>
      <c r="G23" s="412"/>
      <c r="H23" s="2035"/>
      <c r="I23" s="2036"/>
      <c r="J23" s="3039"/>
      <c r="K23" s="2947"/>
      <c r="L23" s="2992"/>
      <c r="M23" s="2991"/>
      <c r="N23" s="2047"/>
      <c r="O23" s="3053"/>
      <c r="P23" s="2942"/>
      <c r="Q23" s="3078"/>
      <c r="R23" s="3048"/>
      <c r="S23" s="2945"/>
      <c r="T23" s="2958"/>
      <c r="U23" s="2962" t="s">
        <v>1796</v>
      </c>
      <c r="V23" s="2042">
        <f>150000000-50000000+3000000</f>
        <v>103000000</v>
      </c>
      <c r="W23" s="2033">
        <v>42</v>
      </c>
      <c r="X23" s="2034" t="s">
        <v>1795</v>
      </c>
      <c r="Y23" s="3113"/>
      <c r="Z23" s="3116"/>
      <c r="AA23" s="3091"/>
      <c r="AB23" s="3091"/>
      <c r="AC23" s="3091"/>
      <c r="AD23" s="3091"/>
      <c r="AE23" s="3091"/>
      <c r="AF23" s="3091"/>
      <c r="AG23" s="3088"/>
      <c r="AH23" s="3091"/>
      <c r="AI23" s="3091"/>
      <c r="AJ23" s="3091"/>
      <c r="AK23" s="3091"/>
      <c r="AL23" s="3091"/>
      <c r="AM23" s="3091"/>
      <c r="AN23" s="3087"/>
      <c r="AO23" s="3097"/>
      <c r="AP23" s="3097"/>
      <c r="AQ23" s="3084"/>
    </row>
    <row r="24" spans="1:43" s="404" customFormat="1" ht="24" customHeight="1" x14ac:dyDescent="0.2">
      <c r="A24" s="3100"/>
      <c r="B24" s="3104"/>
      <c r="C24" s="3105"/>
      <c r="D24" s="2841"/>
      <c r="E24" s="2841"/>
      <c r="F24" s="2841"/>
      <c r="G24" s="412"/>
      <c r="H24" s="2035"/>
      <c r="I24" s="2036"/>
      <c r="J24" s="3039"/>
      <c r="K24" s="2947"/>
      <c r="L24" s="2992"/>
      <c r="M24" s="2991"/>
      <c r="N24" s="2047"/>
      <c r="O24" s="3053"/>
      <c r="P24" s="2942"/>
      <c r="Q24" s="3078"/>
      <c r="R24" s="3048"/>
      <c r="S24" s="2945"/>
      <c r="T24" s="2958"/>
      <c r="U24" s="2963"/>
      <c r="V24" s="2042">
        <f>0+98623337+1759029+99617634</f>
        <v>200000000</v>
      </c>
      <c r="W24" s="2033">
        <v>92</v>
      </c>
      <c r="X24" s="2034" t="s">
        <v>1782</v>
      </c>
      <c r="Y24" s="3113"/>
      <c r="Z24" s="3116"/>
      <c r="AA24" s="3091"/>
      <c r="AB24" s="3091"/>
      <c r="AC24" s="3091"/>
      <c r="AD24" s="3091"/>
      <c r="AE24" s="3091"/>
      <c r="AF24" s="3091"/>
      <c r="AG24" s="3088"/>
      <c r="AH24" s="3091"/>
      <c r="AI24" s="3091"/>
      <c r="AJ24" s="3091"/>
      <c r="AK24" s="3091"/>
      <c r="AL24" s="3091"/>
      <c r="AM24" s="3091"/>
      <c r="AN24" s="3087"/>
      <c r="AO24" s="3097"/>
      <c r="AP24" s="3097"/>
      <c r="AQ24" s="3084"/>
    </row>
    <row r="25" spans="1:43" s="404" customFormat="1" ht="29.25" customHeight="1" x14ac:dyDescent="0.2">
      <c r="A25" s="3100"/>
      <c r="B25" s="3104"/>
      <c r="C25" s="3105"/>
      <c r="D25" s="2841"/>
      <c r="E25" s="2841"/>
      <c r="F25" s="2841"/>
      <c r="G25" s="412"/>
      <c r="H25" s="2035"/>
      <c r="I25" s="2036"/>
      <c r="J25" s="3039"/>
      <c r="K25" s="2947"/>
      <c r="L25" s="2992"/>
      <c r="M25" s="2991"/>
      <c r="N25" s="2047"/>
      <c r="O25" s="3053"/>
      <c r="P25" s="2942"/>
      <c r="Q25" s="3078"/>
      <c r="R25" s="3048"/>
      <c r="S25" s="2945"/>
      <c r="T25" s="2958"/>
      <c r="U25" s="2962" t="s">
        <v>1797</v>
      </c>
      <c r="V25" s="2042">
        <f>50000000+50000000</f>
        <v>100000000</v>
      </c>
      <c r="W25" s="2033">
        <v>42</v>
      </c>
      <c r="X25" s="2034" t="s">
        <v>1795</v>
      </c>
      <c r="Y25" s="3113"/>
      <c r="Z25" s="3116"/>
      <c r="AA25" s="3091"/>
      <c r="AB25" s="3091"/>
      <c r="AC25" s="3091"/>
      <c r="AD25" s="3091"/>
      <c r="AE25" s="3091"/>
      <c r="AF25" s="3091"/>
      <c r="AG25" s="3088"/>
      <c r="AH25" s="3091"/>
      <c r="AI25" s="3091"/>
      <c r="AJ25" s="3091"/>
      <c r="AK25" s="3091"/>
      <c r="AL25" s="3091"/>
      <c r="AM25" s="3091"/>
      <c r="AN25" s="3087"/>
      <c r="AO25" s="3097"/>
      <c r="AP25" s="3097"/>
      <c r="AQ25" s="3084"/>
    </row>
    <row r="26" spans="1:43" s="404" customFormat="1" ht="25.5" customHeight="1" x14ac:dyDescent="0.2">
      <c r="A26" s="3100"/>
      <c r="B26" s="3104"/>
      <c r="C26" s="3105"/>
      <c r="D26" s="2841"/>
      <c r="E26" s="2841"/>
      <c r="F26" s="2841"/>
      <c r="G26" s="412"/>
      <c r="H26" s="2035"/>
      <c r="I26" s="2036"/>
      <c r="J26" s="3039"/>
      <c r="K26" s="2947"/>
      <c r="L26" s="2992"/>
      <c r="M26" s="2991"/>
      <c r="N26" s="2047"/>
      <c r="O26" s="3053"/>
      <c r="P26" s="2942"/>
      <c r="Q26" s="3078"/>
      <c r="R26" s="3048"/>
      <c r="S26" s="2945"/>
      <c r="T26" s="2958"/>
      <c r="U26" s="2963"/>
      <c r="V26" s="2042">
        <f>0+20000000-20000000</f>
        <v>0</v>
      </c>
      <c r="W26" s="2033">
        <v>92</v>
      </c>
      <c r="X26" s="2034" t="s">
        <v>1782</v>
      </c>
      <c r="Y26" s="3113"/>
      <c r="Z26" s="3116"/>
      <c r="AA26" s="3091"/>
      <c r="AB26" s="3091"/>
      <c r="AC26" s="3091"/>
      <c r="AD26" s="3091"/>
      <c r="AE26" s="3091"/>
      <c r="AF26" s="3091"/>
      <c r="AG26" s="3088"/>
      <c r="AH26" s="3091"/>
      <c r="AI26" s="3091"/>
      <c r="AJ26" s="3091"/>
      <c r="AK26" s="3091"/>
      <c r="AL26" s="3091"/>
      <c r="AM26" s="3091"/>
      <c r="AN26" s="3087"/>
      <c r="AO26" s="3097"/>
      <c r="AP26" s="3097"/>
      <c r="AQ26" s="3084"/>
    </row>
    <row r="27" spans="1:43" s="404" customFormat="1" ht="41.25" customHeight="1" x14ac:dyDescent="0.2">
      <c r="A27" s="3100"/>
      <c r="B27" s="3104"/>
      <c r="C27" s="3105"/>
      <c r="D27" s="2841"/>
      <c r="E27" s="2841"/>
      <c r="F27" s="2841"/>
      <c r="G27" s="412"/>
      <c r="H27" s="2035"/>
      <c r="I27" s="2036"/>
      <c r="J27" s="3039"/>
      <c r="K27" s="2947"/>
      <c r="L27" s="2992"/>
      <c r="M27" s="2991"/>
      <c r="N27" s="2047"/>
      <c r="O27" s="3053"/>
      <c r="P27" s="2942"/>
      <c r="Q27" s="3078"/>
      <c r="R27" s="3048"/>
      <c r="S27" s="2945"/>
      <c r="T27" s="2958"/>
      <c r="U27" s="1791" t="s">
        <v>1798</v>
      </c>
      <c r="V27" s="2042">
        <f>3000000-3000000</f>
        <v>0</v>
      </c>
      <c r="W27" s="2033">
        <v>42</v>
      </c>
      <c r="X27" s="2034" t="s">
        <v>1795</v>
      </c>
      <c r="Y27" s="3113"/>
      <c r="Z27" s="3116"/>
      <c r="AA27" s="3091"/>
      <c r="AB27" s="3091"/>
      <c r="AC27" s="3091"/>
      <c r="AD27" s="3091"/>
      <c r="AE27" s="3091"/>
      <c r="AF27" s="3091"/>
      <c r="AG27" s="3088"/>
      <c r="AH27" s="3091"/>
      <c r="AI27" s="3091"/>
      <c r="AJ27" s="3091"/>
      <c r="AK27" s="3091"/>
      <c r="AL27" s="3091"/>
      <c r="AM27" s="3091"/>
      <c r="AN27" s="3087"/>
      <c r="AO27" s="3097"/>
      <c r="AP27" s="3097"/>
      <c r="AQ27" s="3084"/>
    </row>
    <row r="28" spans="1:43" s="404" customFormat="1" ht="28.5" x14ac:dyDescent="0.2">
      <c r="A28" s="3100"/>
      <c r="B28" s="3104"/>
      <c r="C28" s="3105"/>
      <c r="D28" s="2841"/>
      <c r="E28" s="2841"/>
      <c r="F28" s="2841"/>
      <c r="G28" s="412"/>
      <c r="H28" s="2035"/>
      <c r="I28" s="2036"/>
      <c r="J28" s="3039"/>
      <c r="K28" s="2947"/>
      <c r="L28" s="2992"/>
      <c r="M28" s="2991"/>
      <c r="N28" s="2047" t="s">
        <v>1799</v>
      </c>
      <c r="O28" s="3053"/>
      <c r="P28" s="2942"/>
      <c r="Q28" s="3078"/>
      <c r="R28" s="3048"/>
      <c r="S28" s="2945"/>
      <c r="T28" s="2958"/>
      <c r="U28" s="2962" t="s">
        <v>1800</v>
      </c>
      <c r="V28" s="2042">
        <v>50000000</v>
      </c>
      <c r="W28" s="2033">
        <v>42</v>
      </c>
      <c r="X28" s="2034" t="s">
        <v>1795</v>
      </c>
      <c r="Y28" s="3113"/>
      <c r="Z28" s="3116"/>
      <c r="AA28" s="3091"/>
      <c r="AB28" s="3091"/>
      <c r="AC28" s="3091"/>
      <c r="AD28" s="3091"/>
      <c r="AE28" s="3091"/>
      <c r="AF28" s="3091"/>
      <c r="AG28" s="3088"/>
      <c r="AH28" s="3091"/>
      <c r="AI28" s="3091"/>
      <c r="AJ28" s="3091"/>
      <c r="AK28" s="3091"/>
      <c r="AL28" s="3091"/>
      <c r="AM28" s="3091"/>
      <c r="AN28" s="3087"/>
      <c r="AO28" s="3097"/>
      <c r="AP28" s="3097"/>
      <c r="AQ28" s="3084"/>
    </row>
    <row r="29" spans="1:43" s="404" customFormat="1" ht="21.75" customHeight="1" x14ac:dyDescent="0.2">
      <c r="A29" s="3100"/>
      <c r="B29" s="3104"/>
      <c r="C29" s="3105"/>
      <c r="D29" s="2841"/>
      <c r="E29" s="2841"/>
      <c r="F29" s="2841"/>
      <c r="G29" s="412"/>
      <c r="H29" s="2035"/>
      <c r="I29" s="2036"/>
      <c r="J29" s="3039"/>
      <c r="K29" s="2947"/>
      <c r="L29" s="2992"/>
      <c r="M29" s="2991"/>
      <c r="N29" s="2047"/>
      <c r="O29" s="3053"/>
      <c r="P29" s="2942"/>
      <c r="Q29" s="3078"/>
      <c r="R29" s="3048"/>
      <c r="S29" s="2945"/>
      <c r="T29" s="2958"/>
      <c r="U29" s="2963"/>
      <c r="V29" s="2042">
        <f>0+47000000-47000000</f>
        <v>0</v>
      </c>
      <c r="W29" s="2033">
        <v>92</v>
      </c>
      <c r="X29" s="2034" t="s">
        <v>1782</v>
      </c>
      <c r="Y29" s="3113"/>
      <c r="Z29" s="3116"/>
      <c r="AA29" s="3091"/>
      <c r="AB29" s="3091"/>
      <c r="AC29" s="3091"/>
      <c r="AD29" s="3091"/>
      <c r="AE29" s="3091"/>
      <c r="AF29" s="3091"/>
      <c r="AG29" s="3088"/>
      <c r="AH29" s="3091"/>
      <c r="AI29" s="3091"/>
      <c r="AJ29" s="3091"/>
      <c r="AK29" s="3091"/>
      <c r="AL29" s="3091"/>
      <c r="AM29" s="3091"/>
      <c r="AN29" s="3087"/>
      <c r="AO29" s="3097"/>
      <c r="AP29" s="3097"/>
      <c r="AQ29" s="3084"/>
    </row>
    <row r="30" spans="1:43" s="404" customFormat="1" ht="31.5" customHeight="1" x14ac:dyDescent="0.2">
      <c r="A30" s="3100"/>
      <c r="B30" s="3104"/>
      <c r="C30" s="3105"/>
      <c r="D30" s="2841"/>
      <c r="E30" s="2841"/>
      <c r="F30" s="2841"/>
      <c r="G30" s="412"/>
      <c r="H30" s="2035"/>
      <c r="I30" s="2036"/>
      <c r="J30" s="3039"/>
      <c r="K30" s="2947"/>
      <c r="L30" s="2992"/>
      <c r="M30" s="2991"/>
      <c r="N30" s="2047"/>
      <c r="O30" s="3053"/>
      <c r="P30" s="2942"/>
      <c r="Q30" s="3078"/>
      <c r="R30" s="3048"/>
      <c r="S30" s="2945"/>
      <c r="T30" s="2958"/>
      <c r="U30" s="2962" t="s">
        <v>1801</v>
      </c>
      <c r="V30" s="2042">
        <v>35100000</v>
      </c>
      <c r="W30" s="2033">
        <v>42</v>
      </c>
      <c r="X30" s="2034" t="s">
        <v>1795</v>
      </c>
      <c r="Y30" s="3113"/>
      <c r="Z30" s="3116"/>
      <c r="AA30" s="3091"/>
      <c r="AB30" s="3091"/>
      <c r="AC30" s="3091"/>
      <c r="AD30" s="3091"/>
      <c r="AE30" s="3091"/>
      <c r="AF30" s="3091"/>
      <c r="AG30" s="3088"/>
      <c r="AH30" s="3091"/>
      <c r="AI30" s="3091"/>
      <c r="AJ30" s="3091"/>
      <c r="AK30" s="3091"/>
      <c r="AL30" s="3091"/>
      <c r="AM30" s="3091"/>
      <c r="AN30" s="3087"/>
      <c r="AO30" s="3097"/>
      <c r="AP30" s="3097"/>
      <c r="AQ30" s="3084"/>
    </row>
    <row r="31" spans="1:43" s="404" customFormat="1" ht="31.5" customHeight="1" x14ac:dyDescent="0.2">
      <c r="A31" s="3100"/>
      <c r="B31" s="3104"/>
      <c r="C31" s="3105"/>
      <c r="D31" s="2841"/>
      <c r="E31" s="2841"/>
      <c r="F31" s="2841"/>
      <c r="G31" s="412"/>
      <c r="H31" s="2035"/>
      <c r="I31" s="2036"/>
      <c r="J31" s="3039"/>
      <c r="K31" s="2947"/>
      <c r="L31" s="2992"/>
      <c r="M31" s="2991"/>
      <c r="N31" s="2047"/>
      <c r="O31" s="3053"/>
      <c r="P31" s="2942"/>
      <c r="Q31" s="3078"/>
      <c r="R31" s="3048"/>
      <c r="S31" s="2945"/>
      <c r="T31" s="2958"/>
      <c r="U31" s="2963"/>
      <c r="V31" s="2042">
        <f>0+85000000</f>
        <v>85000000</v>
      </c>
      <c r="W31" s="2033">
        <v>92</v>
      </c>
      <c r="X31" s="2034" t="s">
        <v>1782</v>
      </c>
      <c r="Y31" s="3113"/>
      <c r="Z31" s="3116"/>
      <c r="AA31" s="3091"/>
      <c r="AB31" s="3091"/>
      <c r="AC31" s="3091"/>
      <c r="AD31" s="3091"/>
      <c r="AE31" s="3091"/>
      <c r="AF31" s="3091"/>
      <c r="AG31" s="3088"/>
      <c r="AH31" s="3091"/>
      <c r="AI31" s="3091"/>
      <c r="AJ31" s="3091"/>
      <c r="AK31" s="3091"/>
      <c r="AL31" s="3091"/>
      <c r="AM31" s="3091"/>
      <c r="AN31" s="3087"/>
      <c r="AO31" s="3097"/>
      <c r="AP31" s="3097"/>
      <c r="AQ31" s="3084"/>
    </row>
    <row r="32" spans="1:43" s="404" customFormat="1" ht="28.5" x14ac:dyDescent="0.2">
      <c r="A32" s="3100"/>
      <c r="B32" s="3104"/>
      <c r="C32" s="3105"/>
      <c r="D32" s="2841"/>
      <c r="E32" s="2841"/>
      <c r="F32" s="2841"/>
      <c r="G32" s="412"/>
      <c r="H32" s="2035"/>
      <c r="I32" s="2036"/>
      <c r="J32" s="3039"/>
      <c r="K32" s="2947"/>
      <c r="L32" s="2992"/>
      <c r="M32" s="2991"/>
      <c r="N32" s="2047" t="s">
        <v>1802</v>
      </c>
      <c r="O32" s="3053"/>
      <c r="P32" s="2942"/>
      <c r="Q32" s="3078"/>
      <c r="R32" s="3048"/>
      <c r="S32" s="2945"/>
      <c r="T32" s="2958"/>
      <c r="U32" s="2962" t="s">
        <v>1803</v>
      </c>
      <c r="V32" s="2042">
        <v>20000000</v>
      </c>
      <c r="W32" s="2033">
        <v>42</v>
      </c>
      <c r="X32" s="2034" t="s">
        <v>1795</v>
      </c>
      <c r="Y32" s="3113"/>
      <c r="Z32" s="3116"/>
      <c r="AA32" s="3091"/>
      <c r="AB32" s="3091"/>
      <c r="AC32" s="3091"/>
      <c r="AD32" s="3091"/>
      <c r="AE32" s="3091"/>
      <c r="AF32" s="3091"/>
      <c r="AG32" s="3088"/>
      <c r="AH32" s="3091"/>
      <c r="AI32" s="3091"/>
      <c r="AJ32" s="3091"/>
      <c r="AK32" s="3091"/>
      <c r="AL32" s="3091"/>
      <c r="AM32" s="3091"/>
      <c r="AN32" s="3087"/>
      <c r="AO32" s="3097"/>
      <c r="AP32" s="3097"/>
      <c r="AQ32" s="3084"/>
    </row>
    <row r="33" spans="1:43" s="404" customFormat="1" ht="24.75" customHeight="1" x14ac:dyDescent="0.2">
      <c r="A33" s="3100"/>
      <c r="B33" s="3104"/>
      <c r="C33" s="3105"/>
      <c r="D33" s="2841"/>
      <c r="E33" s="2841"/>
      <c r="F33" s="2841"/>
      <c r="G33" s="412"/>
      <c r="H33" s="2035"/>
      <c r="I33" s="2036"/>
      <c r="J33" s="3039"/>
      <c r="K33" s="2947"/>
      <c r="L33" s="2992"/>
      <c r="M33" s="2991"/>
      <c r="N33" s="2047"/>
      <c r="O33" s="3053"/>
      <c r="P33" s="2942"/>
      <c r="Q33" s="3078"/>
      <c r="R33" s="3048"/>
      <c r="S33" s="2945"/>
      <c r="T33" s="2958"/>
      <c r="U33" s="2963"/>
      <c r="V33" s="2042">
        <f>0+53000000-9617634</f>
        <v>43382366</v>
      </c>
      <c r="W33" s="2033">
        <v>92</v>
      </c>
      <c r="X33" s="2034" t="s">
        <v>1782</v>
      </c>
      <c r="Y33" s="3113"/>
      <c r="Z33" s="3116"/>
      <c r="AA33" s="3091"/>
      <c r="AB33" s="3091"/>
      <c r="AC33" s="3091"/>
      <c r="AD33" s="3091"/>
      <c r="AE33" s="3091"/>
      <c r="AF33" s="3091"/>
      <c r="AG33" s="3088"/>
      <c r="AH33" s="3091"/>
      <c r="AI33" s="3091"/>
      <c r="AJ33" s="3091"/>
      <c r="AK33" s="3091"/>
      <c r="AL33" s="3091"/>
      <c r="AM33" s="3091"/>
      <c r="AN33" s="3087"/>
      <c r="AO33" s="3097"/>
      <c r="AP33" s="3097"/>
      <c r="AQ33" s="3084"/>
    </row>
    <row r="34" spans="1:43" s="404" customFormat="1" ht="34.5" customHeight="1" x14ac:dyDescent="0.2">
      <c r="A34" s="3100"/>
      <c r="B34" s="3104"/>
      <c r="C34" s="3105"/>
      <c r="D34" s="2841"/>
      <c r="E34" s="2841"/>
      <c r="F34" s="2841"/>
      <c r="G34" s="412"/>
      <c r="H34" s="2035"/>
      <c r="I34" s="2036"/>
      <c r="J34" s="3039"/>
      <c r="K34" s="2947"/>
      <c r="L34" s="2992"/>
      <c r="M34" s="2991"/>
      <c r="N34" s="2047" t="s">
        <v>1804</v>
      </c>
      <c r="O34" s="3053"/>
      <c r="P34" s="2942"/>
      <c r="Q34" s="3078"/>
      <c r="R34" s="3048"/>
      <c r="S34" s="2945"/>
      <c r="T34" s="2958"/>
      <c r="U34" s="2962" t="s">
        <v>1805</v>
      </c>
      <c r="V34" s="2042">
        <f>45000000-45000000</f>
        <v>0</v>
      </c>
      <c r="W34" s="2033">
        <v>42</v>
      </c>
      <c r="X34" s="2034" t="s">
        <v>1795</v>
      </c>
      <c r="Y34" s="3113"/>
      <c r="Z34" s="3116"/>
      <c r="AA34" s="3091"/>
      <c r="AB34" s="3091"/>
      <c r="AC34" s="3091"/>
      <c r="AD34" s="3091"/>
      <c r="AE34" s="3091"/>
      <c r="AF34" s="3091"/>
      <c r="AG34" s="3088"/>
      <c r="AH34" s="3091"/>
      <c r="AI34" s="3091"/>
      <c r="AJ34" s="3091"/>
      <c r="AK34" s="3091"/>
      <c r="AL34" s="3091"/>
      <c r="AM34" s="3091"/>
      <c r="AN34" s="3087"/>
      <c r="AO34" s="3097"/>
      <c r="AP34" s="3097"/>
      <c r="AQ34" s="3084"/>
    </row>
    <row r="35" spans="1:43" s="404" customFormat="1" ht="26.25" customHeight="1" x14ac:dyDescent="0.2">
      <c r="A35" s="3100"/>
      <c r="B35" s="3104"/>
      <c r="C35" s="3105"/>
      <c r="D35" s="2841"/>
      <c r="E35" s="2841"/>
      <c r="F35" s="2841"/>
      <c r="G35" s="412"/>
      <c r="H35" s="2035"/>
      <c r="I35" s="2036"/>
      <c r="J35" s="3039"/>
      <c r="K35" s="2947"/>
      <c r="L35" s="2992"/>
      <c r="M35" s="2991"/>
      <c r="N35" s="2047"/>
      <c r="O35" s="3053"/>
      <c r="P35" s="2942"/>
      <c r="Q35" s="3078"/>
      <c r="R35" s="3048"/>
      <c r="S35" s="2945"/>
      <c r="T35" s="2958"/>
      <c r="U35" s="2963"/>
      <c r="V35" s="2042">
        <f>0+50000000-50000000</f>
        <v>0</v>
      </c>
      <c r="W35" s="2033">
        <v>92</v>
      </c>
      <c r="X35" s="2034" t="s">
        <v>1782</v>
      </c>
      <c r="Y35" s="3113"/>
      <c r="Z35" s="3116"/>
      <c r="AA35" s="3091"/>
      <c r="AB35" s="3091"/>
      <c r="AC35" s="3091"/>
      <c r="AD35" s="3091"/>
      <c r="AE35" s="3091"/>
      <c r="AF35" s="3091"/>
      <c r="AG35" s="3088"/>
      <c r="AH35" s="3091"/>
      <c r="AI35" s="3091"/>
      <c r="AJ35" s="3091"/>
      <c r="AK35" s="3091"/>
      <c r="AL35" s="3091"/>
      <c r="AM35" s="3091"/>
      <c r="AN35" s="3087"/>
      <c r="AO35" s="3097"/>
      <c r="AP35" s="3097"/>
      <c r="AQ35" s="3084"/>
    </row>
    <row r="36" spans="1:43" s="404" customFormat="1" ht="41.25" customHeight="1" x14ac:dyDescent="0.2">
      <c r="A36" s="3100"/>
      <c r="B36" s="3104"/>
      <c r="C36" s="3105"/>
      <c r="D36" s="2841"/>
      <c r="E36" s="2841"/>
      <c r="F36" s="2841"/>
      <c r="G36" s="412"/>
      <c r="H36" s="2035"/>
      <c r="I36" s="2036"/>
      <c r="J36" s="3039"/>
      <c r="K36" s="2947"/>
      <c r="L36" s="2992"/>
      <c r="M36" s="2991"/>
      <c r="N36" s="2047"/>
      <c r="O36" s="3053"/>
      <c r="P36" s="2942"/>
      <c r="Q36" s="3078"/>
      <c r="R36" s="3048"/>
      <c r="S36" s="2945"/>
      <c r="T36" s="2958"/>
      <c r="U36" s="1791" t="s">
        <v>1806</v>
      </c>
      <c r="V36" s="2042">
        <f>50000000-50000000</f>
        <v>0</v>
      </c>
      <c r="W36" s="2033">
        <v>42</v>
      </c>
      <c r="X36" s="2034" t="s">
        <v>1795</v>
      </c>
      <c r="Y36" s="3113"/>
      <c r="Z36" s="3116"/>
      <c r="AA36" s="3091"/>
      <c r="AB36" s="3091"/>
      <c r="AC36" s="3091"/>
      <c r="AD36" s="3091"/>
      <c r="AE36" s="3091"/>
      <c r="AF36" s="3091"/>
      <c r="AG36" s="3088"/>
      <c r="AH36" s="3091"/>
      <c r="AI36" s="3091"/>
      <c r="AJ36" s="3091"/>
      <c r="AK36" s="3091"/>
      <c r="AL36" s="3091"/>
      <c r="AM36" s="3091"/>
      <c r="AN36" s="3087"/>
      <c r="AO36" s="3097"/>
      <c r="AP36" s="3097"/>
      <c r="AQ36" s="3084"/>
    </row>
    <row r="37" spans="1:43" s="404" customFormat="1" ht="22.5" customHeight="1" x14ac:dyDescent="0.2">
      <c r="A37" s="3100"/>
      <c r="B37" s="3104"/>
      <c r="C37" s="3105"/>
      <c r="D37" s="2841"/>
      <c r="E37" s="2841"/>
      <c r="F37" s="2841"/>
      <c r="G37" s="412"/>
      <c r="H37" s="2035"/>
      <c r="I37" s="2036"/>
      <c r="J37" s="3039"/>
      <c r="K37" s="2947"/>
      <c r="L37" s="2992"/>
      <c r="M37" s="2991"/>
      <c r="N37" s="2047"/>
      <c r="O37" s="3053"/>
      <c r="P37" s="2942"/>
      <c r="Q37" s="3078"/>
      <c r="R37" s="3048"/>
      <c r="S37" s="2945"/>
      <c r="T37" s="2958"/>
      <c r="U37" s="2962" t="s">
        <v>1807</v>
      </c>
      <c r="V37" s="2042">
        <f>15000000+131759029</f>
        <v>146759029</v>
      </c>
      <c r="W37" s="2033">
        <v>42</v>
      </c>
      <c r="X37" s="2034" t="s">
        <v>1795</v>
      </c>
      <c r="Y37" s="3113"/>
      <c r="Z37" s="3116"/>
      <c r="AA37" s="3091"/>
      <c r="AB37" s="3091"/>
      <c r="AC37" s="3091"/>
      <c r="AD37" s="3091"/>
      <c r="AE37" s="3091"/>
      <c r="AF37" s="3091"/>
      <c r="AG37" s="3088"/>
      <c r="AH37" s="3091"/>
      <c r="AI37" s="3091"/>
      <c r="AJ37" s="3091"/>
      <c r="AK37" s="3091"/>
      <c r="AL37" s="3091"/>
      <c r="AM37" s="3091"/>
      <c r="AN37" s="3087"/>
      <c r="AO37" s="3097"/>
      <c r="AP37" s="3097"/>
      <c r="AQ37" s="3084"/>
    </row>
    <row r="38" spans="1:43" s="404" customFormat="1" ht="35.25" customHeight="1" x14ac:dyDescent="0.2">
      <c r="A38" s="3100"/>
      <c r="B38" s="3104"/>
      <c r="C38" s="3105"/>
      <c r="D38" s="2841"/>
      <c r="E38" s="2841"/>
      <c r="F38" s="2841"/>
      <c r="G38" s="412"/>
      <c r="H38" s="2035"/>
      <c r="I38" s="2036"/>
      <c r="J38" s="3039"/>
      <c r="K38" s="2947"/>
      <c r="L38" s="2992"/>
      <c r="M38" s="2991"/>
      <c r="N38" s="2047"/>
      <c r="O38" s="3053"/>
      <c r="P38" s="2942"/>
      <c r="Q38" s="3078"/>
      <c r="R38" s="3048"/>
      <c r="S38" s="2945"/>
      <c r="T38" s="2958"/>
      <c r="U38" s="2963"/>
      <c r="V38" s="2042">
        <f>0+15000000+68240971</f>
        <v>83240971</v>
      </c>
      <c r="W38" s="2033">
        <v>92</v>
      </c>
      <c r="X38" s="2034" t="s">
        <v>1782</v>
      </c>
      <c r="Y38" s="3113"/>
      <c r="Z38" s="3116"/>
      <c r="AA38" s="3091"/>
      <c r="AB38" s="3091"/>
      <c r="AC38" s="3091"/>
      <c r="AD38" s="3091"/>
      <c r="AE38" s="3091"/>
      <c r="AF38" s="3091"/>
      <c r="AG38" s="3088"/>
      <c r="AH38" s="3091"/>
      <c r="AI38" s="3091"/>
      <c r="AJ38" s="3091"/>
      <c r="AK38" s="3091"/>
      <c r="AL38" s="3091"/>
      <c r="AM38" s="3091"/>
      <c r="AN38" s="3087"/>
      <c r="AO38" s="3097"/>
      <c r="AP38" s="3097"/>
      <c r="AQ38" s="3084"/>
    </row>
    <row r="39" spans="1:43" s="404" customFormat="1" ht="35.25" customHeight="1" x14ac:dyDescent="0.2">
      <c r="A39" s="3100"/>
      <c r="B39" s="3104"/>
      <c r="C39" s="3105"/>
      <c r="D39" s="2841"/>
      <c r="E39" s="2841"/>
      <c r="F39" s="2841"/>
      <c r="G39" s="412"/>
      <c r="H39" s="2035"/>
      <c r="I39" s="2036"/>
      <c r="J39" s="3039"/>
      <c r="K39" s="2947"/>
      <c r="L39" s="2992"/>
      <c r="M39" s="2991"/>
      <c r="N39" s="2047"/>
      <c r="O39" s="3053"/>
      <c r="P39" s="2942"/>
      <c r="Q39" s="3078"/>
      <c r="R39" s="3048"/>
      <c r="S39" s="2945"/>
      <c r="T39" s="2958"/>
      <c r="U39" s="2051" t="s">
        <v>1808</v>
      </c>
      <c r="V39" s="2042">
        <f>0+30000000</f>
        <v>30000000</v>
      </c>
      <c r="W39" s="2033">
        <v>92</v>
      </c>
      <c r="X39" s="2034" t="s">
        <v>1782</v>
      </c>
      <c r="Y39" s="3113"/>
      <c r="Z39" s="3116"/>
      <c r="AA39" s="3091"/>
      <c r="AB39" s="3091"/>
      <c r="AC39" s="3091"/>
      <c r="AD39" s="3091"/>
      <c r="AE39" s="3091"/>
      <c r="AF39" s="3091"/>
      <c r="AG39" s="3088"/>
      <c r="AH39" s="3091"/>
      <c r="AI39" s="3091"/>
      <c r="AJ39" s="3091"/>
      <c r="AK39" s="3091"/>
      <c r="AL39" s="3091"/>
      <c r="AM39" s="3091"/>
      <c r="AN39" s="3087"/>
      <c r="AO39" s="3097"/>
      <c r="AP39" s="3097"/>
      <c r="AQ39" s="3084"/>
    </row>
    <row r="40" spans="1:43" s="404" customFormat="1" ht="34.5" customHeight="1" x14ac:dyDescent="0.2">
      <c r="A40" s="3100"/>
      <c r="B40" s="3104"/>
      <c r="C40" s="3105"/>
      <c r="D40" s="2841"/>
      <c r="E40" s="2841"/>
      <c r="F40" s="2841"/>
      <c r="G40" s="412"/>
      <c r="H40" s="2035"/>
      <c r="I40" s="2036"/>
      <c r="J40" s="3039"/>
      <c r="K40" s="2947"/>
      <c r="L40" s="2992"/>
      <c r="M40" s="2991"/>
      <c r="N40" s="2047"/>
      <c r="O40" s="3053"/>
      <c r="P40" s="2942"/>
      <c r="Q40" s="3078"/>
      <c r="R40" s="3048"/>
      <c r="S40" s="2945"/>
      <c r="T40" s="2958"/>
      <c r="U40" s="2960" t="s">
        <v>1809</v>
      </c>
      <c r="V40" s="2042">
        <v>10900000</v>
      </c>
      <c r="W40" s="2033">
        <v>42</v>
      </c>
      <c r="X40" s="2034" t="s">
        <v>1795</v>
      </c>
      <c r="Y40" s="3113"/>
      <c r="Z40" s="3116"/>
      <c r="AA40" s="3091"/>
      <c r="AB40" s="3091"/>
      <c r="AC40" s="3091"/>
      <c r="AD40" s="3091"/>
      <c r="AE40" s="3091"/>
      <c r="AF40" s="3091"/>
      <c r="AG40" s="3088"/>
      <c r="AH40" s="3091"/>
      <c r="AI40" s="3091"/>
      <c r="AJ40" s="3091"/>
      <c r="AK40" s="3091"/>
      <c r="AL40" s="3091"/>
      <c r="AM40" s="3091"/>
      <c r="AN40" s="3087"/>
      <c r="AO40" s="3097"/>
      <c r="AP40" s="3097"/>
      <c r="AQ40" s="3084"/>
    </row>
    <row r="41" spans="1:43" s="404" customFormat="1" ht="27" customHeight="1" x14ac:dyDescent="0.2">
      <c r="A41" s="3100"/>
      <c r="B41" s="3104"/>
      <c r="C41" s="3105"/>
      <c r="D41" s="2841"/>
      <c r="E41" s="2841"/>
      <c r="F41" s="2841"/>
      <c r="G41" s="412"/>
      <c r="H41" s="2035"/>
      <c r="I41" s="2036"/>
      <c r="J41" s="3039"/>
      <c r="K41" s="2947"/>
      <c r="L41" s="2992"/>
      <c r="M41" s="2991"/>
      <c r="N41" s="2047"/>
      <c r="O41" s="3053"/>
      <c r="P41" s="2942"/>
      <c r="Q41" s="3078"/>
      <c r="R41" s="3048"/>
      <c r="S41" s="2945"/>
      <c r="T41" s="2958"/>
      <c r="U41" s="2961"/>
      <c r="V41" s="2042">
        <f>0+10000000-9000000</f>
        <v>1000000</v>
      </c>
      <c r="W41" s="2033">
        <v>92</v>
      </c>
      <c r="X41" s="2034" t="s">
        <v>1782</v>
      </c>
      <c r="Y41" s="3113"/>
      <c r="Z41" s="3116"/>
      <c r="AA41" s="3091"/>
      <c r="AB41" s="3091"/>
      <c r="AC41" s="3091"/>
      <c r="AD41" s="3091"/>
      <c r="AE41" s="3091"/>
      <c r="AF41" s="3091"/>
      <c r="AG41" s="3088"/>
      <c r="AH41" s="3091"/>
      <c r="AI41" s="3091"/>
      <c r="AJ41" s="3091"/>
      <c r="AK41" s="3091"/>
      <c r="AL41" s="3091"/>
      <c r="AM41" s="3091"/>
      <c r="AN41" s="3087"/>
      <c r="AO41" s="3097"/>
      <c r="AP41" s="3097"/>
      <c r="AQ41" s="3084"/>
    </row>
    <row r="42" spans="1:43" s="404" customFormat="1" ht="31.5" customHeight="1" x14ac:dyDescent="0.2">
      <c r="A42" s="3100"/>
      <c r="B42" s="3104"/>
      <c r="C42" s="3105"/>
      <c r="D42" s="2841"/>
      <c r="E42" s="2841"/>
      <c r="F42" s="2841"/>
      <c r="G42" s="412"/>
      <c r="H42" s="2035"/>
      <c r="I42" s="2036"/>
      <c r="J42" s="3039"/>
      <c r="K42" s="2947"/>
      <c r="L42" s="2992"/>
      <c r="M42" s="2991"/>
      <c r="N42" s="2047"/>
      <c r="O42" s="3053"/>
      <c r="P42" s="2942"/>
      <c r="Q42" s="3078"/>
      <c r="R42" s="3048"/>
      <c r="S42" s="2945"/>
      <c r="T42" s="2958"/>
      <c r="U42" s="2960" t="s">
        <v>1810</v>
      </c>
      <c r="V42" s="2042">
        <v>10000000</v>
      </c>
      <c r="W42" s="2033">
        <v>42</v>
      </c>
      <c r="X42" s="2034" t="s">
        <v>1795</v>
      </c>
      <c r="Y42" s="3113"/>
      <c r="Z42" s="3116"/>
      <c r="AA42" s="3091"/>
      <c r="AB42" s="3091"/>
      <c r="AC42" s="3091"/>
      <c r="AD42" s="3091"/>
      <c r="AE42" s="3091"/>
      <c r="AF42" s="3091"/>
      <c r="AG42" s="3088"/>
      <c r="AH42" s="3091"/>
      <c r="AI42" s="3091"/>
      <c r="AJ42" s="3091"/>
      <c r="AK42" s="3091"/>
      <c r="AL42" s="3091"/>
      <c r="AM42" s="3091"/>
      <c r="AN42" s="3087"/>
      <c r="AO42" s="3097"/>
      <c r="AP42" s="3097"/>
      <c r="AQ42" s="3084"/>
    </row>
    <row r="43" spans="1:43" s="404" customFormat="1" ht="31.5" customHeight="1" x14ac:dyDescent="0.2">
      <c r="A43" s="3100"/>
      <c r="B43" s="3104"/>
      <c r="C43" s="3105"/>
      <c r="D43" s="2841"/>
      <c r="E43" s="2841"/>
      <c r="F43" s="2841"/>
      <c r="G43" s="412"/>
      <c r="H43" s="2035"/>
      <c r="I43" s="2036"/>
      <c r="J43" s="3039"/>
      <c r="K43" s="2947"/>
      <c r="L43" s="2992"/>
      <c r="M43" s="2991"/>
      <c r="N43" s="2047"/>
      <c r="O43" s="3053"/>
      <c r="P43" s="2942"/>
      <c r="Q43" s="3078"/>
      <c r="R43" s="3048"/>
      <c r="S43" s="2945"/>
      <c r="T43" s="2958"/>
      <c r="U43" s="3110"/>
      <c r="V43" s="2042">
        <v>2390000</v>
      </c>
      <c r="W43" s="2033">
        <v>20</v>
      </c>
      <c r="X43" s="2050" t="s">
        <v>61</v>
      </c>
      <c r="Y43" s="3113"/>
      <c r="Z43" s="3116"/>
      <c r="AA43" s="3091"/>
      <c r="AB43" s="3091"/>
      <c r="AC43" s="3091"/>
      <c r="AD43" s="3091"/>
      <c r="AE43" s="3091"/>
      <c r="AF43" s="3091"/>
      <c r="AG43" s="3088"/>
      <c r="AH43" s="3091"/>
      <c r="AI43" s="3091"/>
      <c r="AJ43" s="3091"/>
      <c r="AK43" s="3091"/>
      <c r="AL43" s="3091"/>
      <c r="AM43" s="3091"/>
      <c r="AN43" s="3087"/>
      <c r="AO43" s="3097"/>
      <c r="AP43" s="3097"/>
      <c r="AQ43" s="3084"/>
    </row>
    <row r="44" spans="1:43" s="404" customFormat="1" ht="38.25" customHeight="1" x14ac:dyDescent="0.2">
      <c r="A44" s="3100"/>
      <c r="B44" s="3104"/>
      <c r="C44" s="3105"/>
      <c r="D44" s="2841"/>
      <c r="E44" s="2841"/>
      <c r="F44" s="2841"/>
      <c r="G44" s="412"/>
      <c r="H44" s="2035"/>
      <c r="I44" s="2036"/>
      <c r="J44" s="3039"/>
      <c r="K44" s="2947"/>
      <c r="L44" s="2992"/>
      <c r="M44" s="2991"/>
      <c r="N44" s="2047"/>
      <c r="O44" s="3053"/>
      <c r="P44" s="2942"/>
      <c r="Q44" s="3078"/>
      <c r="R44" s="3048"/>
      <c r="S44" s="2945"/>
      <c r="T44" s="2958"/>
      <c r="U44" s="2961"/>
      <c r="V44" s="2042">
        <f>0+10000000-9000000</f>
        <v>1000000</v>
      </c>
      <c r="W44" s="2033">
        <v>92</v>
      </c>
      <c r="X44" s="2034" t="s">
        <v>1782</v>
      </c>
      <c r="Y44" s="3113"/>
      <c r="Z44" s="3116"/>
      <c r="AA44" s="3091"/>
      <c r="AB44" s="3091"/>
      <c r="AC44" s="3091"/>
      <c r="AD44" s="3091"/>
      <c r="AE44" s="3091"/>
      <c r="AF44" s="3091"/>
      <c r="AG44" s="3088"/>
      <c r="AH44" s="3091"/>
      <c r="AI44" s="3091"/>
      <c r="AJ44" s="3091"/>
      <c r="AK44" s="3091"/>
      <c r="AL44" s="3091"/>
      <c r="AM44" s="3091"/>
      <c r="AN44" s="3087"/>
      <c r="AO44" s="3097"/>
      <c r="AP44" s="3097"/>
      <c r="AQ44" s="3084"/>
    </row>
    <row r="45" spans="1:43" s="404" customFormat="1" ht="29.25" customHeight="1" x14ac:dyDescent="0.2">
      <c r="A45" s="3100"/>
      <c r="B45" s="3104"/>
      <c r="C45" s="3105"/>
      <c r="D45" s="2841"/>
      <c r="E45" s="2841"/>
      <c r="F45" s="2841"/>
      <c r="G45" s="412"/>
      <c r="H45" s="2035"/>
      <c r="I45" s="2036"/>
      <c r="J45" s="3039"/>
      <c r="K45" s="2947"/>
      <c r="L45" s="2992"/>
      <c r="M45" s="2991"/>
      <c r="N45" s="2047"/>
      <c r="O45" s="3053"/>
      <c r="P45" s="2942"/>
      <c r="Q45" s="3078"/>
      <c r="R45" s="3048"/>
      <c r="S45" s="2945"/>
      <c r="T45" s="2958"/>
      <c r="U45" s="2960" t="s">
        <v>1811</v>
      </c>
      <c r="V45" s="2042">
        <v>10000000</v>
      </c>
      <c r="W45" s="2033">
        <v>42</v>
      </c>
      <c r="X45" s="2034" t="s">
        <v>1795</v>
      </c>
      <c r="Y45" s="3113"/>
      <c r="Z45" s="3116"/>
      <c r="AA45" s="3091"/>
      <c r="AB45" s="3091"/>
      <c r="AC45" s="3091"/>
      <c r="AD45" s="3091"/>
      <c r="AE45" s="3091"/>
      <c r="AF45" s="3091"/>
      <c r="AG45" s="3088"/>
      <c r="AH45" s="3091"/>
      <c r="AI45" s="3091"/>
      <c r="AJ45" s="3091"/>
      <c r="AK45" s="3091"/>
      <c r="AL45" s="3091"/>
      <c r="AM45" s="3091"/>
      <c r="AN45" s="3087"/>
      <c r="AO45" s="3097"/>
      <c r="AP45" s="3097"/>
      <c r="AQ45" s="3084"/>
    </row>
    <row r="46" spans="1:43" s="404" customFormat="1" ht="29.25" customHeight="1" x14ac:dyDescent="0.2">
      <c r="A46" s="3100"/>
      <c r="B46" s="3104"/>
      <c r="C46" s="3105"/>
      <c r="D46" s="2841"/>
      <c r="E46" s="2841"/>
      <c r="F46" s="2841"/>
      <c r="G46" s="412"/>
      <c r="H46" s="2035"/>
      <c r="I46" s="2036"/>
      <c r="J46" s="3039"/>
      <c r="K46" s="2947"/>
      <c r="L46" s="2992"/>
      <c r="M46" s="2991"/>
      <c r="N46" s="2047"/>
      <c r="O46" s="3053"/>
      <c r="P46" s="2942"/>
      <c r="Q46" s="3078"/>
      <c r="R46" s="3048"/>
      <c r="S46" s="2945"/>
      <c r="T46" s="2958"/>
      <c r="U46" s="3110"/>
      <c r="V46" s="2042">
        <v>2807734</v>
      </c>
      <c r="W46" s="2033">
        <v>20</v>
      </c>
      <c r="X46" s="2050" t="s">
        <v>61</v>
      </c>
      <c r="Y46" s="3113"/>
      <c r="Z46" s="3116"/>
      <c r="AA46" s="3091"/>
      <c r="AB46" s="3091"/>
      <c r="AC46" s="3091"/>
      <c r="AD46" s="3091"/>
      <c r="AE46" s="3091"/>
      <c r="AF46" s="3091"/>
      <c r="AG46" s="3088"/>
      <c r="AH46" s="3091"/>
      <c r="AI46" s="3091"/>
      <c r="AJ46" s="3091"/>
      <c r="AK46" s="3091"/>
      <c r="AL46" s="3091"/>
      <c r="AM46" s="3091"/>
      <c r="AN46" s="3087"/>
      <c r="AO46" s="3097"/>
      <c r="AP46" s="3097"/>
      <c r="AQ46" s="3084"/>
    </row>
    <row r="47" spans="1:43" s="404" customFormat="1" ht="38.25" customHeight="1" x14ac:dyDescent="0.2">
      <c r="A47" s="3100"/>
      <c r="B47" s="3104"/>
      <c r="C47" s="3105"/>
      <c r="D47" s="2841"/>
      <c r="E47" s="2841"/>
      <c r="F47" s="2841"/>
      <c r="G47" s="412"/>
      <c r="H47" s="2035"/>
      <c r="I47" s="2036"/>
      <c r="J47" s="3039"/>
      <c r="K47" s="2947"/>
      <c r="L47" s="2992"/>
      <c r="M47" s="2991"/>
      <c r="N47" s="2047"/>
      <c r="O47" s="3053"/>
      <c r="P47" s="2942"/>
      <c r="Q47" s="3078"/>
      <c r="R47" s="3048"/>
      <c r="S47" s="2945"/>
      <c r="T47" s="2958"/>
      <c r="U47" s="2961"/>
      <c r="V47" s="2042">
        <f>0+10000000-7000000</f>
        <v>3000000</v>
      </c>
      <c r="W47" s="2033">
        <v>92</v>
      </c>
      <c r="X47" s="2034" t="s">
        <v>1782</v>
      </c>
      <c r="Y47" s="3113"/>
      <c r="Z47" s="3116"/>
      <c r="AA47" s="3091"/>
      <c r="AB47" s="3091"/>
      <c r="AC47" s="3091"/>
      <c r="AD47" s="3091"/>
      <c r="AE47" s="3091"/>
      <c r="AF47" s="3091"/>
      <c r="AG47" s="3088"/>
      <c r="AH47" s="3091"/>
      <c r="AI47" s="3091"/>
      <c r="AJ47" s="3091"/>
      <c r="AK47" s="3091"/>
      <c r="AL47" s="3091"/>
      <c r="AM47" s="3091"/>
      <c r="AN47" s="3087"/>
      <c r="AO47" s="3097"/>
      <c r="AP47" s="3097"/>
      <c r="AQ47" s="3084"/>
    </row>
    <row r="48" spans="1:43" s="404" customFormat="1" ht="38.25" customHeight="1" x14ac:dyDescent="0.2">
      <c r="A48" s="3100"/>
      <c r="B48" s="3104"/>
      <c r="C48" s="3105"/>
      <c r="D48" s="2841"/>
      <c r="E48" s="2841"/>
      <c r="F48" s="2841"/>
      <c r="G48" s="412"/>
      <c r="H48" s="2035"/>
      <c r="I48" s="2036"/>
      <c r="J48" s="3039"/>
      <c r="K48" s="2947"/>
      <c r="L48" s="2992"/>
      <c r="M48" s="2991"/>
      <c r="N48" s="2047"/>
      <c r="O48" s="3053"/>
      <c r="P48" s="2942"/>
      <c r="Q48" s="3078"/>
      <c r="R48" s="3048"/>
      <c r="S48" s="2945"/>
      <c r="T48" s="2958"/>
      <c r="U48" s="2960" t="s">
        <v>1812</v>
      </c>
      <c r="V48" s="2042">
        <v>11000000</v>
      </c>
      <c r="W48" s="2052">
        <v>42</v>
      </c>
      <c r="X48" s="2053" t="s">
        <v>1795</v>
      </c>
      <c r="Y48" s="3113"/>
      <c r="Z48" s="3116"/>
      <c r="AA48" s="3091"/>
      <c r="AB48" s="3091"/>
      <c r="AC48" s="3091"/>
      <c r="AD48" s="3091"/>
      <c r="AE48" s="3091"/>
      <c r="AF48" s="3091"/>
      <c r="AG48" s="3088"/>
      <c r="AH48" s="3091"/>
      <c r="AI48" s="3091"/>
      <c r="AJ48" s="3091"/>
      <c r="AK48" s="3091"/>
      <c r="AL48" s="3091"/>
      <c r="AM48" s="3091"/>
      <c r="AN48" s="3087"/>
      <c r="AO48" s="3097"/>
      <c r="AP48" s="3097"/>
      <c r="AQ48" s="3084"/>
    </row>
    <row r="49" spans="1:43" s="404" customFormat="1" ht="27" customHeight="1" x14ac:dyDescent="0.2">
      <c r="A49" s="3100"/>
      <c r="B49" s="3104"/>
      <c r="C49" s="3105"/>
      <c r="D49" s="2841"/>
      <c r="E49" s="2841"/>
      <c r="F49" s="2841"/>
      <c r="G49" s="412"/>
      <c r="H49" s="2035"/>
      <c r="I49" s="2036"/>
      <c r="J49" s="3039"/>
      <c r="K49" s="2947"/>
      <c r="L49" s="2992"/>
      <c r="M49" s="2991"/>
      <c r="N49" s="2047"/>
      <c r="O49" s="3053"/>
      <c r="P49" s="2942"/>
      <c r="Q49" s="3078"/>
      <c r="R49" s="3048"/>
      <c r="S49" s="2945"/>
      <c r="T49" s="2958"/>
      <c r="U49" s="2961"/>
      <c r="V49" s="1831">
        <f>0+30000000-18000000</f>
        <v>12000000</v>
      </c>
      <c r="W49" s="2033">
        <v>92</v>
      </c>
      <c r="X49" s="2034" t="s">
        <v>1782</v>
      </c>
      <c r="Y49" s="3113"/>
      <c r="Z49" s="3116"/>
      <c r="AA49" s="3091"/>
      <c r="AB49" s="3091"/>
      <c r="AC49" s="3091"/>
      <c r="AD49" s="3091"/>
      <c r="AE49" s="3091"/>
      <c r="AF49" s="3091"/>
      <c r="AG49" s="3088"/>
      <c r="AH49" s="3091"/>
      <c r="AI49" s="3091"/>
      <c r="AJ49" s="3091"/>
      <c r="AK49" s="3091"/>
      <c r="AL49" s="3091"/>
      <c r="AM49" s="3091"/>
      <c r="AN49" s="3087"/>
      <c r="AO49" s="3097"/>
      <c r="AP49" s="3097"/>
      <c r="AQ49" s="3084"/>
    </row>
    <row r="50" spans="1:43" s="404" customFormat="1" ht="30" customHeight="1" x14ac:dyDescent="0.2">
      <c r="A50" s="3100"/>
      <c r="B50" s="3104"/>
      <c r="C50" s="3105"/>
      <c r="D50" s="2841"/>
      <c r="E50" s="2841"/>
      <c r="F50" s="2841"/>
      <c r="G50" s="412"/>
      <c r="H50" s="2035"/>
      <c r="I50" s="2036"/>
      <c r="J50" s="3039">
        <v>218</v>
      </c>
      <c r="K50" s="2947" t="s">
        <v>1813</v>
      </c>
      <c r="L50" s="2992" t="s">
        <v>1814</v>
      </c>
      <c r="M50" s="2991">
        <v>3</v>
      </c>
      <c r="N50" s="2047"/>
      <c r="O50" s="3053"/>
      <c r="P50" s="2942"/>
      <c r="Q50" s="3078">
        <f>SUM(V50:V52)/R13</f>
        <v>1.7906158802071328E-2</v>
      </c>
      <c r="R50" s="3048"/>
      <c r="S50" s="2945"/>
      <c r="T50" s="2945"/>
      <c r="U50" s="3029" t="s">
        <v>1815</v>
      </c>
      <c r="V50" s="2054">
        <v>44402266</v>
      </c>
      <c r="W50" s="2049">
        <v>20</v>
      </c>
      <c r="X50" s="2050" t="s">
        <v>61</v>
      </c>
      <c r="Y50" s="3113"/>
      <c r="Z50" s="3116"/>
      <c r="AA50" s="3091"/>
      <c r="AB50" s="3091"/>
      <c r="AC50" s="3091"/>
      <c r="AD50" s="3091"/>
      <c r="AE50" s="3091"/>
      <c r="AF50" s="3091"/>
      <c r="AG50" s="3088"/>
      <c r="AH50" s="3091"/>
      <c r="AI50" s="3091"/>
      <c r="AJ50" s="3091"/>
      <c r="AK50" s="3091"/>
      <c r="AL50" s="3091"/>
      <c r="AM50" s="3091"/>
      <c r="AN50" s="3087"/>
      <c r="AO50" s="3097"/>
      <c r="AP50" s="3097"/>
      <c r="AQ50" s="3084"/>
    </row>
    <row r="51" spans="1:43" s="404" customFormat="1" ht="30" customHeight="1" x14ac:dyDescent="0.2">
      <c r="A51" s="3100"/>
      <c r="B51" s="3104"/>
      <c r="C51" s="3105"/>
      <c r="D51" s="2841"/>
      <c r="E51" s="2841"/>
      <c r="F51" s="2841"/>
      <c r="G51" s="412"/>
      <c r="H51" s="2035"/>
      <c r="I51" s="2036"/>
      <c r="J51" s="3039"/>
      <c r="K51" s="2947"/>
      <c r="L51" s="2992"/>
      <c r="M51" s="2991"/>
      <c r="N51" s="2047"/>
      <c r="O51" s="3053"/>
      <c r="P51" s="2942"/>
      <c r="Q51" s="3078"/>
      <c r="R51" s="3048"/>
      <c r="S51" s="2945"/>
      <c r="T51" s="2945"/>
      <c r="U51" s="3030"/>
      <c r="V51" s="2054">
        <f>0+75000000</f>
        <v>75000000</v>
      </c>
      <c r="W51" s="2049">
        <v>92</v>
      </c>
      <c r="X51" s="2050" t="s">
        <v>1782</v>
      </c>
      <c r="Y51" s="3113"/>
      <c r="Z51" s="3116"/>
      <c r="AA51" s="3091"/>
      <c r="AB51" s="3091"/>
      <c r="AC51" s="3091"/>
      <c r="AD51" s="3091"/>
      <c r="AE51" s="3091"/>
      <c r="AF51" s="3091"/>
      <c r="AG51" s="3088"/>
      <c r="AH51" s="3091"/>
      <c r="AI51" s="3091"/>
      <c r="AJ51" s="3091"/>
      <c r="AK51" s="3091"/>
      <c r="AL51" s="3091"/>
      <c r="AM51" s="3091"/>
      <c r="AN51" s="3087"/>
      <c r="AO51" s="3097"/>
      <c r="AP51" s="3097"/>
      <c r="AQ51" s="3084"/>
    </row>
    <row r="52" spans="1:43" s="404" customFormat="1" ht="79.5" customHeight="1" x14ac:dyDescent="0.2">
      <c r="A52" s="3100"/>
      <c r="B52" s="3104"/>
      <c r="C52" s="3105"/>
      <c r="D52" s="2841"/>
      <c r="E52" s="2841"/>
      <c r="F52" s="2841"/>
      <c r="G52" s="412"/>
      <c r="H52" s="2055"/>
      <c r="I52" s="2056"/>
      <c r="J52" s="3039"/>
      <c r="K52" s="2947"/>
      <c r="L52" s="2992"/>
      <c r="M52" s="2991"/>
      <c r="N52" s="2047"/>
      <c r="O52" s="3053"/>
      <c r="P52" s="2942"/>
      <c r="Q52" s="3078"/>
      <c r="R52" s="3049"/>
      <c r="S52" s="2945"/>
      <c r="T52" s="2945"/>
      <c r="U52" s="1981" t="s">
        <v>1816</v>
      </c>
      <c r="V52" s="2054">
        <v>0</v>
      </c>
      <c r="W52" s="2049">
        <v>20</v>
      </c>
      <c r="X52" s="2050" t="s">
        <v>61</v>
      </c>
      <c r="Y52" s="3114"/>
      <c r="Z52" s="3117"/>
      <c r="AA52" s="3091"/>
      <c r="AB52" s="3091"/>
      <c r="AC52" s="3091"/>
      <c r="AD52" s="3091"/>
      <c r="AE52" s="3091"/>
      <c r="AF52" s="3091"/>
      <c r="AG52" s="3089"/>
      <c r="AH52" s="3091"/>
      <c r="AI52" s="3091"/>
      <c r="AJ52" s="3091"/>
      <c r="AK52" s="3091"/>
      <c r="AL52" s="3091"/>
      <c r="AM52" s="3091"/>
      <c r="AN52" s="3095"/>
      <c r="AO52" s="3098"/>
      <c r="AP52" s="3098"/>
      <c r="AQ52" s="3084"/>
    </row>
    <row r="53" spans="1:43" s="412" customFormat="1" ht="21" customHeight="1" x14ac:dyDescent="0.2">
      <c r="A53" s="3100"/>
      <c r="B53" s="3104"/>
      <c r="C53" s="3105"/>
      <c r="D53" s="2841"/>
      <c r="E53" s="2841"/>
      <c r="F53" s="2841"/>
      <c r="G53" s="2019">
        <v>76</v>
      </c>
      <c r="H53" s="864" t="s">
        <v>1817</v>
      </c>
      <c r="I53" s="864"/>
      <c r="J53" s="892"/>
      <c r="K53" s="2057"/>
      <c r="L53" s="2058"/>
      <c r="M53" s="931"/>
      <c r="N53" s="926"/>
      <c r="O53" s="927"/>
      <c r="P53" s="866"/>
      <c r="Q53" s="2059"/>
      <c r="R53" s="2060"/>
      <c r="S53" s="2057"/>
      <c r="T53" s="2057"/>
      <c r="U53" s="2057"/>
      <c r="V53" s="2061"/>
      <c r="W53" s="2062"/>
      <c r="X53" s="2063"/>
      <c r="Y53" s="864"/>
      <c r="Z53" s="864"/>
      <c r="AA53" s="864"/>
      <c r="AB53" s="864"/>
      <c r="AC53" s="864"/>
      <c r="AD53" s="864"/>
      <c r="AE53" s="864"/>
      <c r="AF53" s="864"/>
      <c r="AG53" s="864"/>
      <c r="AH53" s="864"/>
      <c r="AI53" s="864"/>
      <c r="AJ53" s="864"/>
      <c r="AK53" s="871"/>
      <c r="AL53" s="871"/>
      <c r="AM53" s="871"/>
      <c r="AN53" s="871"/>
      <c r="AO53" s="871"/>
      <c r="AP53" s="871"/>
      <c r="AQ53" s="871"/>
    </row>
    <row r="54" spans="1:43" s="404" customFormat="1" ht="32.25" customHeight="1" x14ac:dyDescent="0.2">
      <c r="A54" s="3100"/>
      <c r="B54" s="3104"/>
      <c r="C54" s="3105"/>
      <c r="D54" s="2841"/>
      <c r="E54" s="2841"/>
      <c r="F54" s="2841"/>
      <c r="G54" s="412"/>
      <c r="H54" s="2030"/>
      <c r="I54" s="2031"/>
      <c r="J54" s="3059">
        <v>219</v>
      </c>
      <c r="K54" s="2949" t="s">
        <v>1818</v>
      </c>
      <c r="L54" s="2949" t="s">
        <v>1819</v>
      </c>
      <c r="M54" s="3062">
        <v>11</v>
      </c>
      <c r="N54" s="2064"/>
      <c r="O54" s="3037" t="s">
        <v>1820</v>
      </c>
      <c r="P54" s="3038" t="s">
        <v>1821</v>
      </c>
      <c r="Q54" s="3078">
        <f>SUM(V54:V60)/R54</f>
        <v>0.48485153703513656</v>
      </c>
      <c r="R54" s="3047">
        <f>SUM(V54:V68)</f>
        <v>718838837</v>
      </c>
      <c r="S54" s="2945" t="s">
        <v>1822</v>
      </c>
      <c r="T54" s="2958" t="s">
        <v>1823</v>
      </c>
      <c r="U54" s="2962" t="s">
        <v>1824</v>
      </c>
      <c r="V54" s="2054">
        <v>53000000</v>
      </c>
      <c r="W54" s="2065" t="s">
        <v>1825</v>
      </c>
      <c r="X54" s="2066" t="s">
        <v>1826</v>
      </c>
      <c r="Y54" s="3079">
        <v>7650</v>
      </c>
      <c r="Z54" s="3056">
        <v>7350</v>
      </c>
      <c r="AA54" s="3075">
        <v>4564</v>
      </c>
      <c r="AB54" s="3075">
        <v>3365</v>
      </c>
      <c r="AC54" s="3075">
        <v>1921</v>
      </c>
      <c r="AD54" s="3075">
        <v>5150</v>
      </c>
      <c r="AE54" s="3065"/>
      <c r="AF54" s="3065"/>
      <c r="AG54" s="3065"/>
      <c r="AH54" s="3065"/>
      <c r="AI54" s="3065"/>
      <c r="AJ54" s="3065"/>
      <c r="AK54" s="3065"/>
      <c r="AL54" s="3065"/>
      <c r="AM54" s="3065"/>
      <c r="AN54" s="3069">
        <f>+Y54+Z54</f>
        <v>15000</v>
      </c>
      <c r="AO54" s="2910">
        <v>43480</v>
      </c>
      <c r="AP54" s="2910">
        <v>43600</v>
      </c>
      <c r="AQ54" s="3071" t="s">
        <v>1827</v>
      </c>
    </row>
    <row r="55" spans="1:43" s="404" customFormat="1" ht="32.25" customHeight="1" x14ac:dyDescent="0.2">
      <c r="A55" s="3100"/>
      <c r="B55" s="3104"/>
      <c r="C55" s="3105"/>
      <c r="D55" s="2841"/>
      <c r="E55" s="2841"/>
      <c r="F55" s="2841"/>
      <c r="G55" s="412"/>
      <c r="H55" s="2035"/>
      <c r="I55" s="2036"/>
      <c r="J55" s="3060"/>
      <c r="K55" s="2950"/>
      <c r="L55" s="2950"/>
      <c r="M55" s="3063"/>
      <c r="N55" s="2064"/>
      <c r="O55" s="2934"/>
      <c r="P55" s="2942"/>
      <c r="Q55" s="3078"/>
      <c r="R55" s="3048"/>
      <c r="S55" s="2945"/>
      <c r="T55" s="2958"/>
      <c r="U55" s="2963"/>
      <c r="V55" s="2054">
        <f>0+130657749</f>
        <v>130657749</v>
      </c>
      <c r="W55" s="2067">
        <v>92</v>
      </c>
      <c r="X55" s="2068" t="s">
        <v>1782</v>
      </c>
      <c r="Y55" s="3080"/>
      <c r="Z55" s="3057"/>
      <c r="AA55" s="3076"/>
      <c r="AB55" s="3076"/>
      <c r="AC55" s="3076"/>
      <c r="AD55" s="3076"/>
      <c r="AE55" s="3066"/>
      <c r="AF55" s="3066"/>
      <c r="AG55" s="3066"/>
      <c r="AH55" s="3066"/>
      <c r="AI55" s="3066"/>
      <c r="AJ55" s="3066"/>
      <c r="AK55" s="3066"/>
      <c r="AL55" s="3066"/>
      <c r="AM55" s="3066"/>
      <c r="AN55" s="3069"/>
      <c r="AO55" s="2911"/>
      <c r="AP55" s="2911"/>
      <c r="AQ55" s="3072"/>
    </row>
    <row r="56" spans="1:43" s="404" customFormat="1" ht="33" customHeight="1" x14ac:dyDescent="0.2">
      <c r="A56" s="3100"/>
      <c r="B56" s="3104"/>
      <c r="C56" s="3105"/>
      <c r="D56" s="2841"/>
      <c r="E56" s="2841"/>
      <c r="F56" s="2841"/>
      <c r="G56" s="412"/>
      <c r="H56" s="2035"/>
      <c r="I56" s="2036"/>
      <c r="J56" s="3060"/>
      <c r="K56" s="2950"/>
      <c r="L56" s="2950"/>
      <c r="M56" s="3063"/>
      <c r="N56" s="2064"/>
      <c r="O56" s="2934"/>
      <c r="P56" s="2942"/>
      <c r="Q56" s="3078"/>
      <c r="R56" s="3048"/>
      <c r="S56" s="2945"/>
      <c r="T56" s="2958"/>
      <c r="U56" s="2962" t="s">
        <v>1828</v>
      </c>
      <c r="V56" s="2054">
        <v>23500000</v>
      </c>
      <c r="W56" s="2067">
        <v>20</v>
      </c>
      <c r="X56" s="2068" t="s">
        <v>1826</v>
      </c>
      <c r="Y56" s="3080"/>
      <c r="Z56" s="3057"/>
      <c r="AA56" s="3076"/>
      <c r="AB56" s="3076"/>
      <c r="AC56" s="3076"/>
      <c r="AD56" s="3076"/>
      <c r="AE56" s="3066"/>
      <c r="AF56" s="3066"/>
      <c r="AG56" s="3066"/>
      <c r="AH56" s="3066"/>
      <c r="AI56" s="3066"/>
      <c r="AJ56" s="3066"/>
      <c r="AK56" s="3066"/>
      <c r="AL56" s="3066"/>
      <c r="AM56" s="3066"/>
      <c r="AN56" s="3069"/>
      <c r="AO56" s="2911"/>
      <c r="AP56" s="2911"/>
      <c r="AQ56" s="3072"/>
    </row>
    <row r="57" spans="1:43" s="404" customFormat="1" ht="33" customHeight="1" x14ac:dyDescent="0.2">
      <c r="A57" s="3100"/>
      <c r="B57" s="3104"/>
      <c r="C57" s="3105"/>
      <c r="D57" s="2841"/>
      <c r="E57" s="2841"/>
      <c r="F57" s="2841"/>
      <c r="G57" s="412"/>
      <c r="H57" s="2035"/>
      <c r="I57" s="2036"/>
      <c r="J57" s="3060"/>
      <c r="K57" s="2950"/>
      <c r="L57" s="2950"/>
      <c r="M57" s="3063"/>
      <c r="N57" s="2064"/>
      <c r="O57" s="2934"/>
      <c r="P57" s="2942"/>
      <c r="Q57" s="3078"/>
      <c r="R57" s="3048"/>
      <c r="S57" s="2945"/>
      <c r="T57" s="2958"/>
      <c r="U57" s="2963"/>
      <c r="V57" s="2054">
        <f>0+55000000</f>
        <v>55000000</v>
      </c>
      <c r="W57" s="2067">
        <v>92</v>
      </c>
      <c r="X57" s="2068" t="s">
        <v>1782</v>
      </c>
      <c r="Y57" s="3080"/>
      <c r="Z57" s="3057"/>
      <c r="AA57" s="3076"/>
      <c r="AB57" s="3076"/>
      <c r="AC57" s="3076"/>
      <c r="AD57" s="3076"/>
      <c r="AE57" s="3066"/>
      <c r="AF57" s="3066"/>
      <c r="AG57" s="3066"/>
      <c r="AH57" s="3066"/>
      <c r="AI57" s="3066"/>
      <c r="AJ57" s="3066"/>
      <c r="AK57" s="3066"/>
      <c r="AL57" s="3066"/>
      <c r="AM57" s="3066"/>
      <c r="AN57" s="3069"/>
      <c r="AO57" s="2911"/>
      <c r="AP57" s="2911"/>
      <c r="AQ57" s="3072"/>
    </row>
    <row r="58" spans="1:43" s="404" customFormat="1" ht="36.75" customHeight="1" x14ac:dyDescent="0.2">
      <c r="A58" s="3100"/>
      <c r="B58" s="3104"/>
      <c r="C58" s="3105"/>
      <c r="D58" s="2841"/>
      <c r="E58" s="2841"/>
      <c r="F58" s="2841"/>
      <c r="G58" s="412"/>
      <c r="H58" s="2035"/>
      <c r="I58" s="2036"/>
      <c r="J58" s="3060"/>
      <c r="K58" s="2950"/>
      <c r="L58" s="2950"/>
      <c r="M58" s="3063"/>
      <c r="N58" s="2064"/>
      <c r="O58" s="2934"/>
      <c r="P58" s="2942"/>
      <c r="Q58" s="3078"/>
      <c r="R58" s="3048"/>
      <c r="S58" s="2945"/>
      <c r="T58" s="2958"/>
      <c r="U58" s="2962" t="s">
        <v>1829</v>
      </c>
      <c r="V58" s="2054">
        <v>23500000</v>
      </c>
      <c r="W58" s="2067">
        <v>20</v>
      </c>
      <c r="X58" s="2068" t="s">
        <v>1826</v>
      </c>
      <c r="Y58" s="3080"/>
      <c r="Z58" s="3057"/>
      <c r="AA58" s="3076"/>
      <c r="AB58" s="3076"/>
      <c r="AC58" s="3076"/>
      <c r="AD58" s="3076"/>
      <c r="AE58" s="3066"/>
      <c r="AF58" s="3066"/>
      <c r="AG58" s="3066"/>
      <c r="AH58" s="3066"/>
      <c r="AI58" s="3066"/>
      <c r="AJ58" s="3066"/>
      <c r="AK58" s="3066"/>
      <c r="AL58" s="3066"/>
      <c r="AM58" s="3066"/>
      <c r="AN58" s="3069"/>
      <c r="AO58" s="2911"/>
      <c r="AP58" s="2911"/>
      <c r="AQ58" s="3072"/>
    </row>
    <row r="59" spans="1:43" s="404" customFormat="1" ht="29.25" customHeight="1" x14ac:dyDescent="0.2">
      <c r="A59" s="3100"/>
      <c r="B59" s="3104"/>
      <c r="C59" s="3105"/>
      <c r="D59" s="2841"/>
      <c r="E59" s="2841"/>
      <c r="F59" s="2841"/>
      <c r="G59" s="412"/>
      <c r="H59" s="2035"/>
      <c r="I59" s="2036"/>
      <c r="J59" s="3060"/>
      <c r="K59" s="2950"/>
      <c r="L59" s="2950"/>
      <c r="M59" s="3063"/>
      <c r="N59" s="2064"/>
      <c r="O59" s="2934"/>
      <c r="P59" s="2942"/>
      <c r="Q59" s="3078"/>
      <c r="R59" s="3048"/>
      <c r="S59" s="2945"/>
      <c r="T59" s="2958"/>
      <c r="U59" s="2963"/>
      <c r="V59" s="2054">
        <f>0+62872366</f>
        <v>62872366</v>
      </c>
      <c r="W59" s="2067">
        <v>92</v>
      </c>
      <c r="X59" s="2068" t="s">
        <v>1782</v>
      </c>
      <c r="Y59" s="3080"/>
      <c r="Z59" s="3057"/>
      <c r="AA59" s="3076"/>
      <c r="AB59" s="3076"/>
      <c r="AC59" s="3076"/>
      <c r="AD59" s="3076"/>
      <c r="AE59" s="3066"/>
      <c r="AF59" s="3066"/>
      <c r="AG59" s="3066"/>
      <c r="AH59" s="3066"/>
      <c r="AI59" s="3066"/>
      <c r="AJ59" s="3066"/>
      <c r="AK59" s="3066"/>
      <c r="AL59" s="3066"/>
      <c r="AM59" s="3066"/>
      <c r="AN59" s="3069"/>
      <c r="AO59" s="2911"/>
      <c r="AP59" s="2911"/>
      <c r="AQ59" s="3072"/>
    </row>
    <row r="60" spans="1:43" s="404" customFormat="1" ht="33.75" customHeight="1" x14ac:dyDescent="0.2">
      <c r="A60" s="3100"/>
      <c r="B60" s="3104"/>
      <c r="C60" s="3105"/>
      <c r="D60" s="2841"/>
      <c r="E60" s="2841"/>
      <c r="F60" s="2841"/>
      <c r="G60" s="412"/>
      <c r="H60" s="2035"/>
      <c r="I60" s="2036"/>
      <c r="J60" s="3061"/>
      <c r="K60" s="2951"/>
      <c r="L60" s="2951"/>
      <c r="M60" s="3064"/>
      <c r="N60" s="2064"/>
      <c r="O60" s="2934"/>
      <c r="P60" s="2942"/>
      <c r="Q60" s="3078"/>
      <c r="R60" s="3048"/>
      <c r="S60" s="2945"/>
      <c r="T60" s="2958"/>
      <c r="U60" s="1791" t="s">
        <v>1830</v>
      </c>
      <c r="V60" s="2054">
        <v>0</v>
      </c>
      <c r="W60" s="2067">
        <v>20</v>
      </c>
      <c r="X60" s="2068" t="s">
        <v>1826</v>
      </c>
      <c r="Y60" s="3080"/>
      <c r="Z60" s="3057"/>
      <c r="AA60" s="3076"/>
      <c r="AB60" s="3076"/>
      <c r="AC60" s="3076"/>
      <c r="AD60" s="3076"/>
      <c r="AE60" s="3066"/>
      <c r="AF60" s="3066"/>
      <c r="AG60" s="3066"/>
      <c r="AH60" s="3066"/>
      <c r="AI60" s="3066"/>
      <c r="AJ60" s="3066"/>
      <c r="AK60" s="3066"/>
      <c r="AL60" s="3066"/>
      <c r="AM60" s="3066"/>
      <c r="AN60" s="3069"/>
      <c r="AO60" s="2911"/>
      <c r="AP60" s="2911"/>
      <c r="AQ60" s="3072"/>
    </row>
    <row r="61" spans="1:43" s="404" customFormat="1" ht="39" customHeight="1" x14ac:dyDescent="0.2">
      <c r="A61" s="3100"/>
      <c r="B61" s="3104"/>
      <c r="C61" s="3105"/>
      <c r="D61" s="2841"/>
      <c r="E61" s="2841"/>
      <c r="F61" s="2841"/>
      <c r="G61" s="412"/>
      <c r="H61" s="2035"/>
      <c r="I61" s="2036"/>
      <c r="J61" s="3032">
        <v>220</v>
      </c>
      <c r="K61" s="2947" t="s">
        <v>1831</v>
      </c>
      <c r="L61" s="2947" t="s">
        <v>1832</v>
      </c>
      <c r="M61" s="3040">
        <v>12</v>
      </c>
      <c r="N61" s="2064" t="s">
        <v>1833</v>
      </c>
      <c r="O61" s="2934"/>
      <c r="P61" s="2942"/>
      <c r="Q61" s="3078">
        <f>SUM(V61:V67)/R54</f>
        <v>0.50123713891657751</v>
      </c>
      <c r="R61" s="3048"/>
      <c r="S61" s="2945"/>
      <c r="T61" s="2945"/>
      <c r="U61" s="3010" t="s">
        <v>1834</v>
      </c>
      <c r="V61" s="2054">
        <v>24252500</v>
      </c>
      <c r="W61" s="2067">
        <v>20</v>
      </c>
      <c r="X61" s="2068" t="s">
        <v>1826</v>
      </c>
      <c r="Y61" s="3080"/>
      <c r="Z61" s="3057"/>
      <c r="AA61" s="3076"/>
      <c r="AB61" s="3076"/>
      <c r="AC61" s="3076"/>
      <c r="AD61" s="3076"/>
      <c r="AE61" s="3067"/>
      <c r="AF61" s="3067"/>
      <c r="AG61" s="3067"/>
      <c r="AH61" s="3067"/>
      <c r="AI61" s="3067"/>
      <c r="AJ61" s="3067"/>
      <c r="AK61" s="3067"/>
      <c r="AL61" s="3067"/>
      <c r="AM61" s="3067"/>
      <c r="AN61" s="3070"/>
      <c r="AO61" s="2911"/>
      <c r="AP61" s="2911"/>
      <c r="AQ61" s="3073"/>
    </row>
    <row r="62" spans="1:43" s="404" customFormat="1" ht="22.5" customHeight="1" x14ac:dyDescent="0.2">
      <c r="A62" s="3100"/>
      <c r="B62" s="3104"/>
      <c r="C62" s="3105"/>
      <c r="D62" s="2841"/>
      <c r="E62" s="2841"/>
      <c r="F62" s="2841"/>
      <c r="G62" s="412"/>
      <c r="H62" s="2035"/>
      <c r="I62" s="2036"/>
      <c r="J62" s="3032"/>
      <c r="K62" s="2947"/>
      <c r="L62" s="2947"/>
      <c r="M62" s="3040"/>
      <c r="N62" s="2064" t="s">
        <v>1835</v>
      </c>
      <c r="O62" s="2934"/>
      <c r="P62" s="2942"/>
      <c r="Q62" s="3078"/>
      <c r="R62" s="3048"/>
      <c r="S62" s="2945"/>
      <c r="T62" s="2945"/>
      <c r="U62" s="3009"/>
      <c r="V62" s="2054">
        <f>0+130940708</f>
        <v>130940708</v>
      </c>
      <c r="W62" s="2067">
        <v>92</v>
      </c>
      <c r="X62" s="2068" t="s">
        <v>1782</v>
      </c>
      <c r="Y62" s="3080"/>
      <c r="Z62" s="3057"/>
      <c r="AA62" s="3076"/>
      <c r="AB62" s="3076"/>
      <c r="AC62" s="3076"/>
      <c r="AD62" s="3076"/>
      <c r="AE62" s="3067"/>
      <c r="AF62" s="3067"/>
      <c r="AG62" s="3067"/>
      <c r="AH62" s="3067"/>
      <c r="AI62" s="3067"/>
      <c r="AJ62" s="3067"/>
      <c r="AK62" s="3067"/>
      <c r="AL62" s="3067"/>
      <c r="AM62" s="3067"/>
      <c r="AN62" s="3070"/>
      <c r="AO62" s="2911"/>
      <c r="AP62" s="2911"/>
      <c r="AQ62" s="3073"/>
    </row>
    <row r="63" spans="1:43" s="404" customFormat="1" ht="64.5" customHeight="1" x14ac:dyDescent="0.2">
      <c r="A63" s="3100"/>
      <c r="B63" s="3104"/>
      <c r="C63" s="3105"/>
      <c r="D63" s="2841"/>
      <c r="E63" s="2841"/>
      <c r="F63" s="2841"/>
      <c r="G63" s="412"/>
      <c r="H63" s="2035"/>
      <c r="I63" s="2036"/>
      <c r="J63" s="3032"/>
      <c r="K63" s="2947"/>
      <c r="L63" s="2947"/>
      <c r="M63" s="3040"/>
      <c r="N63" s="2064"/>
      <c r="O63" s="2934"/>
      <c r="P63" s="2942"/>
      <c r="Q63" s="3078"/>
      <c r="R63" s="3048"/>
      <c r="S63" s="2945"/>
      <c r="T63" s="2945"/>
      <c r="U63" s="2069" t="s">
        <v>1836</v>
      </c>
      <c r="V63" s="2054">
        <f>0+30812000</f>
        <v>30812000</v>
      </c>
      <c r="W63" s="2067">
        <v>92</v>
      </c>
      <c r="X63" s="2068" t="s">
        <v>1782</v>
      </c>
      <c r="Y63" s="3080"/>
      <c r="Z63" s="3057"/>
      <c r="AA63" s="3076"/>
      <c r="AB63" s="3076"/>
      <c r="AC63" s="3076"/>
      <c r="AD63" s="3076"/>
      <c r="AE63" s="3067"/>
      <c r="AF63" s="3067"/>
      <c r="AG63" s="3067"/>
      <c r="AH63" s="3067"/>
      <c r="AI63" s="3067"/>
      <c r="AJ63" s="3067"/>
      <c r="AK63" s="3067"/>
      <c r="AL63" s="3067"/>
      <c r="AM63" s="3067"/>
      <c r="AN63" s="3070"/>
      <c r="AO63" s="2911"/>
      <c r="AP63" s="2911"/>
      <c r="AQ63" s="3073"/>
    </row>
    <row r="64" spans="1:43" s="404" customFormat="1" ht="34.5" customHeight="1" x14ac:dyDescent="0.2">
      <c r="A64" s="3100"/>
      <c r="B64" s="3104"/>
      <c r="C64" s="3105"/>
      <c r="D64" s="2841"/>
      <c r="E64" s="2841"/>
      <c r="F64" s="2841"/>
      <c r="G64" s="412"/>
      <c r="H64" s="2035"/>
      <c r="I64" s="2036"/>
      <c r="J64" s="3032"/>
      <c r="K64" s="2947"/>
      <c r="L64" s="2947"/>
      <c r="M64" s="3040"/>
      <c r="N64" s="1042"/>
      <c r="O64" s="2934"/>
      <c r="P64" s="2942"/>
      <c r="Q64" s="3078"/>
      <c r="R64" s="3048"/>
      <c r="S64" s="2945"/>
      <c r="T64" s="2945"/>
      <c r="U64" s="3010" t="s">
        <v>1828</v>
      </c>
      <c r="V64" s="2054">
        <v>26290000</v>
      </c>
      <c r="W64" s="2067">
        <v>20</v>
      </c>
      <c r="X64" s="2068" t="s">
        <v>1826</v>
      </c>
      <c r="Y64" s="3080"/>
      <c r="Z64" s="3057"/>
      <c r="AA64" s="3076"/>
      <c r="AB64" s="3076"/>
      <c r="AC64" s="3076"/>
      <c r="AD64" s="3076"/>
      <c r="AE64" s="3067"/>
      <c r="AF64" s="3067"/>
      <c r="AG64" s="3067"/>
      <c r="AH64" s="3067"/>
      <c r="AI64" s="3067"/>
      <c r="AJ64" s="3067"/>
      <c r="AK64" s="3067"/>
      <c r="AL64" s="3067"/>
      <c r="AM64" s="3067"/>
      <c r="AN64" s="3070"/>
      <c r="AO64" s="2911"/>
      <c r="AP64" s="2911"/>
      <c r="AQ64" s="3073"/>
    </row>
    <row r="65" spans="1:43" s="404" customFormat="1" ht="30.75" customHeight="1" x14ac:dyDescent="0.2">
      <c r="A65" s="3100"/>
      <c r="B65" s="3104"/>
      <c r="C65" s="3105"/>
      <c r="D65" s="2841"/>
      <c r="E65" s="2841"/>
      <c r="F65" s="2841"/>
      <c r="G65" s="412"/>
      <c r="H65" s="2035"/>
      <c r="I65" s="2036"/>
      <c r="J65" s="3032"/>
      <c r="K65" s="2947"/>
      <c r="L65" s="2947"/>
      <c r="M65" s="3040"/>
      <c r="N65" s="1042"/>
      <c r="O65" s="2934"/>
      <c r="P65" s="2942"/>
      <c r="Q65" s="3078"/>
      <c r="R65" s="3048"/>
      <c r="S65" s="2945"/>
      <c r="T65" s="2945"/>
      <c r="U65" s="3009"/>
      <c r="V65" s="2054">
        <f>0+36044666</f>
        <v>36044666</v>
      </c>
      <c r="W65" s="2067">
        <v>92</v>
      </c>
      <c r="X65" s="2068" t="s">
        <v>1782</v>
      </c>
      <c r="Y65" s="3080"/>
      <c r="Z65" s="3057"/>
      <c r="AA65" s="3076"/>
      <c r="AB65" s="3076"/>
      <c r="AC65" s="3076"/>
      <c r="AD65" s="3076"/>
      <c r="AE65" s="3067"/>
      <c r="AF65" s="3067"/>
      <c r="AG65" s="3067"/>
      <c r="AH65" s="3067"/>
      <c r="AI65" s="3067"/>
      <c r="AJ65" s="3067"/>
      <c r="AK65" s="3067"/>
      <c r="AL65" s="3067"/>
      <c r="AM65" s="3067"/>
      <c r="AN65" s="3070"/>
      <c r="AO65" s="2911"/>
      <c r="AP65" s="2911"/>
      <c r="AQ65" s="3073"/>
    </row>
    <row r="66" spans="1:43" s="404" customFormat="1" ht="30.75" customHeight="1" x14ac:dyDescent="0.2">
      <c r="A66" s="3100"/>
      <c r="B66" s="3104"/>
      <c r="C66" s="3105"/>
      <c r="D66" s="2841"/>
      <c r="E66" s="2841"/>
      <c r="F66" s="2841"/>
      <c r="G66" s="412"/>
      <c r="H66" s="2035"/>
      <c r="I66" s="2036"/>
      <c r="J66" s="3032"/>
      <c r="K66" s="2947"/>
      <c r="L66" s="2947"/>
      <c r="M66" s="3040"/>
      <c r="N66" s="2064"/>
      <c r="O66" s="2934"/>
      <c r="P66" s="2942"/>
      <c r="Q66" s="3078"/>
      <c r="R66" s="3048"/>
      <c r="S66" s="2945"/>
      <c r="T66" s="2945"/>
      <c r="U66" s="3010" t="s">
        <v>1829</v>
      </c>
      <c r="V66" s="2070">
        <v>28327500</v>
      </c>
      <c r="W66" s="2065">
        <v>20</v>
      </c>
      <c r="X66" s="2066" t="s">
        <v>1826</v>
      </c>
      <c r="Y66" s="3080"/>
      <c r="Z66" s="3057"/>
      <c r="AA66" s="3076"/>
      <c r="AB66" s="3076"/>
      <c r="AC66" s="3076"/>
      <c r="AD66" s="3076"/>
      <c r="AE66" s="3067"/>
      <c r="AF66" s="3067"/>
      <c r="AG66" s="3067"/>
      <c r="AH66" s="3067"/>
      <c r="AI66" s="3067"/>
      <c r="AJ66" s="3067"/>
      <c r="AK66" s="3067"/>
      <c r="AL66" s="3067"/>
      <c r="AM66" s="3067"/>
      <c r="AN66" s="3070"/>
      <c r="AO66" s="2911"/>
      <c r="AP66" s="2911"/>
      <c r="AQ66" s="3073"/>
    </row>
    <row r="67" spans="1:43" s="404" customFormat="1" ht="30.75" customHeight="1" x14ac:dyDescent="0.2">
      <c r="A67" s="3100"/>
      <c r="B67" s="3104"/>
      <c r="C67" s="3105"/>
      <c r="D67" s="2841"/>
      <c r="E67" s="2841"/>
      <c r="F67" s="2841"/>
      <c r="G67" s="412"/>
      <c r="H67" s="2035"/>
      <c r="I67" s="2036"/>
      <c r="J67" s="3032"/>
      <c r="K67" s="2947"/>
      <c r="L67" s="2947"/>
      <c r="M67" s="3040"/>
      <c r="N67" s="2064"/>
      <c r="O67" s="2934"/>
      <c r="P67" s="2942"/>
      <c r="Q67" s="3078"/>
      <c r="R67" s="3048"/>
      <c r="S67" s="2945"/>
      <c r="T67" s="2945"/>
      <c r="U67" s="3011"/>
      <c r="V67" s="2071">
        <f>0+83641348</f>
        <v>83641348</v>
      </c>
      <c r="W67" s="2072">
        <v>92</v>
      </c>
      <c r="X67" s="2068" t="s">
        <v>1782</v>
      </c>
      <c r="Y67" s="3080"/>
      <c r="Z67" s="3057"/>
      <c r="AA67" s="3076"/>
      <c r="AB67" s="3076"/>
      <c r="AC67" s="3076"/>
      <c r="AD67" s="3076"/>
      <c r="AE67" s="3067"/>
      <c r="AF67" s="3067"/>
      <c r="AG67" s="3067"/>
      <c r="AH67" s="3067"/>
      <c r="AI67" s="3067"/>
      <c r="AJ67" s="3067"/>
      <c r="AK67" s="3067"/>
      <c r="AL67" s="3067"/>
      <c r="AM67" s="3067"/>
      <c r="AN67" s="3070"/>
      <c r="AO67" s="2911"/>
      <c r="AP67" s="2911"/>
      <c r="AQ67" s="3073"/>
    </row>
    <row r="68" spans="1:43" s="404" customFormat="1" ht="63" customHeight="1" x14ac:dyDescent="0.2">
      <c r="A68" s="3100"/>
      <c r="B68" s="3104"/>
      <c r="C68" s="3105"/>
      <c r="D68" s="2841"/>
      <c r="E68" s="2841"/>
      <c r="F68" s="2841"/>
      <c r="G68" s="412"/>
      <c r="H68" s="2055"/>
      <c r="I68" s="2056"/>
      <c r="J68" s="2073">
        <v>222</v>
      </c>
      <c r="K68" s="2038" t="s">
        <v>1837</v>
      </c>
      <c r="L68" s="2038" t="s">
        <v>1838</v>
      </c>
      <c r="M68" s="2074">
        <v>1</v>
      </c>
      <c r="N68" s="2064"/>
      <c r="O68" s="2935"/>
      <c r="P68" s="2942"/>
      <c r="Q68" s="2040">
        <f>+V68/R54</f>
        <v>1.3911324048285944E-2</v>
      </c>
      <c r="R68" s="3049"/>
      <c r="S68" s="2945"/>
      <c r="T68" s="2945"/>
      <c r="U68" s="2075" t="s">
        <v>1839</v>
      </c>
      <c r="V68" s="2048">
        <v>10000000</v>
      </c>
      <c r="W68" s="2076">
        <v>20</v>
      </c>
      <c r="X68" s="2077" t="s">
        <v>1826</v>
      </c>
      <c r="Y68" s="3081"/>
      <c r="Z68" s="3058"/>
      <c r="AA68" s="3077"/>
      <c r="AB68" s="3077"/>
      <c r="AC68" s="3077"/>
      <c r="AD68" s="3077"/>
      <c r="AE68" s="3068"/>
      <c r="AF68" s="3068"/>
      <c r="AG68" s="3068"/>
      <c r="AH68" s="3068"/>
      <c r="AI68" s="3068"/>
      <c r="AJ68" s="3068"/>
      <c r="AK68" s="3068"/>
      <c r="AL68" s="3068"/>
      <c r="AM68" s="3068"/>
      <c r="AN68" s="3070"/>
      <c r="AO68" s="2912"/>
      <c r="AP68" s="2912"/>
      <c r="AQ68" s="3074"/>
    </row>
    <row r="69" spans="1:43" s="412" customFormat="1" ht="15" customHeight="1" x14ac:dyDescent="0.2">
      <c r="A69" s="3100"/>
      <c r="B69" s="3104"/>
      <c r="C69" s="3105"/>
      <c r="D69" s="777">
        <v>24</v>
      </c>
      <c r="E69" s="778" t="s">
        <v>1840</v>
      </c>
      <c r="F69" s="778"/>
      <c r="G69" s="2007"/>
      <c r="H69" s="2007"/>
      <c r="I69" s="2007"/>
      <c r="J69" s="2078"/>
      <c r="K69" s="2079"/>
      <c r="L69" s="989"/>
      <c r="M69" s="988"/>
      <c r="N69" s="2011"/>
      <c r="O69" s="2008"/>
      <c r="P69" s="2010"/>
      <c r="Q69" s="2080"/>
      <c r="R69" s="2081"/>
      <c r="S69" s="2079"/>
      <c r="T69" s="2079"/>
      <c r="U69" s="2079"/>
      <c r="V69" s="2082"/>
      <c r="W69" s="2083"/>
      <c r="X69" s="2083"/>
      <c r="Y69" s="2015"/>
      <c r="Z69" s="2015"/>
      <c r="AA69" s="2015"/>
      <c r="AB69" s="2015"/>
      <c r="AC69" s="2015"/>
      <c r="AD69" s="2015"/>
      <c r="AE69" s="2015"/>
      <c r="AF69" s="2015"/>
      <c r="AG69" s="2015"/>
      <c r="AH69" s="2015"/>
      <c r="AI69" s="2015"/>
      <c r="AJ69" s="2015"/>
      <c r="AK69" s="2015"/>
      <c r="AL69" s="2017"/>
      <c r="AM69" s="2010"/>
      <c r="AN69" s="2010"/>
      <c r="AO69" s="2010"/>
      <c r="AP69" s="2010"/>
      <c r="AQ69" s="2018"/>
    </row>
    <row r="70" spans="1:43" s="412" customFormat="1" ht="15" customHeight="1" x14ac:dyDescent="0.2">
      <c r="A70" s="3100"/>
      <c r="B70" s="3104"/>
      <c r="C70" s="3105"/>
      <c r="D70" s="3020"/>
      <c r="E70" s="3020"/>
      <c r="F70" s="3020"/>
      <c r="G70" s="2019">
        <v>78</v>
      </c>
      <c r="H70" s="864" t="s">
        <v>1841</v>
      </c>
      <c r="I70" s="864"/>
      <c r="J70" s="2020"/>
      <c r="K70" s="2021"/>
      <c r="L70" s="2022"/>
      <c r="M70" s="921"/>
      <c r="N70" s="926"/>
      <c r="O70" s="927"/>
      <c r="P70" s="866"/>
      <c r="Q70" s="2084"/>
      <c r="R70" s="2085"/>
      <c r="S70" s="2021"/>
      <c r="T70" s="2021"/>
      <c r="U70" s="2021"/>
      <c r="V70" s="2086"/>
      <c r="W70" s="2026"/>
      <c r="X70" s="869"/>
      <c r="Y70" s="869"/>
      <c r="Z70" s="869"/>
      <c r="AA70" s="869"/>
      <c r="AB70" s="869"/>
      <c r="AC70" s="869"/>
      <c r="AD70" s="869"/>
      <c r="AE70" s="869"/>
      <c r="AF70" s="869"/>
      <c r="AG70" s="869"/>
      <c r="AH70" s="869"/>
      <c r="AI70" s="869"/>
      <c r="AJ70" s="869"/>
      <c r="AK70" s="869"/>
      <c r="AL70" s="869"/>
      <c r="AM70" s="869"/>
      <c r="AN70" s="869"/>
      <c r="AO70" s="869"/>
      <c r="AP70" s="869"/>
      <c r="AQ70" s="2087"/>
    </row>
    <row r="71" spans="1:43" s="404" customFormat="1" ht="66" customHeight="1" x14ac:dyDescent="0.25">
      <c r="A71" s="3100"/>
      <c r="B71" s="3104"/>
      <c r="C71" s="3105"/>
      <c r="D71" s="3020"/>
      <c r="E71" s="3020"/>
      <c r="F71" s="3020"/>
      <c r="G71" s="2088"/>
      <c r="H71" s="2089"/>
      <c r="I71" s="2090"/>
      <c r="J71" s="3032">
        <v>226</v>
      </c>
      <c r="K71" s="2992" t="s">
        <v>1842</v>
      </c>
      <c r="L71" s="2992" t="s">
        <v>1843</v>
      </c>
      <c r="M71" s="3042">
        <v>12</v>
      </c>
      <c r="N71" s="2966" t="s">
        <v>1844</v>
      </c>
      <c r="O71" s="3053" t="s">
        <v>1845</v>
      </c>
      <c r="P71" s="2942" t="s">
        <v>1846</v>
      </c>
      <c r="Q71" s="3041">
        <f>SUM(V71:V81)/R71</f>
        <v>0.56367432150313157</v>
      </c>
      <c r="R71" s="3047">
        <f>SUM(V71:V98)</f>
        <v>479000000</v>
      </c>
      <c r="S71" s="2945" t="s">
        <v>1847</v>
      </c>
      <c r="T71" s="2958" t="s">
        <v>1848</v>
      </c>
      <c r="U71" s="1791" t="s">
        <v>1849</v>
      </c>
      <c r="V71" s="2042">
        <f>17000000+10000000-27000000</f>
        <v>0</v>
      </c>
      <c r="W71" s="2052">
        <v>20</v>
      </c>
      <c r="X71" s="2091" t="s">
        <v>1850</v>
      </c>
      <c r="Y71" s="3033">
        <v>1199</v>
      </c>
      <c r="Z71" s="3033">
        <v>1151</v>
      </c>
      <c r="AA71" s="3033">
        <v>715</v>
      </c>
      <c r="AB71" s="3033">
        <v>527</v>
      </c>
      <c r="AC71" s="3033">
        <v>301</v>
      </c>
      <c r="AD71" s="3033">
        <v>807</v>
      </c>
      <c r="AE71" s="3033"/>
      <c r="AF71" s="3033"/>
      <c r="AG71" s="3033"/>
      <c r="AH71" s="3033"/>
      <c r="AI71" s="3033"/>
      <c r="AJ71" s="3033"/>
      <c r="AK71" s="3033">
        <v>2350</v>
      </c>
      <c r="AL71" s="3033"/>
      <c r="AM71" s="3033"/>
      <c r="AN71" s="2940">
        <f>+Y71+Z71</f>
        <v>2350</v>
      </c>
      <c r="AO71" s="2910">
        <v>43475</v>
      </c>
      <c r="AP71" s="2910">
        <v>43819</v>
      </c>
      <c r="AQ71" s="2913" t="s">
        <v>1827</v>
      </c>
    </row>
    <row r="72" spans="1:43" s="404" customFormat="1" ht="54" customHeight="1" x14ac:dyDescent="0.25">
      <c r="A72" s="3100"/>
      <c r="B72" s="3104"/>
      <c r="C72" s="3105"/>
      <c r="D72" s="3020"/>
      <c r="E72" s="3020"/>
      <c r="F72" s="3020"/>
      <c r="G72" s="2092"/>
      <c r="H72" s="2093"/>
      <c r="I72" s="2094"/>
      <c r="J72" s="3032"/>
      <c r="K72" s="2992"/>
      <c r="L72" s="2992"/>
      <c r="M72" s="3042"/>
      <c r="N72" s="2966"/>
      <c r="O72" s="3053"/>
      <c r="P72" s="2942"/>
      <c r="Q72" s="3041"/>
      <c r="R72" s="3048"/>
      <c r="S72" s="2945"/>
      <c r="T72" s="2958"/>
      <c r="U72" s="1791" t="s">
        <v>1851</v>
      </c>
      <c r="V72" s="1831">
        <f>10000000+2500000+1000000-7000000</f>
        <v>6500000</v>
      </c>
      <c r="W72" s="2033">
        <v>20</v>
      </c>
      <c r="X72" s="2095" t="s">
        <v>61</v>
      </c>
      <c r="Y72" s="3050"/>
      <c r="Z72" s="3034"/>
      <c r="AA72" s="3034"/>
      <c r="AB72" s="3034"/>
      <c r="AC72" s="3034"/>
      <c r="AD72" s="3034"/>
      <c r="AE72" s="3034"/>
      <c r="AF72" s="3034"/>
      <c r="AG72" s="3034"/>
      <c r="AH72" s="3034"/>
      <c r="AI72" s="3034"/>
      <c r="AJ72" s="3034"/>
      <c r="AK72" s="3034"/>
      <c r="AL72" s="3034"/>
      <c r="AM72" s="3034"/>
      <c r="AN72" s="2941"/>
      <c r="AO72" s="2911"/>
      <c r="AP72" s="2911"/>
      <c r="AQ72" s="2959"/>
    </row>
    <row r="73" spans="1:43" s="404" customFormat="1" ht="54.75" customHeight="1" x14ac:dyDescent="0.25">
      <c r="A73" s="3100"/>
      <c r="B73" s="3104"/>
      <c r="C73" s="3105"/>
      <c r="D73" s="3020"/>
      <c r="E73" s="3020"/>
      <c r="F73" s="3020"/>
      <c r="G73" s="2092"/>
      <c r="H73" s="2093"/>
      <c r="I73" s="2094"/>
      <c r="J73" s="3032"/>
      <c r="K73" s="2992"/>
      <c r="L73" s="2992"/>
      <c r="M73" s="3042"/>
      <c r="N73" s="2966"/>
      <c r="O73" s="3053"/>
      <c r="P73" s="2942"/>
      <c r="Q73" s="3041"/>
      <c r="R73" s="3048"/>
      <c r="S73" s="2945"/>
      <c r="T73" s="2958"/>
      <c r="U73" s="1791" t="s">
        <v>1852</v>
      </c>
      <c r="V73" s="1831">
        <f>0+17500000-12500000</f>
        <v>5000000</v>
      </c>
      <c r="W73" s="2033">
        <v>20</v>
      </c>
      <c r="X73" s="2095" t="s">
        <v>61</v>
      </c>
      <c r="Y73" s="3050"/>
      <c r="Z73" s="3034"/>
      <c r="AA73" s="3034"/>
      <c r="AB73" s="3034"/>
      <c r="AC73" s="3034"/>
      <c r="AD73" s="3034"/>
      <c r="AE73" s="3034"/>
      <c r="AF73" s="3034"/>
      <c r="AG73" s="3034"/>
      <c r="AH73" s="3034"/>
      <c r="AI73" s="3034"/>
      <c r="AJ73" s="3034"/>
      <c r="AK73" s="3034"/>
      <c r="AL73" s="3034"/>
      <c r="AM73" s="3034"/>
      <c r="AN73" s="2941"/>
      <c r="AO73" s="2911"/>
      <c r="AP73" s="2911"/>
      <c r="AQ73" s="2959"/>
    </row>
    <row r="74" spans="1:43" s="404" customFormat="1" ht="39" customHeight="1" x14ac:dyDescent="0.25">
      <c r="A74" s="3100"/>
      <c r="B74" s="3104"/>
      <c r="C74" s="3105"/>
      <c r="D74" s="3020"/>
      <c r="E74" s="3020"/>
      <c r="F74" s="3020"/>
      <c r="G74" s="2092"/>
      <c r="H74" s="2093"/>
      <c r="I74" s="2094"/>
      <c r="J74" s="3032"/>
      <c r="K74" s="2992"/>
      <c r="L74" s="2992"/>
      <c r="M74" s="3042"/>
      <c r="N74" s="2966"/>
      <c r="O74" s="3053"/>
      <c r="P74" s="2942"/>
      <c r="Q74" s="3041"/>
      <c r="R74" s="3048"/>
      <c r="S74" s="2945"/>
      <c r="T74" s="2958"/>
      <c r="U74" s="2962" t="s">
        <v>1853</v>
      </c>
      <c r="V74" s="1831">
        <f>0+43000000+7000000</f>
        <v>50000000</v>
      </c>
      <c r="W74" s="2033">
        <v>20</v>
      </c>
      <c r="X74" s="2095" t="s">
        <v>61</v>
      </c>
      <c r="Y74" s="3050"/>
      <c r="Z74" s="3034"/>
      <c r="AA74" s="3034"/>
      <c r="AB74" s="3034"/>
      <c r="AC74" s="3034"/>
      <c r="AD74" s="3034"/>
      <c r="AE74" s="3034"/>
      <c r="AF74" s="3034"/>
      <c r="AG74" s="3034"/>
      <c r="AH74" s="3034"/>
      <c r="AI74" s="3034"/>
      <c r="AJ74" s="3034"/>
      <c r="AK74" s="3034"/>
      <c r="AL74" s="3034"/>
      <c r="AM74" s="3034"/>
      <c r="AN74" s="2941"/>
      <c r="AO74" s="2911"/>
      <c r="AP74" s="2911"/>
      <c r="AQ74" s="2959"/>
    </row>
    <row r="75" spans="1:43" s="404" customFormat="1" ht="42" customHeight="1" x14ac:dyDescent="0.25">
      <c r="A75" s="3100"/>
      <c r="B75" s="3104"/>
      <c r="C75" s="3105"/>
      <c r="D75" s="3020"/>
      <c r="E75" s="3020"/>
      <c r="F75" s="3020"/>
      <c r="G75" s="2092"/>
      <c r="H75" s="2093"/>
      <c r="I75" s="2094"/>
      <c r="J75" s="3032"/>
      <c r="K75" s="2992"/>
      <c r="L75" s="2992"/>
      <c r="M75" s="3042"/>
      <c r="N75" s="2966"/>
      <c r="O75" s="3053"/>
      <c r="P75" s="2942"/>
      <c r="Q75" s="3041"/>
      <c r="R75" s="3048"/>
      <c r="S75" s="2945"/>
      <c r="T75" s="2958"/>
      <c r="U75" s="2963"/>
      <c r="V75" s="1831">
        <v>20000000</v>
      </c>
      <c r="W75" s="2033">
        <v>88</v>
      </c>
      <c r="X75" s="2095" t="s">
        <v>1854</v>
      </c>
      <c r="Y75" s="3050"/>
      <c r="Z75" s="3034"/>
      <c r="AA75" s="3034"/>
      <c r="AB75" s="3034"/>
      <c r="AC75" s="3034"/>
      <c r="AD75" s="3034"/>
      <c r="AE75" s="3034"/>
      <c r="AF75" s="3034"/>
      <c r="AG75" s="3034"/>
      <c r="AH75" s="3034"/>
      <c r="AI75" s="3034"/>
      <c r="AJ75" s="3034"/>
      <c r="AK75" s="3034"/>
      <c r="AL75" s="3034"/>
      <c r="AM75" s="3034"/>
      <c r="AN75" s="2941"/>
      <c r="AO75" s="2911"/>
      <c r="AP75" s="2911"/>
      <c r="AQ75" s="2959"/>
    </row>
    <row r="76" spans="1:43" s="404" customFormat="1" ht="104.25" customHeight="1" x14ac:dyDescent="0.25">
      <c r="A76" s="3100"/>
      <c r="B76" s="3104"/>
      <c r="C76" s="3105"/>
      <c r="D76" s="3020"/>
      <c r="E76" s="3020"/>
      <c r="F76" s="3020"/>
      <c r="G76" s="2092"/>
      <c r="H76" s="2093"/>
      <c r="I76" s="2094"/>
      <c r="J76" s="3032"/>
      <c r="K76" s="2992"/>
      <c r="L76" s="2992"/>
      <c r="M76" s="3042"/>
      <c r="N76" s="2966"/>
      <c r="O76" s="3053"/>
      <c r="P76" s="2942"/>
      <c r="Q76" s="3041"/>
      <c r="R76" s="3048"/>
      <c r="S76" s="2945"/>
      <c r="T76" s="2958"/>
      <c r="U76" s="1791" t="s">
        <v>1855</v>
      </c>
      <c r="V76" s="1831">
        <v>15250000</v>
      </c>
      <c r="W76" s="2033">
        <v>20</v>
      </c>
      <c r="X76" s="2095" t="s">
        <v>61</v>
      </c>
      <c r="Y76" s="3050"/>
      <c r="Z76" s="3034"/>
      <c r="AA76" s="3034"/>
      <c r="AB76" s="3034"/>
      <c r="AC76" s="3034"/>
      <c r="AD76" s="3034"/>
      <c r="AE76" s="3034"/>
      <c r="AF76" s="3034"/>
      <c r="AG76" s="3034"/>
      <c r="AH76" s="3034"/>
      <c r="AI76" s="3034"/>
      <c r="AJ76" s="3034"/>
      <c r="AK76" s="3034"/>
      <c r="AL76" s="3034"/>
      <c r="AM76" s="3034"/>
      <c r="AN76" s="2941"/>
      <c r="AO76" s="2911"/>
      <c r="AP76" s="2911"/>
      <c r="AQ76" s="2959"/>
    </row>
    <row r="77" spans="1:43" s="404" customFormat="1" ht="56.25" customHeight="1" x14ac:dyDescent="0.25">
      <c r="A77" s="3100"/>
      <c r="B77" s="3104"/>
      <c r="C77" s="3105"/>
      <c r="D77" s="3020"/>
      <c r="E77" s="3020"/>
      <c r="F77" s="3020"/>
      <c r="G77" s="2092"/>
      <c r="H77" s="2093"/>
      <c r="I77" s="2094"/>
      <c r="J77" s="3032"/>
      <c r="K77" s="2992"/>
      <c r="L77" s="2992"/>
      <c r="M77" s="3042"/>
      <c r="N77" s="2966"/>
      <c r="O77" s="3053"/>
      <c r="P77" s="2942"/>
      <c r="Q77" s="3041"/>
      <c r="R77" s="3048"/>
      <c r="S77" s="2945"/>
      <c r="T77" s="2958"/>
      <c r="U77" s="1791" t="s">
        <v>1856</v>
      </c>
      <c r="V77" s="1831">
        <f>+ 0+10000000</f>
        <v>10000000</v>
      </c>
      <c r="W77" s="2033">
        <v>20</v>
      </c>
      <c r="X77" s="2095" t="s">
        <v>61</v>
      </c>
      <c r="Y77" s="3050"/>
      <c r="Z77" s="3034"/>
      <c r="AA77" s="3034"/>
      <c r="AB77" s="3034"/>
      <c r="AC77" s="3034"/>
      <c r="AD77" s="3034"/>
      <c r="AE77" s="3034"/>
      <c r="AF77" s="3034"/>
      <c r="AG77" s="3034"/>
      <c r="AH77" s="3034"/>
      <c r="AI77" s="3034"/>
      <c r="AJ77" s="3034"/>
      <c r="AK77" s="3034"/>
      <c r="AL77" s="3034"/>
      <c r="AM77" s="3034"/>
      <c r="AN77" s="2941"/>
      <c r="AO77" s="2911"/>
      <c r="AP77" s="2911"/>
      <c r="AQ77" s="2959"/>
    </row>
    <row r="78" spans="1:43" s="404" customFormat="1" ht="60" customHeight="1" x14ac:dyDescent="0.25">
      <c r="A78" s="3100"/>
      <c r="B78" s="3104"/>
      <c r="C78" s="3105"/>
      <c r="D78" s="3020"/>
      <c r="E78" s="3020"/>
      <c r="F78" s="3020"/>
      <c r="G78" s="2092"/>
      <c r="H78" s="2093"/>
      <c r="I78" s="2094"/>
      <c r="J78" s="3032"/>
      <c r="K78" s="2992"/>
      <c r="L78" s="2992"/>
      <c r="M78" s="3042"/>
      <c r="N78" s="2966"/>
      <c r="O78" s="3053"/>
      <c r="P78" s="2942"/>
      <c r="Q78" s="3041"/>
      <c r="R78" s="3048"/>
      <c r="S78" s="2945"/>
      <c r="T78" s="2958"/>
      <c r="U78" s="1791" t="s">
        <v>1857</v>
      </c>
      <c r="V78" s="1831">
        <f>15000000+1250000-10000000</f>
        <v>6250000</v>
      </c>
      <c r="W78" s="2033">
        <v>20</v>
      </c>
      <c r="X78" s="2095" t="s">
        <v>61</v>
      </c>
      <c r="Y78" s="3050"/>
      <c r="Z78" s="3034"/>
      <c r="AA78" s="3034"/>
      <c r="AB78" s="3034"/>
      <c r="AC78" s="3034"/>
      <c r="AD78" s="3034"/>
      <c r="AE78" s="3034"/>
      <c r="AF78" s="3034"/>
      <c r="AG78" s="3034"/>
      <c r="AH78" s="3034"/>
      <c r="AI78" s="3034"/>
      <c r="AJ78" s="3034"/>
      <c r="AK78" s="3034"/>
      <c r="AL78" s="3034"/>
      <c r="AM78" s="3034"/>
      <c r="AN78" s="2941"/>
      <c r="AO78" s="2911"/>
      <c r="AP78" s="2911"/>
      <c r="AQ78" s="2959"/>
    </row>
    <row r="79" spans="1:43" s="404" customFormat="1" ht="26.25" customHeight="1" x14ac:dyDescent="0.25">
      <c r="A79" s="3100"/>
      <c r="B79" s="3104"/>
      <c r="C79" s="3105"/>
      <c r="D79" s="3020"/>
      <c r="E79" s="3020"/>
      <c r="F79" s="3020"/>
      <c r="G79" s="2092"/>
      <c r="H79" s="2093"/>
      <c r="I79" s="2094"/>
      <c r="J79" s="3032"/>
      <c r="K79" s="2992"/>
      <c r="L79" s="2992"/>
      <c r="M79" s="3042"/>
      <c r="N79" s="2966"/>
      <c r="O79" s="3053"/>
      <c r="P79" s="2942"/>
      <c r="Q79" s="3041"/>
      <c r="R79" s="3048"/>
      <c r="S79" s="2945"/>
      <c r="T79" s="2958"/>
      <c r="U79" s="2962" t="s">
        <v>1858</v>
      </c>
      <c r="V79" s="1831">
        <f>71000000+14500000+12500000</f>
        <v>98000000</v>
      </c>
      <c r="W79" s="2033">
        <v>20</v>
      </c>
      <c r="X79" s="2095" t="s">
        <v>61</v>
      </c>
      <c r="Y79" s="3050"/>
      <c r="Z79" s="3034"/>
      <c r="AA79" s="3034"/>
      <c r="AB79" s="3034"/>
      <c r="AC79" s="3034"/>
      <c r="AD79" s="3034"/>
      <c r="AE79" s="3034"/>
      <c r="AF79" s="3034"/>
      <c r="AG79" s="3034"/>
      <c r="AH79" s="3034"/>
      <c r="AI79" s="3034"/>
      <c r="AJ79" s="3034"/>
      <c r="AK79" s="3034"/>
      <c r="AL79" s="3034"/>
      <c r="AM79" s="3034"/>
      <c r="AN79" s="2941"/>
      <c r="AO79" s="2911"/>
      <c r="AP79" s="2911"/>
      <c r="AQ79" s="2959"/>
    </row>
    <row r="80" spans="1:43" s="404" customFormat="1" ht="26.25" customHeight="1" x14ac:dyDescent="0.25">
      <c r="A80" s="3100"/>
      <c r="B80" s="3104"/>
      <c r="C80" s="3105"/>
      <c r="D80" s="3020"/>
      <c r="E80" s="3020"/>
      <c r="F80" s="3020"/>
      <c r="G80" s="2092"/>
      <c r="H80" s="2093"/>
      <c r="I80" s="2094"/>
      <c r="J80" s="3032"/>
      <c r="K80" s="2992"/>
      <c r="L80" s="2992"/>
      <c r="M80" s="3042"/>
      <c r="N80" s="2966"/>
      <c r="O80" s="3053"/>
      <c r="P80" s="2942"/>
      <c r="Q80" s="3041"/>
      <c r="R80" s="3048"/>
      <c r="S80" s="2945"/>
      <c r="T80" s="2958"/>
      <c r="U80" s="2963"/>
      <c r="V80" s="1831">
        <f>0+50000000-20000000+20000000</f>
        <v>50000000</v>
      </c>
      <c r="W80" s="2033">
        <v>88</v>
      </c>
      <c r="X80" s="2095" t="s">
        <v>264</v>
      </c>
      <c r="Y80" s="3050"/>
      <c r="Z80" s="3034"/>
      <c r="AA80" s="3034"/>
      <c r="AB80" s="3034"/>
      <c r="AC80" s="3034"/>
      <c r="AD80" s="3034"/>
      <c r="AE80" s="3034"/>
      <c r="AF80" s="3034"/>
      <c r="AG80" s="3034"/>
      <c r="AH80" s="3034"/>
      <c r="AI80" s="3034"/>
      <c r="AJ80" s="3034"/>
      <c r="AK80" s="3034"/>
      <c r="AL80" s="3034"/>
      <c r="AM80" s="3034"/>
      <c r="AN80" s="2941"/>
      <c r="AO80" s="2911"/>
      <c r="AP80" s="2911"/>
      <c r="AQ80" s="2959"/>
    </row>
    <row r="81" spans="1:43" s="404" customFormat="1" ht="33" customHeight="1" x14ac:dyDescent="0.25">
      <c r="A81" s="3100"/>
      <c r="B81" s="3104"/>
      <c r="C81" s="3105"/>
      <c r="D81" s="3020"/>
      <c r="E81" s="3020"/>
      <c r="F81" s="3020"/>
      <c r="G81" s="2092"/>
      <c r="H81" s="2093"/>
      <c r="I81" s="2094"/>
      <c r="J81" s="3032"/>
      <c r="K81" s="2992"/>
      <c r="L81" s="2992"/>
      <c r="M81" s="3042"/>
      <c r="N81" s="2966"/>
      <c r="O81" s="3053"/>
      <c r="P81" s="2942"/>
      <c r="Q81" s="3041"/>
      <c r="R81" s="3048"/>
      <c r="S81" s="2945"/>
      <c r="T81" s="2958"/>
      <c r="U81" s="1791" t="s">
        <v>1859</v>
      </c>
      <c r="V81" s="1831">
        <v>9000000</v>
      </c>
      <c r="W81" s="2033">
        <v>20</v>
      </c>
      <c r="X81" s="2095" t="s">
        <v>61</v>
      </c>
      <c r="Y81" s="3050"/>
      <c r="Z81" s="3034"/>
      <c r="AA81" s="3034"/>
      <c r="AB81" s="3034"/>
      <c r="AC81" s="3034"/>
      <c r="AD81" s="3034"/>
      <c r="AE81" s="3034"/>
      <c r="AF81" s="3034"/>
      <c r="AG81" s="3034"/>
      <c r="AH81" s="3034"/>
      <c r="AI81" s="3034"/>
      <c r="AJ81" s="3034"/>
      <c r="AK81" s="3034"/>
      <c r="AL81" s="3034"/>
      <c r="AM81" s="3034"/>
      <c r="AN81" s="2941"/>
      <c r="AO81" s="2911"/>
      <c r="AP81" s="2911"/>
      <c r="AQ81" s="2959"/>
    </row>
    <row r="82" spans="1:43" s="404" customFormat="1" ht="72" customHeight="1" x14ac:dyDescent="0.25">
      <c r="A82" s="3100"/>
      <c r="B82" s="3104"/>
      <c r="C82" s="3105"/>
      <c r="D82" s="3020"/>
      <c r="E82" s="3020"/>
      <c r="F82" s="3020"/>
      <c r="G82" s="2092"/>
      <c r="H82" s="2093"/>
      <c r="I82" s="2094"/>
      <c r="J82" s="3039">
        <v>227</v>
      </c>
      <c r="K82" s="2947" t="s">
        <v>1860</v>
      </c>
      <c r="L82" s="2992" t="s">
        <v>1861</v>
      </c>
      <c r="M82" s="3042">
        <v>12</v>
      </c>
      <c r="N82" s="2966"/>
      <c r="O82" s="3053"/>
      <c r="P82" s="2942"/>
      <c r="Q82" s="3041">
        <f>SUM(V82:V83)/R71</f>
        <v>8.3507306889352817E-2</v>
      </c>
      <c r="R82" s="3048"/>
      <c r="S82" s="2945"/>
      <c r="T82" s="2958"/>
      <c r="U82" s="1007" t="s">
        <v>1862</v>
      </c>
      <c r="V82" s="1831">
        <v>20000000</v>
      </c>
      <c r="W82" s="2033">
        <v>20</v>
      </c>
      <c r="X82" s="2095" t="s">
        <v>61</v>
      </c>
      <c r="Y82" s="3050"/>
      <c r="Z82" s="3034"/>
      <c r="AA82" s="3034"/>
      <c r="AB82" s="3034"/>
      <c r="AC82" s="3034"/>
      <c r="AD82" s="3034"/>
      <c r="AE82" s="3034"/>
      <c r="AF82" s="3034"/>
      <c r="AG82" s="3034"/>
      <c r="AH82" s="3034"/>
      <c r="AI82" s="3034"/>
      <c r="AJ82" s="3034"/>
      <c r="AK82" s="3034"/>
      <c r="AL82" s="3034"/>
      <c r="AM82" s="3034"/>
      <c r="AN82" s="2941"/>
      <c r="AO82" s="2911"/>
      <c r="AP82" s="2911"/>
      <c r="AQ82" s="2959"/>
    </row>
    <row r="83" spans="1:43" s="404" customFormat="1" ht="61.5" customHeight="1" x14ac:dyDescent="0.25">
      <c r="A83" s="3100"/>
      <c r="B83" s="3104"/>
      <c r="C83" s="3105"/>
      <c r="D83" s="3020"/>
      <c r="E83" s="3020"/>
      <c r="F83" s="3020"/>
      <c r="G83" s="2092"/>
      <c r="H83" s="2093"/>
      <c r="I83" s="2094"/>
      <c r="J83" s="3039"/>
      <c r="K83" s="2947"/>
      <c r="L83" s="2992"/>
      <c r="M83" s="3042"/>
      <c r="N83" s="2966"/>
      <c r="O83" s="3053"/>
      <c r="P83" s="2942"/>
      <c r="Q83" s="3041"/>
      <c r="R83" s="3048"/>
      <c r="S83" s="2945"/>
      <c r="T83" s="2958"/>
      <c r="U83" s="1007" t="s">
        <v>1863</v>
      </c>
      <c r="V83" s="1831">
        <v>20000000</v>
      </c>
      <c r="W83" s="2033">
        <v>20</v>
      </c>
      <c r="X83" s="2095" t="s">
        <v>61</v>
      </c>
      <c r="Y83" s="3050"/>
      <c r="Z83" s="3034"/>
      <c r="AA83" s="3034"/>
      <c r="AB83" s="3034"/>
      <c r="AC83" s="3034"/>
      <c r="AD83" s="3034"/>
      <c r="AE83" s="3034"/>
      <c r="AF83" s="3034"/>
      <c r="AG83" s="3034"/>
      <c r="AH83" s="3034"/>
      <c r="AI83" s="3034"/>
      <c r="AJ83" s="3034"/>
      <c r="AK83" s="3034"/>
      <c r="AL83" s="3034"/>
      <c r="AM83" s="3034"/>
      <c r="AN83" s="2941"/>
      <c r="AO83" s="2911"/>
      <c r="AP83" s="2911"/>
      <c r="AQ83" s="2959"/>
    </row>
    <row r="84" spans="1:43" s="404" customFormat="1" ht="32.25" customHeight="1" x14ac:dyDescent="0.25">
      <c r="A84" s="3100"/>
      <c r="B84" s="3104"/>
      <c r="C84" s="3105"/>
      <c r="D84" s="3020"/>
      <c r="E84" s="3020"/>
      <c r="F84" s="3020"/>
      <c r="G84" s="2092"/>
      <c r="H84" s="2093"/>
      <c r="I84" s="2094"/>
      <c r="J84" s="3039">
        <v>228</v>
      </c>
      <c r="K84" s="2992" t="s">
        <v>1864</v>
      </c>
      <c r="L84" s="2992" t="s">
        <v>1865</v>
      </c>
      <c r="M84" s="3042">
        <v>2</v>
      </c>
      <c r="N84" s="2966"/>
      <c r="O84" s="3053"/>
      <c r="P84" s="2942"/>
      <c r="Q84" s="3041">
        <f>SUM(V84:V91)/R71</f>
        <v>9.3945720250521919E-2</v>
      </c>
      <c r="R84" s="3048"/>
      <c r="S84" s="2945"/>
      <c r="T84" s="2958"/>
      <c r="U84" s="2962" t="s">
        <v>1866</v>
      </c>
      <c r="V84" s="1831">
        <v>7400000</v>
      </c>
      <c r="W84" s="2033">
        <v>20</v>
      </c>
      <c r="X84" s="2095" t="s">
        <v>61</v>
      </c>
      <c r="Y84" s="3050"/>
      <c r="Z84" s="3034"/>
      <c r="AA84" s="3034"/>
      <c r="AB84" s="3034"/>
      <c r="AC84" s="3034"/>
      <c r="AD84" s="3034"/>
      <c r="AE84" s="3034"/>
      <c r="AF84" s="3034"/>
      <c r="AG84" s="3034"/>
      <c r="AH84" s="3034"/>
      <c r="AI84" s="3034"/>
      <c r="AJ84" s="3034"/>
      <c r="AK84" s="3034"/>
      <c r="AL84" s="3034"/>
      <c r="AM84" s="3034"/>
      <c r="AN84" s="2941"/>
      <c r="AO84" s="2911"/>
      <c r="AP84" s="2911"/>
      <c r="AQ84" s="2959"/>
    </row>
    <row r="85" spans="1:43" s="404" customFormat="1" ht="32.25" customHeight="1" x14ac:dyDescent="0.25">
      <c r="A85" s="3100"/>
      <c r="B85" s="3104"/>
      <c r="C85" s="3105"/>
      <c r="D85" s="3020"/>
      <c r="E85" s="3020"/>
      <c r="F85" s="3020"/>
      <c r="G85" s="2092"/>
      <c r="H85" s="2093"/>
      <c r="I85" s="2094"/>
      <c r="J85" s="3039"/>
      <c r="K85" s="2992"/>
      <c r="L85" s="2992"/>
      <c r="M85" s="3042"/>
      <c r="N85" s="2966"/>
      <c r="O85" s="3053"/>
      <c r="P85" s="2942"/>
      <c r="Q85" s="3041"/>
      <c r="R85" s="3048"/>
      <c r="S85" s="2945"/>
      <c r="T85" s="2958"/>
      <c r="U85" s="2963"/>
      <c r="V85" s="1831">
        <f>0+2500000</f>
        <v>2500000</v>
      </c>
      <c r="W85" s="2033">
        <v>88</v>
      </c>
      <c r="X85" s="2095" t="s">
        <v>264</v>
      </c>
      <c r="Y85" s="3050"/>
      <c r="Z85" s="3034"/>
      <c r="AA85" s="3034"/>
      <c r="AB85" s="3034"/>
      <c r="AC85" s="3034"/>
      <c r="AD85" s="3034"/>
      <c r="AE85" s="3034"/>
      <c r="AF85" s="3034"/>
      <c r="AG85" s="3034"/>
      <c r="AH85" s="3034"/>
      <c r="AI85" s="3034"/>
      <c r="AJ85" s="3034"/>
      <c r="AK85" s="3034"/>
      <c r="AL85" s="3034"/>
      <c r="AM85" s="3034"/>
      <c r="AN85" s="2941"/>
      <c r="AO85" s="2911"/>
      <c r="AP85" s="2911"/>
      <c r="AQ85" s="2959"/>
    </row>
    <row r="86" spans="1:43" s="404" customFormat="1" ht="39.75" customHeight="1" x14ac:dyDescent="0.25">
      <c r="A86" s="3100"/>
      <c r="B86" s="3104"/>
      <c r="C86" s="3105"/>
      <c r="D86" s="3020"/>
      <c r="E86" s="3020"/>
      <c r="F86" s="3020"/>
      <c r="G86" s="2092"/>
      <c r="H86" s="2093"/>
      <c r="I86" s="2094"/>
      <c r="J86" s="3039"/>
      <c r="K86" s="2992"/>
      <c r="L86" s="2992"/>
      <c r="M86" s="3042"/>
      <c r="N86" s="2966"/>
      <c r="O86" s="3053"/>
      <c r="P86" s="2942"/>
      <c r="Q86" s="3041"/>
      <c r="R86" s="3048"/>
      <c r="S86" s="2945"/>
      <c r="T86" s="2958"/>
      <c r="U86" s="2962" t="s">
        <v>1867</v>
      </c>
      <c r="V86" s="1831">
        <f>11200000+5000000+2500000</f>
        <v>18700000</v>
      </c>
      <c r="W86" s="2033">
        <v>20</v>
      </c>
      <c r="X86" s="2095" t="s">
        <v>61</v>
      </c>
      <c r="Y86" s="3050"/>
      <c r="Z86" s="3034"/>
      <c r="AA86" s="3034"/>
      <c r="AB86" s="3034"/>
      <c r="AC86" s="3034"/>
      <c r="AD86" s="3034"/>
      <c r="AE86" s="3034"/>
      <c r="AF86" s="3034"/>
      <c r="AG86" s="3034"/>
      <c r="AH86" s="3034"/>
      <c r="AI86" s="3034"/>
      <c r="AJ86" s="3034"/>
      <c r="AK86" s="3034"/>
      <c r="AL86" s="3034"/>
      <c r="AM86" s="3034"/>
      <c r="AN86" s="2941"/>
      <c r="AO86" s="2911"/>
      <c r="AP86" s="2911"/>
      <c r="AQ86" s="2959"/>
    </row>
    <row r="87" spans="1:43" s="404" customFormat="1" ht="39.75" customHeight="1" x14ac:dyDescent="0.25">
      <c r="A87" s="3100"/>
      <c r="B87" s="3104"/>
      <c r="C87" s="3105"/>
      <c r="D87" s="3020"/>
      <c r="E87" s="3020"/>
      <c r="F87" s="3020"/>
      <c r="G87" s="2092"/>
      <c r="H87" s="2093"/>
      <c r="I87" s="2094"/>
      <c r="J87" s="3039"/>
      <c r="K87" s="2992"/>
      <c r="L87" s="2992"/>
      <c r="M87" s="3042"/>
      <c r="N87" s="2966"/>
      <c r="O87" s="3053"/>
      <c r="P87" s="2942"/>
      <c r="Q87" s="3041"/>
      <c r="R87" s="3048"/>
      <c r="S87" s="2945"/>
      <c r="T87" s="2958"/>
      <c r="U87" s="2963"/>
      <c r="V87" s="1831">
        <f>0+2500000</f>
        <v>2500000</v>
      </c>
      <c r="W87" s="2033">
        <v>88</v>
      </c>
      <c r="X87" s="2095" t="s">
        <v>264</v>
      </c>
      <c r="Y87" s="3050"/>
      <c r="Z87" s="3034"/>
      <c r="AA87" s="3034"/>
      <c r="AB87" s="3034"/>
      <c r="AC87" s="3034"/>
      <c r="AD87" s="3034"/>
      <c r="AE87" s="3034"/>
      <c r="AF87" s="3034"/>
      <c r="AG87" s="3034"/>
      <c r="AH87" s="3034"/>
      <c r="AI87" s="3034"/>
      <c r="AJ87" s="3034"/>
      <c r="AK87" s="3034"/>
      <c r="AL87" s="3034"/>
      <c r="AM87" s="3034"/>
      <c r="AN87" s="2941"/>
      <c r="AO87" s="2911"/>
      <c r="AP87" s="2911"/>
      <c r="AQ87" s="2959"/>
    </row>
    <row r="88" spans="1:43" s="404" customFormat="1" ht="57.75" customHeight="1" x14ac:dyDescent="0.25">
      <c r="A88" s="3100"/>
      <c r="B88" s="3104"/>
      <c r="C88" s="3105"/>
      <c r="D88" s="3020"/>
      <c r="E88" s="3020"/>
      <c r="F88" s="3020"/>
      <c r="G88" s="2092"/>
      <c r="H88" s="2093"/>
      <c r="I88" s="2094"/>
      <c r="J88" s="3039"/>
      <c r="K88" s="2992"/>
      <c r="L88" s="2992"/>
      <c r="M88" s="3042"/>
      <c r="N88" s="2966"/>
      <c r="O88" s="3053"/>
      <c r="P88" s="2942"/>
      <c r="Q88" s="3041"/>
      <c r="R88" s="3048"/>
      <c r="S88" s="2945"/>
      <c r="T88" s="2958"/>
      <c r="U88" s="1791" t="s">
        <v>1868</v>
      </c>
      <c r="V88" s="1831">
        <f>9500000-3500000</f>
        <v>6000000</v>
      </c>
      <c r="W88" s="2033">
        <v>20</v>
      </c>
      <c r="X88" s="2095" t="s">
        <v>61</v>
      </c>
      <c r="Y88" s="3050"/>
      <c r="Z88" s="3034"/>
      <c r="AA88" s="3034"/>
      <c r="AB88" s="3034"/>
      <c r="AC88" s="3034"/>
      <c r="AD88" s="3034"/>
      <c r="AE88" s="3034"/>
      <c r="AF88" s="3034"/>
      <c r="AG88" s="3034"/>
      <c r="AH88" s="3034"/>
      <c r="AI88" s="3034"/>
      <c r="AJ88" s="3034"/>
      <c r="AK88" s="3034"/>
      <c r="AL88" s="3034"/>
      <c r="AM88" s="3034"/>
      <c r="AN88" s="2941"/>
      <c r="AO88" s="2911"/>
      <c r="AP88" s="2911"/>
      <c r="AQ88" s="2959"/>
    </row>
    <row r="89" spans="1:43" s="404" customFormat="1" ht="73.5" customHeight="1" x14ac:dyDescent="0.25">
      <c r="A89" s="3100"/>
      <c r="B89" s="3104"/>
      <c r="C89" s="3105"/>
      <c r="D89" s="3020"/>
      <c r="E89" s="3020"/>
      <c r="F89" s="3020"/>
      <c r="G89" s="2092"/>
      <c r="H89" s="2093"/>
      <c r="I89" s="2094"/>
      <c r="J89" s="3039"/>
      <c r="K89" s="2992"/>
      <c r="L89" s="2992"/>
      <c r="M89" s="3042"/>
      <c r="N89" s="2966"/>
      <c r="O89" s="3053"/>
      <c r="P89" s="2942"/>
      <c r="Q89" s="3041"/>
      <c r="R89" s="3048"/>
      <c r="S89" s="2945"/>
      <c r="T89" s="2958"/>
      <c r="U89" s="1791" t="s">
        <v>1869</v>
      </c>
      <c r="V89" s="1831">
        <v>2500000</v>
      </c>
      <c r="W89" s="2033">
        <v>20</v>
      </c>
      <c r="X89" s="2095" t="s">
        <v>61</v>
      </c>
      <c r="Y89" s="3050"/>
      <c r="Z89" s="3034"/>
      <c r="AA89" s="3034"/>
      <c r="AB89" s="3034"/>
      <c r="AC89" s="3034"/>
      <c r="AD89" s="3034"/>
      <c r="AE89" s="3034"/>
      <c r="AF89" s="3034"/>
      <c r="AG89" s="3034"/>
      <c r="AH89" s="3034"/>
      <c r="AI89" s="3034"/>
      <c r="AJ89" s="3034"/>
      <c r="AK89" s="3034"/>
      <c r="AL89" s="3034"/>
      <c r="AM89" s="3034"/>
      <c r="AN89" s="2941"/>
      <c r="AO89" s="2911"/>
      <c r="AP89" s="2911"/>
      <c r="AQ89" s="2959"/>
    </row>
    <row r="90" spans="1:43" s="404" customFormat="1" ht="70.5" customHeight="1" x14ac:dyDescent="0.25">
      <c r="A90" s="3100"/>
      <c r="B90" s="3104"/>
      <c r="C90" s="3105"/>
      <c r="D90" s="3020"/>
      <c r="E90" s="3020"/>
      <c r="F90" s="3020"/>
      <c r="G90" s="2092"/>
      <c r="H90" s="2093"/>
      <c r="I90" s="2094"/>
      <c r="J90" s="3043"/>
      <c r="K90" s="3044"/>
      <c r="L90" s="3044"/>
      <c r="M90" s="3045"/>
      <c r="N90" s="2966"/>
      <c r="O90" s="3053"/>
      <c r="P90" s="2942"/>
      <c r="Q90" s="3041"/>
      <c r="R90" s="3048"/>
      <c r="S90" s="2945"/>
      <c r="T90" s="2958"/>
      <c r="U90" s="1791" t="s">
        <v>1870</v>
      </c>
      <c r="V90" s="1831">
        <v>2000000</v>
      </c>
      <c r="W90" s="2033">
        <v>20</v>
      </c>
      <c r="X90" s="2095" t="s">
        <v>61</v>
      </c>
      <c r="Y90" s="3050"/>
      <c r="Z90" s="3034"/>
      <c r="AA90" s="3034"/>
      <c r="AB90" s="3034"/>
      <c r="AC90" s="3034"/>
      <c r="AD90" s="3034"/>
      <c r="AE90" s="3034"/>
      <c r="AF90" s="3034"/>
      <c r="AG90" s="3034"/>
      <c r="AH90" s="3034"/>
      <c r="AI90" s="3034"/>
      <c r="AJ90" s="3034"/>
      <c r="AK90" s="3034"/>
      <c r="AL90" s="3034"/>
      <c r="AM90" s="3034"/>
      <c r="AN90" s="2941"/>
      <c r="AO90" s="2911"/>
      <c r="AP90" s="2911"/>
      <c r="AQ90" s="2959"/>
    </row>
    <row r="91" spans="1:43" s="404" customFormat="1" ht="50.25" customHeight="1" x14ac:dyDescent="0.25">
      <c r="A91" s="3100"/>
      <c r="B91" s="3104"/>
      <c r="C91" s="3105"/>
      <c r="D91" s="3020"/>
      <c r="E91" s="3020"/>
      <c r="F91" s="3020"/>
      <c r="G91" s="2092"/>
      <c r="H91" s="2093"/>
      <c r="I91" s="2094"/>
      <c r="J91" s="3043"/>
      <c r="K91" s="3044"/>
      <c r="L91" s="3044"/>
      <c r="M91" s="3045"/>
      <c r="N91" s="2966"/>
      <c r="O91" s="3053"/>
      <c r="P91" s="2942"/>
      <c r="Q91" s="3041"/>
      <c r="R91" s="3048"/>
      <c r="S91" s="2945"/>
      <c r="T91" s="2958"/>
      <c r="U91" s="1791" t="s">
        <v>1859</v>
      </c>
      <c r="V91" s="1831">
        <f>2400000+1000000</f>
        <v>3400000</v>
      </c>
      <c r="W91" s="2033">
        <v>20</v>
      </c>
      <c r="X91" s="2095" t="s">
        <v>61</v>
      </c>
      <c r="Y91" s="3050"/>
      <c r="Z91" s="3034"/>
      <c r="AA91" s="3034"/>
      <c r="AB91" s="3034"/>
      <c r="AC91" s="3034"/>
      <c r="AD91" s="3034"/>
      <c r="AE91" s="3034"/>
      <c r="AF91" s="3034"/>
      <c r="AG91" s="3034"/>
      <c r="AH91" s="3034"/>
      <c r="AI91" s="3034"/>
      <c r="AJ91" s="3034"/>
      <c r="AK91" s="3034"/>
      <c r="AL91" s="3034"/>
      <c r="AM91" s="3034"/>
      <c r="AN91" s="2941"/>
      <c r="AO91" s="2911"/>
      <c r="AP91" s="2911"/>
      <c r="AQ91" s="2959"/>
    </row>
    <row r="92" spans="1:43" s="404" customFormat="1" ht="43.5" customHeight="1" x14ac:dyDescent="0.25">
      <c r="A92" s="3100"/>
      <c r="B92" s="3104"/>
      <c r="C92" s="3105"/>
      <c r="D92" s="3020"/>
      <c r="E92" s="3020"/>
      <c r="F92" s="3020"/>
      <c r="G92" s="2092"/>
      <c r="H92" s="2093"/>
      <c r="I92" s="2094"/>
      <c r="J92" s="3039">
        <v>229</v>
      </c>
      <c r="K92" s="2947" t="s">
        <v>1871</v>
      </c>
      <c r="L92" s="2992" t="s">
        <v>1872</v>
      </c>
      <c r="M92" s="3042">
        <v>13</v>
      </c>
      <c r="N92" s="2966"/>
      <c r="O92" s="3053"/>
      <c r="P92" s="2942"/>
      <c r="Q92" s="3041">
        <f>SUM(V92:V94)/R71</f>
        <v>0.14613778705636743</v>
      </c>
      <c r="R92" s="3048"/>
      <c r="S92" s="2945"/>
      <c r="T92" s="2958"/>
      <c r="U92" s="2955" t="s">
        <v>1873</v>
      </c>
      <c r="V92" s="1831">
        <v>15400000</v>
      </c>
      <c r="W92" s="2033">
        <v>20</v>
      </c>
      <c r="X92" s="2095" t="s">
        <v>61</v>
      </c>
      <c r="Y92" s="3050"/>
      <c r="Z92" s="3034"/>
      <c r="AA92" s="3034"/>
      <c r="AB92" s="3034"/>
      <c r="AC92" s="3034"/>
      <c r="AD92" s="3034"/>
      <c r="AE92" s="3034"/>
      <c r="AF92" s="3034"/>
      <c r="AG92" s="3034"/>
      <c r="AH92" s="3034"/>
      <c r="AI92" s="3034"/>
      <c r="AJ92" s="3034"/>
      <c r="AK92" s="3034"/>
      <c r="AL92" s="3034"/>
      <c r="AM92" s="3034"/>
      <c r="AN92" s="2941"/>
      <c r="AO92" s="2911"/>
      <c r="AP92" s="2911"/>
      <c r="AQ92" s="2959"/>
    </row>
    <row r="93" spans="1:43" s="404" customFormat="1" ht="43.5" customHeight="1" x14ac:dyDescent="0.25">
      <c r="A93" s="3100"/>
      <c r="B93" s="3104"/>
      <c r="C93" s="3105"/>
      <c r="D93" s="3020"/>
      <c r="E93" s="3020"/>
      <c r="F93" s="3020"/>
      <c r="G93" s="2092"/>
      <c r="H93" s="2093"/>
      <c r="I93" s="2094"/>
      <c r="J93" s="3039"/>
      <c r="K93" s="2947"/>
      <c r="L93" s="2992"/>
      <c r="M93" s="3042"/>
      <c r="N93" s="2966"/>
      <c r="O93" s="3053"/>
      <c r="P93" s="2942"/>
      <c r="Q93" s="3041"/>
      <c r="R93" s="3048"/>
      <c r="S93" s="2945"/>
      <c r="T93" s="2958"/>
      <c r="U93" s="2956"/>
      <c r="V93" s="1831">
        <f>0+5000000</f>
        <v>5000000</v>
      </c>
      <c r="W93" s="2033">
        <v>88</v>
      </c>
      <c r="X93" s="2095" t="s">
        <v>264</v>
      </c>
      <c r="Y93" s="3050"/>
      <c r="Z93" s="3034"/>
      <c r="AA93" s="3034"/>
      <c r="AB93" s="3034"/>
      <c r="AC93" s="3034"/>
      <c r="AD93" s="3034"/>
      <c r="AE93" s="3034"/>
      <c r="AF93" s="3034"/>
      <c r="AG93" s="3034"/>
      <c r="AH93" s="3034"/>
      <c r="AI93" s="3034"/>
      <c r="AJ93" s="3034"/>
      <c r="AK93" s="3034"/>
      <c r="AL93" s="3034"/>
      <c r="AM93" s="3034"/>
      <c r="AN93" s="2941"/>
      <c r="AO93" s="2911"/>
      <c r="AP93" s="2911"/>
      <c r="AQ93" s="2959"/>
    </row>
    <row r="94" spans="1:43" s="404" customFormat="1" ht="57" customHeight="1" x14ac:dyDescent="0.25">
      <c r="A94" s="3100"/>
      <c r="B94" s="3104"/>
      <c r="C94" s="3105"/>
      <c r="D94" s="3020"/>
      <c r="E94" s="3020"/>
      <c r="F94" s="3020"/>
      <c r="G94" s="2092"/>
      <c r="H94" s="2093"/>
      <c r="I94" s="2094"/>
      <c r="J94" s="3039"/>
      <c r="K94" s="2947"/>
      <c r="L94" s="2992"/>
      <c r="M94" s="3042"/>
      <c r="N94" s="2966"/>
      <c r="O94" s="3053"/>
      <c r="P94" s="2942"/>
      <c r="Q94" s="3041"/>
      <c r="R94" s="3048"/>
      <c r="S94" s="2945"/>
      <c r="T94" s="2958"/>
      <c r="U94" s="1007" t="s">
        <v>1874</v>
      </c>
      <c r="V94" s="1831">
        <v>49600000</v>
      </c>
      <c r="W94" s="2033">
        <v>20</v>
      </c>
      <c r="X94" s="2095" t="s">
        <v>61</v>
      </c>
      <c r="Y94" s="3050"/>
      <c r="Z94" s="3034"/>
      <c r="AA94" s="3034"/>
      <c r="AB94" s="3034"/>
      <c r="AC94" s="3034"/>
      <c r="AD94" s="3034"/>
      <c r="AE94" s="3034"/>
      <c r="AF94" s="3034"/>
      <c r="AG94" s="3034"/>
      <c r="AH94" s="3034"/>
      <c r="AI94" s="3034"/>
      <c r="AJ94" s="3034"/>
      <c r="AK94" s="3034"/>
      <c r="AL94" s="3034"/>
      <c r="AM94" s="3034"/>
      <c r="AN94" s="2941"/>
      <c r="AO94" s="2911"/>
      <c r="AP94" s="2911"/>
      <c r="AQ94" s="2959"/>
    </row>
    <row r="95" spans="1:43" s="404" customFormat="1" ht="64.5" customHeight="1" x14ac:dyDescent="0.25">
      <c r="A95" s="3100"/>
      <c r="B95" s="3104"/>
      <c r="C95" s="3105"/>
      <c r="D95" s="3020"/>
      <c r="E95" s="3020"/>
      <c r="F95" s="3020"/>
      <c r="G95" s="2092"/>
      <c r="H95" s="2093"/>
      <c r="I95" s="2094"/>
      <c r="J95" s="3039">
        <v>230</v>
      </c>
      <c r="K95" s="2992" t="s">
        <v>1875</v>
      </c>
      <c r="L95" s="2992" t="s">
        <v>1876</v>
      </c>
      <c r="M95" s="3040">
        <v>1</v>
      </c>
      <c r="N95" s="2966"/>
      <c r="O95" s="3053"/>
      <c r="P95" s="2942"/>
      <c r="Q95" s="3041">
        <f>SUM(V95:V98)/R71</f>
        <v>0.11273486430062631</v>
      </c>
      <c r="R95" s="3048"/>
      <c r="S95" s="2945"/>
      <c r="T95" s="2958"/>
      <c r="U95" s="1007" t="s">
        <v>1877</v>
      </c>
      <c r="V95" s="1831">
        <f>27000000-10000000</f>
        <v>17000000</v>
      </c>
      <c r="W95" s="2033">
        <v>20</v>
      </c>
      <c r="X95" s="2095" t="s">
        <v>61</v>
      </c>
      <c r="Y95" s="3050"/>
      <c r="Z95" s="3034"/>
      <c r="AA95" s="3034"/>
      <c r="AB95" s="3034"/>
      <c r="AC95" s="3034"/>
      <c r="AD95" s="3034"/>
      <c r="AE95" s="3034"/>
      <c r="AF95" s="3034"/>
      <c r="AG95" s="3034"/>
      <c r="AH95" s="3034"/>
      <c r="AI95" s="3034"/>
      <c r="AJ95" s="3034"/>
      <c r="AK95" s="3034"/>
      <c r="AL95" s="3034"/>
      <c r="AM95" s="3034"/>
      <c r="AN95" s="2941"/>
      <c r="AO95" s="2911"/>
      <c r="AP95" s="2911"/>
      <c r="AQ95" s="2959"/>
    </row>
    <row r="96" spans="1:43" s="404" customFormat="1" ht="51" customHeight="1" x14ac:dyDescent="0.25">
      <c r="A96" s="3100"/>
      <c r="B96" s="3104"/>
      <c r="C96" s="3105"/>
      <c r="D96" s="3020"/>
      <c r="E96" s="3020"/>
      <c r="F96" s="3020"/>
      <c r="G96" s="2092"/>
      <c r="H96" s="2093"/>
      <c r="I96" s="2094"/>
      <c r="J96" s="3039"/>
      <c r="K96" s="2992"/>
      <c r="L96" s="2992"/>
      <c r="M96" s="3040"/>
      <c r="N96" s="2966"/>
      <c r="O96" s="3053"/>
      <c r="P96" s="2942"/>
      <c r="Q96" s="3041"/>
      <c r="R96" s="3048"/>
      <c r="S96" s="2945"/>
      <c r="T96" s="2958"/>
      <c r="U96" s="1007" t="s">
        <v>1878</v>
      </c>
      <c r="V96" s="1831">
        <f>0+10000000</f>
        <v>10000000</v>
      </c>
      <c r="W96" s="2033">
        <v>20</v>
      </c>
      <c r="X96" s="2095" t="s">
        <v>61</v>
      </c>
      <c r="Y96" s="3050"/>
      <c r="Z96" s="3034"/>
      <c r="AA96" s="3034"/>
      <c r="AB96" s="3034"/>
      <c r="AC96" s="3034"/>
      <c r="AD96" s="3034"/>
      <c r="AE96" s="3034"/>
      <c r="AF96" s="3034"/>
      <c r="AG96" s="3034"/>
      <c r="AH96" s="3034"/>
      <c r="AI96" s="3034"/>
      <c r="AJ96" s="3034"/>
      <c r="AK96" s="3034"/>
      <c r="AL96" s="3034"/>
      <c r="AM96" s="3034"/>
      <c r="AN96" s="2941"/>
      <c r="AO96" s="2911"/>
      <c r="AP96" s="2911"/>
      <c r="AQ96" s="2959"/>
    </row>
    <row r="97" spans="1:43" s="404" customFormat="1" ht="34.5" customHeight="1" x14ac:dyDescent="0.25">
      <c r="A97" s="3100"/>
      <c r="B97" s="3104"/>
      <c r="C97" s="3105"/>
      <c r="D97" s="3020"/>
      <c r="E97" s="3020"/>
      <c r="F97" s="3020"/>
      <c r="G97" s="2092"/>
      <c r="H97" s="2093"/>
      <c r="I97" s="2094"/>
      <c r="J97" s="3039"/>
      <c r="K97" s="2992"/>
      <c r="L97" s="2992"/>
      <c r="M97" s="3040"/>
      <c r="N97" s="2966"/>
      <c r="O97" s="3053"/>
      <c r="P97" s="2942"/>
      <c r="Q97" s="3041"/>
      <c r="R97" s="3048"/>
      <c r="S97" s="2945"/>
      <c r="T97" s="2958"/>
      <c r="U97" s="1007" t="s">
        <v>1879</v>
      </c>
      <c r="V97" s="1831">
        <v>22000000</v>
      </c>
      <c r="W97" s="2033">
        <v>20</v>
      </c>
      <c r="X97" s="2095" t="s">
        <v>61</v>
      </c>
      <c r="Y97" s="3050"/>
      <c r="Z97" s="3034"/>
      <c r="AA97" s="3034"/>
      <c r="AB97" s="3034"/>
      <c r="AC97" s="3034"/>
      <c r="AD97" s="3034"/>
      <c r="AE97" s="3034"/>
      <c r="AF97" s="3034"/>
      <c r="AG97" s="3034"/>
      <c r="AH97" s="3034"/>
      <c r="AI97" s="3034"/>
      <c r="AJ97" s="3034"/>
      <c r="AK97" s="3034"/>
      <c r="AL97" s="3034"/>
      <c r="AM97" s="3034"/>
      <c r="AN97" s="2941"/>
      <c r="AO97" s="2911"/>
      <c r="AP97" s="2911"/>
      <c r="AQ97" s="2959"/>
    </row>
    <row r="98" spans="1:43" s="404" customFormat="1" ht="30.75" customHeight="1" x14ac:dyDescent="0.25">
      <c r="A98" s="3100"/>
      <c r="B98" s="3104"/>
      <c r="C98" s="3105"/>
      <c r="D98" s="3020"/>
      <c r="E98" s="3020"/>
      <c r="F98" s="3020"/>
      <c r="G98" s="2096"/>
      <c r="H98" s="2097"/>
      <c r="I98" s="2098"/>
      <c r="J98" s="3039"/>
      <c r="K98" s="2992"/>
      <c r="L98" s="2992"/>
      <c r="M98" s="3040"/>
      <c r="N98" s="3052"/>
      <c r="O98" s="3054"/>
      <c r="P98" s="3055"/>
      <c r="Q98" s="3041"/>
      <c r="R98" s="3049"/>
      <c r="S98" s="2945"/>
      <c r="T98" s="2958"/>
      <c r="U98" s="1015" t="s">
        <v>1859</v>
      </c>
      <c r="V98" s="2099">
        <v>5000000</v>
      </c>
      <c r="W98" s="2033">
        <v>20</v>
      </c>
      <c r="X98" s="2095" t="s">
        <v>61</v>
      </c>
      <c r="Y98" s="3051"/>
      <c r="Z98" s="3046"/>
      <c r="AA98" s="3046"/>
      <c r="AB98" s="3046"/>
      <c r="AC98" s="3046"/>
      <c r="AD98" s="3046"/>
      <c r="AE98" s="3046"/>
      <c r="AF98" s="3046"/>
      <c r="AG98" s="3046"/>
      <c r="AH98" s="3046"/>
      <c r="AI98" s="3046"/>
      <c r="AJ98" s="3046"/>
      <c r="AK98" s="3046"/>
      <c r="AL98" s="3046"/>
      <c r="AM98" s="3046"/>
      <c r="AN98" s="2941"/>
      <c r="AO98" s="2912"/>
      <c r="AP98" s="2912"/>
      <c r="AQ98" s="2959"/>
    </row>
    <row r="99" spans="1:43" s="412" customFormat="1" ht="15" customHeight="1" x14ac:dyDescent="0.2">
      <c r="A99" s="3100"/>
      <c r="B99" s="3104"/>
      <c r="C99" s="3105"/>
      <c r="D99" s="3020"/>
      <c r="E99" s="3020"/>
      <c r="F99" s="3020"/>
      <c r="G99" s="2019">
        <v>79</v>
      </c>
      <c r="H99" s="864" t="s">
        <v>1880</v>
      </c>
      <c r="I99" s="864"/>
      <c r="J99" s="892"/>
      <c r="K99" s="2057"/>
      <c r="L99" s="2058"/>
      <c r="M99" s="931"/>
      <c r="N99" s="926"/>
      <c r="O99" s="2100"/>
      <c r="P99" s="866"/>
      <c r="Q99" s="2101"/>
      <c r="R99" s="2060"/>
      <c r="S99" s="2057"/>
      <c r="T99" s="2057"/>
      <c r="U99" s="2057"/>
      <c r="V99" s="2102"/>
      <c r="W99" s="2103"/>
      <c r="X99" s="2103"/>
      <c r="Y99" s="869"/>
      <c r="Z99" s="869"/>
      <c r="AA99" s="869"/>
      <c r="AB99" s="869"/>
      <c r="AC99" s="869"/>
      <c r="AD99" s="869"/>
      <c r="AE99" s="869"/>
      <c r="AF99" s="869"/>
      <c r="AG99" s="869"/>
      <c r="AH99" s="869"/>
      <c r="AI99" s="869"/>
      <c r="AJ99" s="869"/>
      <c r="AK99" s="869"/>
      <c r="AL99" s="869"/>
      <c r="AM99" s="869"/>
      <c r="AN99" s="869"/>
      <c r="AO99" s="869"/>
      <c r="AP99" s="869"/>
      <c r="AQ99" s="2087"/>
    </row>
    <row r="100" spans="1:43" s="404" customFormat="1" ht="48" customHeight="1" x14ac:dyDescent="0.2">
      <c r="A100" s="3100"/>
      <c r="B100" s="3104"/>
      <c r="C100" s="3105"/>
      <c r="D100" s="3020"/>
      <c r="E100" s="3020"/>
      <c r="F100" s="3020"/>
      <c r="G100" s="412"/>
      <c r="H100" s="2030"/>
      <c r="I100" s="2031"/>
      <c r="J100" s="3032">
        <v>231</v>
      </c>
      <c r="K100" s="2947" t="s">
        <v>1881</v>
      </c>
      <c r="L100" s="2947" t="s">
        <v>1882</v>
      </c>
      <c r="M100" s="2991">
        <v>1</v>
      </c>
      <c r="N100" s="2966" t="s">
        <v>1883</v>
      </c>
      <c r="O100" s="3037" t="s">
        <v>1884</v>
      </c>
      <c r="P100" s="3038" t="s">
        <v>1885</v>
      </c>
      <c r="Q100" s="3031">
        <f>SUM(V100:V101)/R100</f>
        <v>0.10344827586206896</v>
      </c>
      <c r="R100" s="2982">
        <f>SUM(V100:V107)</f>
        <v>58000000</v>
      </c>
      <c r="S100" s="2945" t="s">
        <v>1886</v>
      </c>
      <c r="T100" s="2945" t="s">
        <v>1887</v>
      </c>
      <c r="U100" s="1007" t="s">
        <v>1888</v>
      </c>
      <c r="V100" s="2104">
        <v>3000000</v>
      </c>
      <c r="W100" s="2105" t="s">
        <v>60</v>
      </c>
      <c r="X100" s="2106" t="s">
        <v>1850</v>
      </c>
      <c r="Y100" s="3035">
        <v>638</v>
      </c>
      <c r="Z100" s="3033">
        <v>612</v>
      </c>
      <c r="AA100" s="3033">
        <v>380</v>
      </c>
      <c r="AB100" s="3033">
        <v>280</v>
      </c>
      <c r="AC100" s="3033">
        <v>161</v>
      </c>
      <c r="AD100" s="3033">
        <v>429</v>
      </c>
      <c r="AE100" s="3033"/>
      <c r="AF100" s="3033"/>
      <c r="AG100" s="3033"/>
      <c r="AH100" s="3033"/>
      <c r="AI100" s="3033"/>
      <c r="AJ100" s="3033"/>
      <c r="AK100" s="3033"/>
      <c r="AL100" s="3033"/>
      <c r="AM100" s="3033"/>
      <c r="AN100" s="2940">
        <f>+Y100+Z100</f>
        <v>1250</v>
      </c>
      <c r="AO100" s="2910">
        <v>43490</v>
      </c>
      <c r="AP100" s="2910">
        <v>43819</v>
      </c>
      <c r="AQ100" s="2913" t="s">
        <v>1827</v>
      </c>
    </row>
    <row r="101" spans="1:43" s="404" customFormat="1" ht="52.5" customHeight="1" x14ac:dyDescent="0.2">
      <c r="A101" s="3100"/>
      <c r="B101" s="3104"/>
      <c r="C101" s="3105"/>
      <c r="D101" s="3020"/>
      <c r="E101" s="3020"/>
      <c r="F101" s="3020"/>
      <c r="G101" s="412"/>
      <c r="H101" s="2035"/>
      <c r="I101" s="2036"/>
      <c r="J101" s="3032"/>
      <c r="K101" s="2947"/>
      <c r="L101" s="2947"/>
      <c r="M101" s="2991"/>
      <c r="N101" s="2948"/>
      <c r="O101" s="2934"/>
      <c r="P101" s="2942"/>
      <c r="Q101" s="3031"/>
      <c r="R101" s="2983"/>
      <c r="S101" s="2945"/>
      <c r="T101" s="2945"/>
      <c r="U101" s="1007" t="s">
        <v>1889</v>
      </c>
      <c r="V101" s="2104">
        <v>3000000</v>
      </c>
      <c r="W101" s="2107">
        <v>20</v>
      </c>
      <c r="X101" s="2106" t="s">
        <v>61</v>
      </c>
      <c r="Y101" s="3036"/>
      <c r="Z101" s="3034"/>
      <c r="AA101" s="3034"/>
      <c r="AB101" s="3034"/>
      <c r="AC101" s="3034"/>
      <c r="AD101" s="3034"/>
      <c r="AE101" s="3034"/>
      <c r="AF101" s="3034"/>
      <c r="AG101" s="3034"/>
      <c r="AH101" s="3034"/>
      <c r="AI101" s="3034"/>
      <c r="AJ101" s="3034"/>
      <c r="AK101" s="3034"/>
      <c r="AL101" s="3034"/>
      <c r="AM101" s="3034"/>
      <c r="AN101" s="2941"/>
      <c r="AO101" s="2911"/>
      <c r="AP101" s="2911"/>
      <c r="AQ101" s="2914"/>
    </row>
    <row r="102" spans="1:43" s="404" customFormat="1" ht="32.25" customHeight="1" x14ac:dyDescent="0.2">
      <c r="A102" s="3100"/>
      <c r="B102" s="3104"/>
      <c r="C102" s="3105"/>
      <c r="D102" s="3020"/>
      <c r="E102" s="3020"/>
      <c r="F102" s="3020"/>
      <c r="G102" s="412"/>
      <c r="H102" s="2035"/>
      <c r="I102" s="2036"/>
      <c r="J102" s="3032">
        <v>232</v>
      </c>
      <c r="K102" s="2992" t="s">
        <v>1890</v>
      </c>
      <c r="L102" s="2992" t="s">
        <v>1891</v>
      </c>
      <c r="M102" s="2991">
        <v>12</v>
      </c>
      <c r="N102" s="2948"/>
      <c r="O102" s="2934"/>
      <c r="P102" s="2942"/>
      <c r="Q102" s="3031">
        <f>SUM(V102:V105)/R100</f>
        <v>0.7068965517241379</v>
      </c>
      <c r="R102" s="2983"/>
      <c r="S102" s="2945"/>
      <c r="T102" s="2945"/>
      <c r="U102" s="2962" t="s">
        <v>1892</v>
      </c>
      <c r="V102" s="2104">
        <f>4000000+1000000</f>
        <v>5000000</v>
      </c>
      <c r="W102" s="2107">
        <v>20</v>
      </c>
      <c r="X102" s="2106" t="s">
        <v>61</v>
      </c>
      <c r="Y102" s="3036"/>
      <c r="Z102" s="3034"/>
      <c r="AA102" s="3034"/>
      <c r="AB102" s="3034"/>
      <c r="AC102" s="3034"/>
      <c r="AD102" s="3034"/>
      <c r="AE102" s="3034"/>
      <c r="AF102" s="3034"/>
      <c r="AG102" s="3034"/>
      <c r="AH102" s="3034"/>
      <c r="AI102" s="3034"/>
      <c r="AJ102" s="3034"/>
      <c r="AK102" s="3034"/>
      <c r="AL102" s="3034"/>
      <c r="AM102" s="3034"/>
      <c r="AN102" s="2941"/>
      <c r="AO102" s="2911"/>
      <c r="AP102" s="2911"/>
      <c r="AQ102" s="2914"/>
    </row>
    <row r="103" spans="1:43" s="404" customFormat="1" ht="43.5" customHeight="1" x14ac:dyDescent="0.2">
      <c r="A103" s="3100"/>
      <c r="B103" s="3104"/>
      <c r="C103" s="3105"/>
      <c r="D103" s="3020"/>
      <c r="E103" s="3020"/>
      <c r="F103" s="3020"/>
      <c r="G103" s="412"/>
      <c r="H103" s="2035"/>
      <c r="I103" s="2036"/>
      <c r="J103" s="3032"/>
      <c r="K103" s="2992"/>
      <c r="L103" s="2992"/>
      <c r="M103" s="2991"/>
      <c r="N103" s="2948"/>
      <c r="O103" s="2934"/>
      <c r="P103" s="2942"/>
      <c r="Q103" s="3031"/>
      <c r="R103" s="2983"/>
      <c r="S103" s="2945"/>
      <c r="T103" s="2945"/>
      <c r="U103" s="2963"/>
      <c r="V103" s="2104">
        <f>0+30000000</f>
        <v>30000000</v>
      </c>
      <c r="W103" s="2107">
        <v>88</v>
      </c>
      <c r="X103" s="2106" t="s">
        <v>264</v>
      </c>
      <c r="Y103" s="3036"/>
      <c r="Z103" s="3034"/>
      <c r="AA103" s="3034"/>
      <c r="AB103" s="3034"/>
      <c r="AC103" s="3034"/>
      <c r="AD103" s="3034"/>
      <c r="AE103" s="3034"/>
      <c r="AF103" s="3034"/>
      <c r="AG103" s="3034"/>
      <c r="AH103" s="3034"/>
      <c r="AI103" s="3034"/>
      <c r="AJ103" s="3034"/>
      <c r="AK103" s="3034"/>
      <c r="AL103" s="3034"/>
      <c r="AM103" s="3034"/>
      <c r="AN103" s="2941"/>
      <c r="AO103" s="2911"/>
      <c r="AP103" s="2911"/>
      <c r="AQ103" s="2914"/>
    </row>
    <row r="104" spans="1:43" s="404" customFormat="1" ht="54.75" customHeight="1" x14ac:dyDescent="0.2">
      <c r="A104" s="3100"/>
      <c r="B104" s="3104"/>
      <c r="C104" s="3105"/>
      <c r="D104" s="3020"/>
      <c r="E104" s="3020"/>
      <c r="F104" s="3020"/>
      <c r="G104" s="412"/>
      <c r="H104" s="2035"/>
      <c r="I104" s="2036"/>
      <c r="J104" s="3032"/>
      <c r="K104" s="2992"/>
      <c r="L104" s="2992"/>
      <c r="M104" s="2991"/>
      <c r="N104" s="2948"/>
      <c r="O104" s="2934"/>
      <c r="P104" s="2942"/>
      <c r="Q104" s="3031"/>
      <c r="R104" s="2983"/>
      <c r="S104" s="2945"/>
      <c r="T104" s="2945"/>
      <c r="U104" s="1791" t="s">
        <v>1893</v>
      </c>
      <c r="V104" s="2104">
        <v>5000000</v>
      </c>
      <c r="W104" s="2107">
        <v>20</v>
      </c>
      <c r="X104" s="2106" t="s">
        <v>61</v>
      </c>
      <c r="Y104" s="3036"/>
      <c r="Z104" s="3034"/>
      <c r="AA104" s="3034"/>
      <c r="AB104" s="3034"/>
      <c r="AC104" s="3034"/>
      <c r="AD104" s="3034"/>
      <c r="AE104" s="3034"/>
      <c r="AF104" s="3034"/>
      <c r="AG104" s="3034"/>
      <c r="AH104" s="3034"/>
      <c r="AI104" s="3034"/>
      <c r="AJ104" s="3034"/>
      <c r="AK104" s="3034"/>
      <c r="AL104" s="3034"/>
      <c r="AM104" s="3034"/>
      <c r="AN104" s="2941"/>
      <c r="AO104" s="2911"/>
      <c r="AP104" s="2911"/>
      <c r="AQ104" s="2914"/>
    </row>
    <row r="105" spans="1:43" s="404" customFormat="1" ht="42" customHeight="1" x14ac:dyDescent="0.2">
      <c r="A105" s="3100"/>
      <c r="B105" s="3104"/>
      <c r="C105" s="3105"/>
      <c r="D105" s="3020"/>
      <c r="E105" s="3020"/>
      <c r="F105" s="3020"/>
      <c r="G105" s="412"/>
      <c r="H105" s="2035"/>
      <c r="I105" s="2036"/>
      <c r="J105" s="3032"/>
      <c r="K105" s="2992"/>
      <c r="L105" s="2992"/>
      <c r="M105" s="2991"/>
      <c r="N105" s="2948"/>
      <c r="O105" s="2934"/>
      <c r="P105" s="2942"/>
      <c r="Q105" s="3031"/>
      <c r="R105" s="2983"/>
      <c r="S105" s="2945"/>
      <c r="T105" s="2945"/>
      <c r="U105" s="2108" t="s">
        <v>1859</v>
      </c>
      <c r="V105" s="2104">
        <v>1000000</v>
      </c>
      <c r="W105" s="2107">
        <v>20</v>
      </c>
      <c r="X105" s="2106" t="s">
        <v>61</v>
      </c>
      <c r="Y105" s="3036"/>
      <c r="Z105" s="3034"/>
      <c r="AA105" s="3034"/>
      <c r="AB105" s="3034"/>
      <c r="AC105" s="3034"/>
      <c r="AD105" s="3034"/>
      <c r="AE105" s="3034"/>
      <c r="AF105" s="3034"/>
      <c r="AG105" s="3034"/>
      <c r="AH105" s="3034"/>
      <c r="AI105" s="3034"/>
      <c r="AJ105" s="3034"/>
      <c r="AK105" s="3034"/>
      <c r="AL105" s="3034"/>
      <c r="AM105" s="3034"/>
      <c r="AN105" s="2941"/>
      <c r="AO105" s="2911"/>
      <c r="AP105" s="2911"/>
      <c r="AQ105" s="2914"/>
    </row>
    <row r="106" spans="1:43" s="404" customFormat="1" ht="57" customHeight="1" x14ac:dyDescent="0.2">
      <c r="A106" s="3100"/>
      <c r="B106" s="3104"/>
      <c r="C106" s="3105"/>
      <c r="D106" s="3020"/>
      <c r="E106" s="3020"/>
      <c r="F106" s="3020"/>
      <c r="G106" s="412"/>
      <c r="H106" s="2035"/>
      <c r="I106" s="2036"/>
      <c r="J106" s="3032">
        <v>233</v>
      </c>
      <c r="K106" s="2992" t="s">
        <v>1894</v>
      </c>
      <c r="L106" s="2992" t="s">
        <v>1895</v>
      </c>
      <c r="M106" s="2991">
        <v>1</v>
      </c>
      <c r="N106" s="2948"/>
      <c r="O106" s="2934"/>
      <c r="P106" s="2942"/>
      <c r="Q106" s="3031">
        <f>SUM(V106:V107)/R100</f>
        <v>0.18965517241379309</v>
      </c>
      <c r="R106" s="2983"/>
      <c r="S106" s="2945"/>
      <c r="T106" s="2945"/>
      <c r="U106" s="1007" t="s">
        <v>1896</v>
      </c>
      <c r="V106" s="2104">
        <f>4000000+4000000</f>
        <v>8000000</v>
      </c>
      <c r="W106" s="2107">
        <v>20</v>
      </c>
      <c r="X106" s="2106" t="s">
        <v>61</v>
      </c>
      <c r="Y106" s="3036"/>
      <c r="Z106" s="3034"/>
      <c r="AA106" s="3034"/>
      <c r="AB106" s="3034"/>
      <c r="AC106" s="3034"/>
      <c r="AD106" s="3034"/>
      <c r="AE106" s="3034"/>
      <c r="AF106" s="3034"/>
      <c r="AG106" s="3034"/>
      <c r="AH106" s="3034"/>
      <c r="AI106" s="3034"/>
      <c r="AJ106" s="3034"/>
      <c r="AK106" s="3034"/>
      <c r="AL106" s="3034"/>
      <c r="AM106" s="3034"/>
      <c r="AN106" s="2941"/>
      <c r="AO106" s="2911"/>
      <c r="AP106" s="2911"/>
      <c r="AQ106" s="2914"/>
    </row>
    <row r="107" spans="1:43" s="404" customFormat="1" ht="39.75" customHeight="1" x14ac:dyDescent="0.2">
      <c r="A107" s="3100"/>
      <c r="B107" s="3104"/>
      <c r="C107" s="3105"/>
      <c r="D107" s="3020"/>
      <c r="E107" s="3020"/>
      <c r="F107" s="3020"/>
      <c r="G107" s="412"/>
      <c r="H107" s="2055"/>
      <c r="I107" s="2056"/>
      <c r="J107" s="3032"/>
      <c r="K107" s="2992"/>
      <c r="L107" s="2992"/>
      <c r="M107" s="2991"/>
      <c r="N107" s="2948"/>
      <c r="O107" s="2934"/>
      <c r="P107" s="2942"/>
      <c r="Q107" s="3031"/>
      <c r="R107" s="2984"/>
      <c r="S107" s="2945"/>
      <c r="T107" s="2945"/>
      <c r="U107" s="1007" t="s">
        <v>1897</v>
      </c>
      <c r="V107" s="2109">
        <v>3000000</v>
      </c>
      <c r="W107" s="2107">
        <v>20</v>
      </c>
      <c r="X107" s="2106" t="s">
        <v>61</v>
      </c>
      <c r="Y107" s="3036"/>
      <c r="Z107" s="3034"/>
      <c r="AA107" s="3034"/>
      <c r="AB107" s="3034"/>
      <c r="AC107" s="3034"/>
      <c r="AD107" s="3034"/>
      <c r="AE107" s="3034"/>
      <c r="AF107" s="3034"/>
      <c r="AG107" s="3034"/>
      <c r="AH107" s="3034"/>
      <c r="AI107" s="3034"/>
      <c r="AJ107" s="3034"/>
      <c r="AK107" s="3034"/>
      <c r="AL107" s="3034"/>
      <c r="AM107" s="3034"/>
      <c r="AN107" s="2941"/>
      <c r="AO107" s="2912"/>
      <c r="AP107" s="2912"/>
      <c r="AQ107" s="2914"/>
    </row>
    <row r="108" spans="1:43" s="412" customFormat="1" ht="15" customHeight="1" x14ac:dyDescent="0.2">
      <c r="A108" s="3100"/>
      <c r="B108" s="3104"/>
      <c r="C108" s="3105"/>
      <c r="D108" s="3020"/>
      <c r="E108" s="3020"/>
      <c r="F108" s="3020"/>
      <c r="G108" s="2019">
        <v>80</v>
      </c>
      <c r="H108" s="864" t="s">
        <v>1898</v>
      </c>
      <c r="I108" s="864"/>
      <c r="J108" s="892"/>
      <c r="K108" s="2057"/>
      <c r="L108" s="2058"/>
      <c r="M108" s="931"/>
      <c r="N108" s="926"/>
      <c r="O108" s="927"/>
      <c r="P108" s="866"/>
      <c r="Q108" s="2059"/>
      <c r="R108" s="2060"/>
      <c r="S108" s="2057"/>
      <c r="T108" s="2057"/>
      <c r="U108" s="2057"/>
      <c r="V108" s="2061"/>
      <c r="W108" s="2110"/>
      <c r="X108" s="2110"/>
      <c r="Y108" s="864"/>
      <c r="Z108" s="864"/>
      <c r="AA108" s="864"/>
      <c r="AB108" s="864"/>
      <c r="AC108" s="864"/>
      <c r="AD108" s="864"/>
      <c r="AE108" s="864"/>
      <c r="AF108" s="864"/>
      <c r="AG108" s="864"/>
      <c r="AH108" s="864"/>
      <c r="AI108" s="864"/>
      <c r="AJ108" s="864"/>
      <c r="AK108" s="871"/>
      <c r="AL108" s="871"/>
      <c r="AM108" s="871"/>
      <c r="AN108" s="871"/>
      <c r="AO108" s="871"/>
      <c r="AP108" s="871"/>
      <c r="AQ108" s="2111"/>
    </row>
    <row r="109" spans="1:43" s="404" customFormat="1" ht="59.25" customHeight="1" x14ac:dyDescent="0.2">
      <c r="A109" s="3100"/>
      <c r="B109" s="3104"/>
      <c r="C109" s="3105"/>
      <c r="D109" s="3020"/>
      <c r="E109" s="3020"/>
      <c r="F109" s="3020"/>
      <c r="G109" s="412"/>
      <c r="H109" s="2030"/>
      <c r="I109" s="2031"/>
      <c r="J109" s="2991">
        <v>234</v>
      </c>
      <c r="K109" s="2992" t="s">
        <v>1899</v>
      </c>
      <c r="L109" s="2992" t="s">
        <v>1900</v>
      </c>
      <c r="M109" s="2946">
        <v>2</v>
      </c>
      <c r="N109" s="2966" t="s">
        <v>1901</v>
      </c>
      <c r="O109" s="2934" t="s">
        <v>1902</v>
      </c>
      <c r="P109" s="2942" t="s">
        <v>1903</v>
      </c>
      <c r="Q109" s="3031">
        <f>SUM(V109:V113)/R109</f>
        <v>0.22058823529411764</v>
      </c>
      <c r="R109" s="2982">
        <f>SUM(V109:V125)</f>
        <v>68000000</v>
      </c>
      <c r="S109" s="2945" t="s">
        <v>1904</v>
      </c>
      <c r="T109" s="2945" t="s">
        <v>1905</v>
      </c>
      <c r="U109" s="2043" t="s">
        <v>1906</v>
      </c>
      <c r="V109" s="2054">
        <f>5000000-5000000</f>
        <v>0</v>
      </c>
      <c r="W109" s="2112" t="s">
        <v>60</v>
      </c>
      <c r="X109" s="2039" t="s">
        <v>1850</v>
      </c>
      <c r="Y109" s="2940">
        <v>638</v>
      </c>
      <c r="Z109" s="2940">
        <v>612</v>
      </c>
      <c r="AA109" s="2940">
        <v>380</v>
      </c>
      <c r="AB109" s="2940">
        <v>280</v>
      </c>
      <c r="AC109" s="2940">
        <v>161</v>
      </c>
      <c r="AD109" s="2940">
        <v>429</v>
      </c>
      <c r="AE109" s="2940"/>
      <c r="AF109" s="2940"/>
      <c r="AG109" s="2940"/>
      <c r="AH109" s="2940"/>
      <c r="AI109" s="2940"/>
      <c r="AJ109" s="2940"/>
      <c r="AK109" s="2940"/>
      <c r="AL109" s="2940"/>
      <c r="AM109" s="2940"/>
      <c r="AN109" s="2940">
        <f>+Y109+Z109</f>
        <v>1250</v>
      </c>
      <c r="AO109" s="2910">
        <v>43475</v>
      </c>
      <c r="AP109" s="2910">
        <v>43809</v>
      </c>
      <c r="AQ109" s="2913" t="s">
        <v>1827</v>
      </c>
    </row>
    <row r="110" spans="1:43" s="404" customFormat="1" ht="38.25" customHeight="1" x14ac:dyDescent="0.2">
      <c r="A110" s="3100"/>
      <c r="B110" s="3104"/>
      <c r="C110" s="3105"/>
      <c r="D110" s="3020"/>
      <c r="E110" s="3020"/>
      <c r="F110" s="3020"/>
      <c r="G110" s="412"/>
      <c r="H110" s="2035"/>
      <c r="I110" s="2036"/>
      <c r="J110" s="2991"/>
      <c r="K110" s="2992"/>
      <c r="L110" s="2992"/>
      <c r="M110" s="2946"/>
      <c r="N110" s="2948"/>
      <c r="O110" s="2934"/>
      <c r="P110" s="2942"/>
      <c r="Q110" s="3031"/>
      <c r="R110" s="2983"/>
      <c r="S110" s="2945"/>
      <c r="T110" s="2945"/>
      <c r="U110" s="3012" t="s">
        <v>1907</v>
      </c>
      <c r="V110" s="2054">
        <f>0+5000000</f>
        <v>5000000</v>
      </c>
      <c r="W110" s="2112" t="s">
        <v>60</v>
      </c>
      <c r="X110" s="2039" t="s">
        <v>1850</v>
      </c>
      <c r="Y110" s="2940"/>
      <c r="Z110" s="2940"/>
      <c r="AA110" s="2940"/>
      <c r="AB110" s="2940"/>
      <c r="AC110" s="2940"/>
      <c r="AD110" s="2940"/>
      <c r="AE110" s="2940"/>
      <c r="AF110" s="2940"/>
      <c r="AG110" s="2940"/>
      <c r="AH110" s="2940"/>
      <c r="AI110" s="2940"/>
      <c r="AJ110" s="2940"/>
      <c r="AK110" s="2940"/>
      <c r="AL110" s="2940"/>
      <c r="AM110" s="2940"/>
      <c r="AN110" s="2940"/>
      <c r="AO110" s="2911"/>
      <c r="AP110" s="2911"/>
      <c r="AQ110" s="2913"/>
    </row>
    <row r="111" spans="1:43" s="404" customFormat="1" ht="38.25" customHeight="1" x14ac:dyDescent="0.2">
      <c r="A111" s="3100"/>
      <c r="B111" s="3104"/>
      <c r="C111" s="3105"/>
      <c r="D111" s="3020"/>
      <c r="E111" s="3020"/>
      <c r="F111" s="3020"/>
      <c r="G111" s="412"/>
      <c r="H111" s="2035"/>
      <c r="I111" s="2036"/>
      <c r="J111" s="2991"/>
      <c r="K111" s="2992"/>
      <c r="L111" s="2992"/>
      <c r="M111" s="2946"/>
      <c r="N111" s="2948"/>
      <c r="O111" s="2934"/>
      <c r="P111" s="2942"/>
      <c r="Q111" s="3031"/>
      <c r="R111" s="2983"/>
      <c r="S111" s="2945"/>
      <c r="T111" s="2945"/>
      <c r="U111" s="3013"/>
      <c r="V111" s="2054">
        <f>0+3000000</f>
        <v>3000000</v>
      </c>
      <c r="W111" s="2112">
        <v>88</v>
      </c>
      <c r="X111" s="2039" t="s">
        <v>1908</v>
      </c>
      <c r="Y111" s="2940"/>
      <c r="Z111" s="2940"/>
      <c r="AA111" s="2940"/>
      <c r="AB111" s="2940"/>
      <c r="AC111" s="2940"/>
      <c r="AD111" s="2940"/>
      <c r="AE111" s="2940"/>
      <c r="AF111" s="2940"/>
      <c r="AG111" s="2940"/>
      <c r="AH111" s="2940"/>
      <c r="AI111" s="2940"/>
      <c r="AJ111" s="2940"/>
      <c r="AK111" s="2940"/>
      <c r="AL111" s="2940"/>
      <c r="AM111" s="2940"/>
      <c r="AN111" s="2940"/>
      <c r="AO111" s="2911"/>
      <c r="AP111" s="2911"/>
      <c r="AQ111" s="2913"/>
    </row>
    <row r="112" spans="1:43" s="404" customFormat="1" ht="38.25" customHeight="1" x14ac:dyDescent="0.2">
      <c r="A112" s="3100"/>
      <c r="B112" s="3104"/>
      <c r="C112" s="3105"/>
      <c r="D112" s="3020"/>
      <c r="E112" s="3020"/>
      <c r="F112" s="3020"/>
      <c r="G112" s="412"/>
      <c r="H112" s="2035"/>
      <c r="I112" s="2036"/>
      <c r="J112" s="2991"/>
      <c r="K112" s="2992"/>
      <c r="L112" s="2992"/>
      <c r="M112" s="2946"/>
      <c r="N112" s="2948"/>
      <c r="O112" s="2934"/>
      <c r="P112" s="2942"/>
      <c r="Q112" s="3031"/>
      <c r="R112" s="2983"/>
      <c r="S112" s="2945"/>
      <c r="T112" s="2945"/>
      <c r="U112" s="3027" t="s">
        <v>1909</v>
      </c>
      <c r="V112" s="2054">
        <v>5000000</v>
      </c>
      <c r="W112" s="2074">
        <v>20</v>
      </c>
      <c r="X112" s="2039" t="s">
        <v>61</v>
      </c>
      <c r="Y112" s="2940"/>
      <c r="Z112" s="2940"/>
      <c r="AA112" s="2940"/>
      <c r="AB112" s="2940"/>
      <c r="AC112" s="2940"/>
      <c r="AD112" s="2940"/>
      <c r="AE112" s="2940"/>
      <c r="AF112" s="2940"/>
      <c r="AG112" s="2940"/>
      <c r="AH112" s="2940"/>
      <c r="AI112" s="2940"/>
      <c r="AJ112" s="2940"/>
      <c r="AK112" s="2940"/>
      <c r="AL112" s="2940"/>
      <c r="AM112" s="2940"/>
      <c r="AN112" s="2940"/>
      <c r="AO112" s="2911"/>
      <c r="AP112" s="2911"/>
      <c r="AQ112" s="2913"/>
    </row>
    <row r="113" spans="1:43" s="404" customFormat="1" ht="33" customHeight="1" x14ac:dyDescent="0.2">
      <c r="A113" s="3100"/>
      <c r="B113" s="3104"/>
      <c r="C113" s="3105"/>
      <c r="D113" s="3020"/>
      <c r="E113" s="3020"/>
      <c r="F113" s="3020"/>
      <c r="G113" s="412"/>
      <c r="H113" s="2035"/>
      <c r="I113" s="2036"/>
      <c r="J113" s="2991"/>
      <c r="K113" s="2992"/>
      <c r="L113" s="2992"/>
      <c r="M113" s="2946"/>
      <c r="N113" s="2948"/>
      <c r="O113" s="2934"/>
      <c r="P113" s="2942"/>
      <c r="Q113" s="3031"/>
      <c r="R113" s="2983"/>
      <c r="S113" s="2945"/>
      <c r="T113" s="2945"/>
      <c r="U113" s="3028"/>
      <c r="V113" s="2054">
        <f>0+2000000</f>
        <v>2000000</v>
      </c>
      <c r="W113" s="2112">
        <v>88</v>
      </c>
      <c r="X113" s="2039" t="s">
        <v>1908</v>
      </c>
      <c r="Y113" s="2941"/>
      <c r="Z113" s="2941"/>
      <c r="AA113" s="2941"/>
      <c r="AB113" s="2941"/>
      <c r="AC113" s="2941"/>
      <c r="AD113" s="2941"/>
      <c r="AE113" s="2941"/>
      <c r="AF113" s="2941"/>
      <c r="AG113" s="2941"/>
      <c r="AH113" s="2941"/>
      <c r="AI113" s="2941"/>
      <c r="AJ113" s="2941"/>
      <c r="AK113" s="2941"/>
      <c r="AL113" s="2941"/>
      <c r="AM113" s="2941"/>
      <c r="AN113" s="2941"/>
      <c r="AO113" s="2911"/>
      <c r="AP113" s="2911"/>
      <c r="AQ113" s="2914"/>
    </row>
    <row r="114" spans="1:43" s="404" customFormat="1" ht="45.75" customHeight="1" x14ac:dyDescent="0.2">
      <c r="A114" s="3100"/>
      <c r="B114" s="3104"/>
      <c r="C114" s="3105"/>
      <c r="D114" s="3020"/>
      <c r="E114" s="3020"/>
      <c r="F114" s="3020"/>
      <c r="G114" s="412"/>
      <c r="H114" s="2035"/>
      <c r="I114" s="2036"/>
      <c r="J114" s="2991">
        <v>235</v>
      </c>
      <c r="K114" s="2992" t="s">
        <v>1910</v>
      </c>
      <c r="L114" s="2992" t="s">
        <v>1911</v>
      </c>
      <c r="M114" s="2946">
        <v>2</v>
      </c>
      <c r="N114" s="2948"/>
      <c r="O114" s="2934"/>
      <c r="P114" s="2942"/>
      <c r="Q114" s="3031">
        <f>SUM(V114:V125)/R109</f>
        <v>0.77941176470588236</v>
      </c>
      <c r="R114" s="2983"/>
      <c r="S114" s="2945"/>
      <c r="T114" s="2958"/>
      <c r="U114" s="1981" t="s">
        <v>1912</v>
      </c>
      <c r="V114" s="2054">
        <f>2000000-2000000</f>
        <v>0</v>
      </c>
      <c r="W114" s="2074">
        <v>20</v>
      </c>
      <c r="X114" s="2039" t="s">
        <v>61</v>
      </c>
      <c r="Y114" s="2941"/>
      <c r="Z114" s="2941"/>
      <c r="AA114" s="2941"/>
      <c r="AB114" s="2941"/>
      <c r="AC114" s="2941"/>
      <c r="AD114" s="2941"/>
      <c r="AE114" s="2941"/>
      <c r="AF114" s="2941"/>
      <c r="AG114" s="2941"/>
      <c r="AH114" s="2941"/>
      <c r="AI114" s="2941"/>
      <c r="AJ114" s="2941"/>
      <c r="AK114" s="2941"/>
      <c r="AL114" s="2941"/>
      <c r="AM114" s="2941"/>
      <c r="AN114" s="2941"/>
      <c r="AO114" s="2911"/>
      <c r="AP114" s="2911"/>
      <c r="AQ114" s="2914"/>
    </row>
    <row r="115" spans="1:43" s="404" customFormat="1" ht="32.25" customHeight="1" x14ac:dyDescent="0.2">
      <c r="A115" s="3100"/>
      <c r="B115" s="3104"/>
      <c r="C115" s="3105"/>
      <c r="D115" s="3020"/>
      <c r="E115" s="3020"/>
      <c r="F115" s="3020"/>
      <c r="G115" s="412"/>
      <c r="H115" s="2035"/>
      <c r="I115" s="2036"/>
      <c r="J115" s="2991"/>
      <c r="K115" s="2992"/>
      <c r="L115" s="2992"/>
      <c r="M115" s="2946"/>
      <c r="N115" s="2948"/>
      <c r="O115" s="2934"/>
      <c r="P115" s="2942"/>
      <c r="Q115" s="3031"/>
      <c r="R115" s="2983"/>
      <c r="S115" s="2945"/>
      <c r="T115" s="2958"/>
      <c r="U115" s="3029" t="s">
        <v>1913</v>
      </c>
      <c r="V115" s="2054">
        <f>0+2000000</f>
        <v>2000000</v>
      </c>
      <c r="W115" s="2074">
        <v>20</v>
      </c>
      <c r="X115" s="2039" t="s">
        <v>61</v>
      </c>
      <c r="Y115" s="2941"/>
      <c r="Z115" s="2941"/>
      <c r="AA115" s="2941"/>
      <c r="AB115" s="2941"/>
      <c r="AC115" s="2941"/>
      <c r="AD115" s="2941"/>
      <c r="AE115" s="2941"/>
      <c r="AF115" s="2941"/>
      <c r="AG115" s="2941"/>
      <c r="AH115" s="2941"/>
      <c r="AI115" s="2941"/>
      <c r="AJ115" s="2941"/>
      <c r="AK115" s="2941"/>
      <c r="AL115" s="2941"/>
      <c r="AM115" s="2941"/>
      <c r="AN115" s="2941"/>
      <c r="AO115" s="2911"/>
      <c r="AP115" s="2911"/>
      <c r="AQ115" s="2914"/>
    </row>
    <row r="116" spans="1:43" s="404" customFormat="1" ht="32.25" customHeight="1" x14ac:dyDescent="0.2">
      <c r="A116" s="3100"/>
      <c r="B116" s="3104"/>
      <c r="C116" s="3105"/>
      <c r="D116" s="3020"/>
      <c r="E116" s="3020"/>
      <c r="F116" s="3020"/>
      <c r="G116" s="412"/>
      <c r="H116" s="2035"/>
      <c r="I116" s="2036"/>
      <c r="J116" s="2991"/>
      <c r="K116" s="2992"/>
      <c r="L116" s="2992"/>
      <c r="M116" s="2946"/>
      <c r="N116" s="2948"/>
      <c r="O116" s="2934"/>
      <c r="P116" s="2942"/>
      <c r="Q116" s="3031"/>
      <c r="R116" s="2983"/>
      <c r="S116" s="2945"/>
      <c r="T116" s="2958"/>
      <c r="U116" s="3030"/>
      <c r="V116" s="2054">
        <v>400000</v>
      </c>
      <c r="W116" s="2113">
        <v>88</v>
      </c>
      <c r="X116" s="2114" t="s">
        <v>1908</v>
      </c>
      <c r="Y116" s="2941"/>
      <c r="Z116" s="2941"/>
      <c r="AA116" s="2941"/>
      <c r="AB116" s="2941"/>
      <c r="AC116" s="2941"/>
      <c r="AD116" s="2941"/>
      <c r="AE116" s="2941"/>
      <c r="AF116" s="2941"/>
      <c r="AG116" s="2941"/>
      <c r="AH116" s="2941"/>
      <c r="AI116" s="2941"/>
      <c r="AJ116" s="2941"/>
      <c r="AK116" s="2941"/>
      <c r="AL116" s="2941"/>
      <c r="AM116" s="2941"/>
      <c r="AN116" s="2941"/>
      <c r="AO116" s="2911"/>
      <c r="AP116" s="2911"/>
      <c r="AQ116" s="2914"/>
    </row>
    <row r="117" spans="1:43" s="404" customFormat="1" ht="34.5" customHeight="1" x14ac:dyDescent="0.2">
      <c r="A117" s="3100"/>
      <c r="B117" s="3104"/>
      <c r="C117" s="3105"/>
      <c r="D117" s="3020"/>
      <c r="E117" s="3020"/>
      <c r="F117" s="3020"/>
      <c r="G117" s="412"/>
      <c r="H117" s="2035"/>
      <c r="I117" s="2036"/>
      <c r="J117" s="2991"/>
      <c r="K117" s="2992"/>
      <c r="L117" s="2992"/>
      <c r="M117" s="2946"/>
      <c r="N117" s="2948"/>
      <c r="O117" s="2934"/>
      <c r="P117" s="2942"/>
      <c r="Q117" s="3031"/>
      <c r="R117" s="2983"/>
      <c r="S117" s="2945"/>
      <c r="T117" s="2958"/>
      <c r="U117" s="1981" t="s">
        <v>1914</v>
      </c>
      <c r="V117" s="2054">
        <f>4000000+1000000</f>
        <v>5000000</v>
      </c>
      <c r="W117" s="2074">
        <v>20</v>
      </c>
      <c r="X117" s="2039" t="s">
        <v>61</v>
      </c>
      <c r="Y117" s="2941"/>
      <c r="Z117" s="2941"/>
      <c r="AA117" s="2941"/>
      <c r="AB117" s="2941"/>
      <c r="AC117" s="2941"/>
      <c r="AD117" s="2941"/>
      <c r="AE117" s="2941"/>
      <c r="AF117" s="2941"/>
      <c r="AG117" s="2941"/>
      <c r="AH117" s="2941"/>
      <c r="AI117" s="2941"/>
      <c r="AJ117" s="2941"/>
      <c r="AK117" s="2941"/>
      <c r="AL117" s="2941"/>
      <c r="AM117" s="2941"/>
      <c r="AN117" s="2941"/>
      <c r="AO117" s="2911"/>
      <c r="AP117" s="2911"/>
      <c r="AQ117" s="2914"/>
    </row>
    <row r="118" spans="1:43" s="404" customFormat="1" ht="31.5" customHeight="1" x14ac:dyDescent="0.2">
      <c r="A118" s="3100"/>
      <c r="B118" s="3104"/>
      <c r="C118" s="3105"/>
      <c r="D118" s="3020"/>
      <c r="E118" s="3020"/>
      <c r="F118" s="3020"/>
      <c r="G118" s="412"/>
      <c r="H118" s="2035"/>
      <c r="I118" s="2036"/>
      <c r="J118" s="2991"/>
      <c r="K118" s="2992"/>
      <c r="L118" s="2992"/>
      <c r="M118" s="2946"/>
      <c r="N118" s="2948"/>
      <c r="O118" s="2934"/>
      <c r="P118" s="2942"/>
      <c r="Q118" s="3031"/>
      <c r="R118" s="2983"/>
      <c r="S118" s="2945"/>
      <c r="T118" s="2958"/>
      <c r="U118" s="2960" t="s">
        <v>1915</v>
      </c>
      <c r="V118" s="2054">
        <f>4000000</f>
        <v>4000000</v>
      </c>
      <c r="W118" s="2074">
        <v>20</v>
      </c>
      <c r="X118" s="2039" t="s">
        <v>61</v>
      </c>
      <c r="Y118" s="2941"/>
      <c r="Z118" s="2941"/>
      <c r="AA118" s="2941"/>
      <c r="AB118" s="2941"/>
      <c r="AC118" s="2941"/>
      <c r="AD118" s="2941"/>
      <c r="AE118" s="2941"/>
      <c r="AF118" s="2941"/>
      <c r="AG118" s="2941"/>
      <c r="AH118" s="2941"/>
      <c r="AI118" s="2941"/>
      <c r="AJ118" s="2941"/>
      <c r="AK118" s="2941"/>
      <c r="AL118" s="2941"/>
      <c r="AM118" s="2941"/>
      <c r="AN118" s="2941"/>
      <c r="AO118" s="2911"/>
      <c r="AP118" s="2911"/>
      <c r="AQ118" s="2914"/>
    </row>
    <row r="119" spans="1:43" s="404" customFormat="1" ht="31.5" customHeight="1" x14ac:dyDescent="0.2">
      <c r="A119" s="3100"/>
      <c r="B119" s="3104"/>
      <c r="C119" s="3105"/>
      <c r="D119" s="3020"/>
      <c r="E119" s="3020"/>
      <c r="F119" s="3020"/>
      <c r="G119" s="412"/>
      <c r="H119" s="2035"/>
      <c r="I119" s="2036"/>
      <c r="J119" s="2991"/>
      <c r="K119" s="2992"/>
      <c r="L119" s="2992"/>
      <c r="M119" s="2946"/>
      <c r="N119" s="2948"/>
      <c r="O119" s="2934"/>
      <c r="P119" s="2942"/>
      <c r="Q119" s="3031"/>
      <c r="R119" s="2983"/>
      <c r="S119" s="2945"/>
      <c r="T119" s="2958"/>
      <c r="U119" s="2961"/>
      <c r="V119" s="2054">
        <f>0+9600000+7000000</f>
        <v>16600000</v>
      </c>
      <c r="W119" s="2113">
        <v>88</v>
      </c>
      <c r="X119" s="2114" t="s">
        <v>1908</v>
      </c>
      <c r="Y119" s="2941"/>
      <c r="Z119" s="2941"/>
      <c r="AA119" s="2941"/>
      <c r="AB119" s="2941"/>
      <c r="AC119" s="2941"/>
      <c r="AD119" s="2941"/>
      <c r="AE119" s="2941"/>
      <c r="AF119" s="2941"/>
      <c r="AG119" s="2941"/>
      <c r="AH119" s="2941"/>
      <c r="AI119" s="2941"/>
      <c r="AJ119" s="2941"/>
      <c r="AK119" s="2941"/>
      <c r="AL119" s="2941"/>
      <c r="AM119" s="2941"/>
      <c r="AN119" s="2941"/>
      <c r="AO119" s="2911"/>
      <c r="AP119" s="2911"/>
      <c r="AQ119" s="2914"/>
    </row>
    <row r="120" spans="1:43" s="404" customFormat="1" ht="21.75" customHeight="1" x14ac:dyDescent="0.2">
      <c r="A120" s="3100"/>
      <c r="B120" s="3104"/>
      <c r="C120" s="3105"/>
      <c r="D120" s="3020"/>
      <c r="E120" s="3020"/>
      <c r="F120" s="3020"/>
      <c r="G120" s="412"/>
      <c r="H120" s="2035"/>
      <c r="I120" s="2036"/>
      <c r="J120" s="2991"/>
      <c r="K120" s="2992"/>
      <c r="L120" s="2992"/>
      <c r="M120" s="2946"/>
      <c r="N120" s="2948"/>
      <c r="O120" s="2934"/>
      <c r="P120" s="2942"/>
      <c r="Q120" s="3031"/>
      <c r="R120" s="2983"/>
      <c r="S120" s="2945"/>
      <c r="T120" s="2958"/>
      <c r="U120" s="1981" t="s">
        <v>1916</v>
      </c>
      <c r="V120" s="2054">
        <f>0+1000000</f>
        <v>1000000</v>
      </c>
      <c r="W120" s="2074">
        <v>20</v>
      </c>
      <c r="X120" s="2039" t="s">
        <v>61</v>
      </c>
      <c r="Y120" s="2941"/>
      <c r="Z120" s="2941"/>
      <c r="AA120" s="2941"/>
      <c r="AB120" s="2941"/>
      <c r="AC120" s="2941"/>
      <c r="AD120" s="2941"/>
      <c r="AE120" s="2941"/>
      <c r="AF120" s="2941"/>
      <c r="AG120" s="2941"/>
      <c r="AH120" s="2941"/>
      <c r="AI120" s="2941"/>
      <c r="AJ120" s="2941"/>
      <c r="AK120" s="2941"/>
      <c r="AL120" s="2941"/>
      <c r="AM120" s="2941"/>
      <c r="AN120" s="2941"/>
      <c r="AO120" s="2911"/>
      <c r="AP120" s="2911"/>
      <c r="AQ120" s="2914"/>
    </row>
    <row r="121" spans="1:43" s="404" customFormat="1" ht="27.75" customHeight="1" x14ac:dyDescent="0.2">
      <c r="A121" s="3100"/>
      <c r="B121" s="3104"/>
      <c r="C121" s="3105"/>
      <c r="D121" s="3020"/>
      <c r="E121" s="3020"/>
      <c r="F121" s="3020"/>
      <c r="G121" s="412"/>
      <c r="H121" s="2035"/>
      <c r="I121" s="2036"/>
      <c r="J121" s="2991"/>
      <c r="K121" s="2992"/>
      <c r="L121" s="2992"/>
      <c r="M121" s="2946"/>
      <c r="N121" s="2948"/>
      <c r="O121" s="2934"/>
      <c r="P121" s="2942"/>
      <c r="Q121" s="3031"/>
      <c r="R121" s="2983"/>
      <c r="S121" s="2945"/>
      <c r="T121" s="2958"/>
      <c r="U121" s="1981" t="s">
        <v>1917</v>
      </c>
      <c r="V121" s="2054">
        <v>1000000</v>
      </c>
      <c r="W121" s="2115">
        <v>20</v>
      </c>
      <c r="X121" s="2039" t="s">
        <v>61</v>
      </c>
      <c r="Y121" s="2941"/>
      <c r="Z121" s="2941"/>
      <c r="AA121" s="2941"/>
      <c r="AB121" s="2941"/>
      <c r="AC121" s="2941"/>
      <c r="AD121" s="2941"/>
      <c r="AE121" s="2941"/>
      <c r="AF121" s="2941"/>
      <c r="AG121" s="2941"/>
      <c r="AH121" s="2941"/>
      <c r="AI121" s="2941"/>
      <c r="AJ121" s="2941"/>
      <c r="AK121" s="2941"/>
      <c r="AL121" s="2941"/>
      <c r="AM121" s="2941"/>
      <c r="AN121" s="2941"/>
      <c r="AO121" s="2911"/>
      <c r="AP121" s="2911"/>
      <c r="AQ121" s="2914"/>
    </row>
    <row r="122" spans="1:43" s="404" customFormat="1" ht="23.25" customHeight="1" x14ac:dyDescent="0.2">
      <c r="A122" s="3100"/>
      <c r="B122" s="3104"/>
      <c r="C122" s="3105"/>
      <c r="D122" s="3020"/>
      <c r="E122" s="3020"/>
      <c r="F122" s="3020"/>
      <c r="G122" s="412"/>
      <c r="H122" s="2035"/>
      <c r="I122" s="2036"/>
      <c r="J122" s="2991"/>
      <c r="K122" s="2992"/>
      <c r="L122" s="2992"/>
      <c r="M122" s="2946"/>
      <c r="N122" s="2948"/>
      <c r="O122" s="2934"/>
      <c r="P122" s="2942"/>
      <c r="Q122" s="3031"/>
      <c r="R122" s="2983"/>
      <c r="S122" s="2945"/>
      <c r="T122" s="2958"/>
      <c r="U122" s="3029" t="s">
        <v>1918</v>
      </c>
      <c r="V122" s="2104">
        <v>2000000</v>
      </c>
      <c r="W122" s="2116">
        <v>20</v>
      </c>
      <c r="X122" s="2117" t="s">
        <v>61</v>
      </c>
      <c r="Y122" s="2941"/>
      <c r="Z122" s="2941"/>
      <c r="AA122" s="2941"/>
      <c r="AB122" s="2941"/>
      <c r="AC122" s="2941"/>
      <c r="AD122" s="2941"/>
      <c r="AE122" s="2941"/>
      <c r="AF122" s="2941"/>
      <c r="AG122" s="2941"/>
      <c r="AH122" s="2941"/>
      <c r="AI122" s="2941"/>
      <c r="AJ122" s="2941"/>
      <c r="AK122" s="2941"/>
      <c r="AL122" s="2941"/>
      <c r="AM122" s="2941"/>
      <c r="AN122" s="2941"/>
      <c r="AO122" s="2911"/>
      <c r="AP122" s="2911"/>
      <c r="AQ122" s="2914"/>
    </row>
    <row r="123" spans="1:43" s="404" customFormat="1" ht="24.75" customHeight="1" x14ac:dyDescent="0.2">
      <c r="A123" s="3100"/>
      <c r="B123" s="3104"/>
      <c r="C123" s="3105"/>
      <c r="D123" s="3020"/>
      <c r="E123" s="3020"/>
      <c r="F123" s="3020"/>
      <c r="G123" s="412"/>
      <c r="H123" s="2035"/>
      <c r="I123" s="2036"/>
      <c r="J123" s="2991"/>
      <c r="K123" s="2992"/>
      <c r="L123" s="2992"/>
      <c r="M123" s="2946"/>
      <c r="N123" s="2948"/>
      <c r="O123" s="2934"/>
      <c r="P123" s="2942"/>
      <c r="Q123" s="3031"/>
      <c r="R123" s="2983"/>
      <c r="S123" s="2945"/>
      <c r="T123" s="2958"/>
      <c r="U123" s="3030"/>
      <c r="V123" s="2104">
        <f>8000000-8000000+10000000</f>
        <v>10000000</v>
      </c>
      <c r="W123" s="1373">
        <v>88</v>
      </c>
      <c r="X123" s="1373" t="s">
        <v>1908</v>
      </c>
      <c r="Y123" s="2941"/>
      <c r="Z123" s="2941"/>
      <c r="AA123" s="2941"/>
      <c r="AB123" s="2941"/>
      <c r="AC123" s="2941"/>
      <c r="AD123" s="2941"/>
      <c r="AE123" s="2941"/>
      <c r="AF123" s="2941"/>
      <c r="AG123" s="2941"/>
      <c r="AH123" s="2941"/>
      <c r="AI123" s="2941"/>
      <c r="AJ123" s="2941"/>
      <c r="AK123" s="2941"/>
      <c r="AL123" s="2941"/>
      <c r="AM123" s="2941"/>
      <c r="AN123" s="2941"/>
      <c r="AO123" s="2911"/>
      <c r="AP123" s="2911"/>
      <c r="AQ123" s="2914"/>
    </row>
    <row r="124" spans="1:43" s="404" customFormat="1" ht="30" customHeight="1" x14ac:dyDescent="0.2">
      <c r="A124" s="3100"/>
      <c r="B124" s="3104"/>
      <c r="C124" s="3105"/>
      <c r="D124" s="3020"/>
      <c r="E124" s="3020"/>
      <c r="F124" s="3020"/>
      <c r="G124" s="412"/>
      <c r="H124" s="2035"/>
      <c r="I124" s="2036"/>
      <c r="J124" s="2991"/>
      <c r="K124" s="2992"/>
      <c r="L124" s="2992"/>
      <c r="M124" s="2946"/>
      <c r="N124" s="2948"/>
      <c r="O124" s="2934"/>
      <c r="P124" s="2942"/>
      <c r="Q124" s="3031"/>
      <c r="R124" s="2983"/>
      <c r="S124" s="2945"/>
      <c r="T124" s="2958"/>
      <c r="U124" s="3029" t="s">
        <v>1919</v>
      </c>
      <c r="V124" s="2104">
        <v>3000000</v>
      </c>
      <c r="W124" s="2118">
        <v>20</v>
      </c>
      <c r="X124" s="2119" t="s">
        <v>61</v>
      </c>
      <c r="Y124" s="2941"/>
      <c r="Z124" s="2941"/>
      <c r="AA124" s="2941"/>
      <c r="AB124" s="2941"/>
      <c r="AC124" s="2941"/>
      <c r="AD124" s="2941"/>
      <c r="AE124" s="2941"/>
      <c r="AF124" s="2941"/>
      <c r="AG124" s="2941"/>
      <c r="AH124" s="2941"/>
      <c r="AI124" s="2941"/>
      <c r="AJ124" s="2941"/>
      <c r="AK124" s="2941"/>
      <c r="AL124" s="2941"/>
      <c r="AM124" s="2941"/>
      <c r="AN124" s="2941"/>
      <c r="AO124" s="2911"/>
      <c r="AP124" s="2911"/>
      <c r="AQ124" s="2914"/>
    </row>
    <row r="125" spans="1:43" s="404" customFormat="1" ht="25.5" customHeight="1" x14ac:dyDescent="0.2">
      <c r="A125" s="3100"/>
      <c r="B125" s="3104"/>
      <c r="C125" s="3105"/>
      <c r="D125" s="3020"/>
      <c r="E125" s="3020"/>
      <c r="F125" s="3020"/>
      <c r="G125" s="412"/>
      <c r="H125" s="2055"/>
      <c r="I125" s="2056"/>
      <c r="J125" s="2991"/>
      <c r="K125" s="2992"/>
      <c r="L125" s="2992"/>
      <c r="M125" s="2946"/>
      <c r="N125" s="2948"/>
      <c r="O125" s="2934"/>
      <c r="P125" s="2942"/>
      <c r="Q125" s="3031"/>
      <c r="R125" s="2984"/>
      <c r="S125" s="2945"/>
      <c r="T125" s="2958"/>
      <c r="U125" s="3030"/>
      <c r="V125" s="2104">
        <f>0+2000000-2000000+8000000</f>
        <v>8000000</v>
      </c>
      <c r="W125" s="1373">
        <v>88</v>
      </c>
      <c r="X125" s="1373" t="s">
        <v>1908</v>
      </c>
      <c r="Y125" s="2965"/>
      <c r="Z125" s="2941"/>
      <c r="AA125" s="2941"/>
      <c r="AB125" s="2941"/>
      <c r="AC125" s="2941"/>
      <c r="AD125" s="2941"/>
      <c r="AE125" s="2941"/>
      <c r="AF125" s="2941"/>
      <c r="AG125" s="2941"/>
      <c r="AH125" s="2941"/>
      <c r="AI125" s="2941"/>
      <c r="AJ125" s="2941"/>
      <c r="AK125" s="2941"/>
      <c r="AL125" s="2941"/>
      <c r="AM125" s="2941"/>
      <c r="AN125" s="2941"/>
      <c r="AO125" s="2912"/>
      <c r="AP125" s="2912"/>
      <c r="AQ125" s="2914"/>
    </row>
    <row r="126" spans="1:43" s="412" customFormat="1" ht="15" customHeight="1" x14ac:dyDescent="0.2">
      <c r="A126" s="3100"/>
      <c r="B126" s="3104"/>
      <c r="C126" s="3105"/>
      <c r="D126" s="777">
        <v>25</v>
      </c>
      <c r="E126" s="778" t="s">
        <v>1920</v>
      </c>
      <c r="F126" s="778"/>
      <c r="G126" s="2007"/>
      <c r="H126" s="2007"/>
      <c r="I126" s="2007"/>
      <c r="J126" s="2078"/>
      <c r="K126" s="2079"/>
      <c r="L126" s="989"/>
      <c r="M126" s="988"/>
      <c r="N126" s="2011"/>
      <c r="O126" s="2008"/>
      <c r="P126" s="2010"/>
      <c r="Q126" s="2080"/>
      <c r="R126" s="2081"/>
      <c r="S126" s="2079"/>
      <c r="T126" s="2079"/>
      <c r="U126" s="2079"/>
      <c r="V126" s="2082"/>
      <c r="W126" s="2120"/>
      <c r="X126" s="2120"/>
      <c r="Y126" s="2007"/>
      <c r="Z126" s="2007"/>
      <c r="AA126" s="2007"/>
      <c r="AB126" s="2007"/>
      <c r="AC126" s="2007"/>
      <c r="AD126" s="2007"/>
      <c r="AE126" s="2007"/>
      <c r="AF126" s="2007"/>
      <c r="AG126" s="2007"/>
      <c r="AH126" s="2007"/>
      <c r="AI126" s="2007"/>
      <c r="AJ126" s="2007"/>
      <c r="AK126" s="2007"/>
      <c r="AL126" s="2017"/>
      <c r="AM126" s="2010"/>
      <c r="AN126" s="2010"/>
      <c r="AO126" s="2010"/>
      <c r="AP126" s="2010"/>
      <c r="AQ126" s="2018"/>
    </row>
    <row r="127" spans="1:43" s="412" customFormat="1" ht="15" customHeight="1" x14ac:dyDescent="0.2">
      <c r="A127" s="3100"/>
      <c r="B127" s="3104"/>
      <c r="C127" s="3105"/>
      <c r="D127" s="3020"/>
      <c r="E127" s="3020"/>
      <c r="F127" s="3020"/>
      <c r="G127" s="2019">
        <v>81</v>
      </c>
      <c r="H127" s="864" t="s">
        <v>1921</v>
      </c>
      <c r="I127" s="864"/>
      <c r="J127" s="2020"/>
      <c r="K127" s="2021"/>
      <c r="L127" s="2022"/>
      <c r="M127" s="921"/>
      <c r="N127" s="926"/>
      <c r="O127" s="927"/>
      <c r="P127" s="866"/>
      <c r="Q127" s="2023"/>
      <c r="R127" s="2085"/>
      <c r="S127" s="2021"/>
      <c r="T127" s="2021"/>
      <c r="U127" s="2021"/>
      <c r="V127" s="2121"/>
      <c r="W127" s="869"/>
      <c r="X127" s="869"/>
      <c r="Y127" s="869"/>
      <c r="Z127" s="869"/>
      <c r="AA127" s="869"/>
      <c r="AB127" s="869"/>
      <c r="AC127" s="869"/>
      <c r="AD127" s="869"/>
      <c r="AE127" s="869"/>
      <c r="AF127" s="869"/>
      <c r="AG127" s="869"/>
      <c r="AH127" s="869"/>
      <c r="AI127" s="869"/>
      <c r="AJ127" s="869"/>
      <c r="AK127" s="871"/>
      <c r="AL127" s="871"/>
      <c r="AM127" s="866"/>
      <c r="AN127" s="866"/>
      <c r="AO127" s="866"/>
      <c r="AP127" s="866"/>
      <c r="AQ127" s="872"/>
    </row>
    <row r="128" spans="1:43" s="404" customFormat="1" ht="36.75" customHeight="1" x14ac:dyDescent="0.2">
      <c r="A128" s="3100"/>
      <c r="B128" s="3104"/>
      <c r="C128" s="3105"/>
      <c r="D128" s="3020"/>
      <c r="E128" s="3020"/>
      <c r="F128" s="3020"/>
      <c r="G128" s="412"/>
      <c r="H128" s="2030"/>
      <c r="I128" s="2031"/>
      <c r="J128" s="2957">
        <v>236</v>
      </c>
      <c r="K128" s="3021" t="s">
        <v>1922</v>
      </c>
      <c r="L128" s="3021" t="s">
        <v>1923</v>
      </c>
      <c r="M128" s="2957">
        <f>3+4</f>
        <v>7</v>
      </c>
      <c r="N128" s="3023" t="s">
        <v>1924</v>
      </c>
      <c r="O128" s="2934" t="s">
        <v>1925</v>
      </c>
      <c r="P128" s="2942" t="s">
        <v>1926</v>
      </c>
      <c r="Q128" s="2981">
        <f>SUM(V128:V129)/R128</f>
        <v>0.17984899897336584</v>
      </c>
      <c r="R128" s="2988">
        <f>SUM(V128:V157)</f>
        <v>1055866861</v>
      </c>
      <c r="S128" s="2945" t="s">
        <v>1927</v>
      </c>
      <c r="T128" s="2945" t="s">
        <v>1928</v>
      </c>
      <c r="U128" s="3012" t="s">
        <v>1929</v>
      </c>
      <c r="V128" s="2054">
        <f>100000000+1850000</f>
        <v>101850000</v>
      </c>
      <c r="W128" s="2122" t="s">
        <v>60</v>
      </c>
      <c r="X128" s="2039" t="s">
        <v>1850</v>
      </c>
      <c r="Y128" s="3004">
        <v>9110</v>
      </c>
      <c r="Z128" s="3004">
        <v>8787</v>
      </c>
      <c r="AA128" s="3004">
        <v>4273</v>
      </c>
      <c r="AB128" s="3004">
        <v>3599</v>
      </c>
      <c r="AC128" s="3004">
        <v>7463</v>
      </c>
      <c r="AD128" s="3004">
        <v>2562</v>
      </c>
      <c r="AE128" s="2940"/>
      <c r="AF128" s="2940"/>
      <c r="AG128" s="2940"/>
      <c r="AH128" s="2940"/>
      <c r="AI128" s="2940"/>
      <c r="AJ128" s="2940"/>
      <c r="AK128" s="2940"/>
      <c r="AL128" s="2940"/>
      <c r="AM128" s="2940"/>
      <c r="AN128" s="2940">
        <v>17897</v>
      </c>
      <c r="AO128" s="2910">
        <v>43480</v>
      </c>
      <c r="AP128" s="2910">
        <v>43819</v>
      </c>
      <c r="AQ128" s="2913" t="s">
        <v>1827</v>
      </c>
    </row>
    <row r="129" spans="1:43" s="404" customFormat="1" ht="34.5" customHeight="1" x14ac:dyDescent="0.2">
      <c r="A129" s="3100"/>
      <c r="B129" s="3104"/>
      <c r="C129" s="3105"/>
      <c r="D129" s="3020"/>
      <c r="E129" s="3020"/>
      <c r="F129" s="3020"/>
      <c r="G129" s="412"/>
      <c r="H129" s="2035"/>
      <c r="I129" s="2036"/>
      <c r="J129" s="2931"/>
      <c r="K129" s="3022"/>
      <c r="L129" s="3022"/>
      <c r="M129" s="2931"/>
      <c r="N129" s="3023"/>
      <c r="O129" s="2934"/>
      <c r="P129" s="2942"/>
      <c r="Q129" s="2981"/>
      <c r="R129" s="2989"/>
      <c r="S129" s="2945"/>
      <c r="T129" s="2945"/>
      <c r="U129" s="3013"/>
      <c r="V129" s="2070">
        <f>74499598+13547000</f>
        <v>88046598</v>
      </c>
      <c r="W129" s="2123">
        <v>88</v>
      </c>
      <c r="X129" s="2124" t="s">
        <v>163</v>
      </c>
      <c r="Y129" s="3005"/>
      <c r="Z129" s="3005"/>
      <c r="AA129" s="3005"/>
      <c r="AB129" s="3005"/>
      <c r="AC129" s="3005"/>
      <c r="AD129" s="3005"/>
      <c r="AE129" s="2940"/>
      <c r="AF129" s="2940"/>
      <c r="AG129" s="2940"/>
      <c r="AH129" s="2940"/>
      <c r="AI129" s="2940"/>
      <c r="AJ129" s="2940"/>
      <c r="AK129" s="2940"/>
      <c r="AL129" s="2940"/>
      <c r="AM129" s="2940"/>
      <c r="AN129" s="2940"/>
      <c r="AO129" s="2911"/>
      <c r="AP129" s="2911"/>
      <c r="AQ129" s="2913"/>
    </row>
    <row r="130" spans="1:43" s="404" customFormat="1" ht="57.75" customHeight="1" x14ac:dyDescent="0.2">
      <c r="A130" s="3100"/>
      <c r="B130" s="3104"/>
      <c r="C130" s="3105"/>
      <c r="D130" s="3020"/>
      <c r="E130" s="3020"/>
      <c r="F130" s="3020"/>
      <c r="G130" s="412"/>
      <c r="H130" s="2035"/>
      <c r="I130" s="2036"/>
      <c r="J130" s="2991">
        <v>237</v>
      </c>
      <c r="K130" s="2992" t="s">
        <v>1930</v>
      </c>
      <c r="L130" s="2992" t="s">
        <v>1931</v>
      </c>
      <c r="M130" s="2991">
        <v>5</v>
      </c>
      <c r="N130" s="3023"/>
      <c r="O130" s="2934"/>
      <c r="P130" s="2942"/>
      <c r="Q130" s="2981">
        <f>SUM(V130:V131)/R128</f>
        <v>1.8941782092732996E-2</v>
      </c>
      <c r="R130" s="2989"/>
      <c r="S130" s="2945"/>
      <c r="T130" s="2945"/>
      <c r="U130" s="2125" t="s">
        <v>1932</v>
      </c>
      <c r="V130" s="2071">
        <v>10000000</v>
      </c>
      <c r="W130" s="2126">
        <v>20</v>
      </c>
      <c r="X130" s="2119" t="s">
        <v>61</v>
      </c>
      <c r="Y130" s="3014"/>
      <c r="Z130" s="3005"/>
      <c r="AA130" s="3005"/>
      <c r="AB130" s="3005"/>
      <c r="AC130" s="3005"/>
      <c r="AD130" s="3005"/>
      <c r="AE130" s="2941"/>
      <c r="AF130" s="2941"/>
      <c r="AG130" s="2941"/>
      <c r="AH130" s="2941"/>
      <c r="AI130" s="2941"/>
      <c r="AJ130" s="2941"/>
      <c r="AK130" s="2941"/>
      <c r="AL130" s="2941"/>
      <c r="AM130" s="2941"/>
      <c r="AN130" s="2941"/>
      <c r="AO130" s="2911"/>
      <c r="AP130" s="2911"/>
      <c r="AQ130" s="2659"/>
    </row>
    <row r="131" spans="1:43" s="404" customFormat="1" ht="51.75" customHeight="1" x14ac:dyDescent="0.2">
      <c r="A131" s="3100"/>
      <c r="B131" s="3104"/>
      <c r="C131" s="3105"/>
      <c r="D131" s="3020"/>
      <c r="E131" s="3020"/>
      <c r="F131" s="3020"/>
      <c r="G131" s="412"/>
      <c r="H131" s="2035"/>
      <c r="I131" s="2036"/>
      <c r="J131" s="2991"/>
      <c r="K131" s="2992"/>
      <c r="L131" s="2992"/>
      <c r="M131" s="2991"/>
      <c r="N131" s="3023"/>
      <c r="O131" s="2934"/>
      <c r="P131" s="2942"/>
      <c r="Q131" s="2981"/>
      <c r="R131" s="2989"/>
      <c r="S131" s="2945"/>
      <c r="T131" s="2945"/>
      <c r="U131" s="2127" t="s">
        <v>1933</v>
      </c>
      <c r="V131" s="2071">
        <f>11850000-1850000</f>
        <v>10000000</v>
      </c>
      <c r="W131" s="2126">
        <v>20</v>
      </c>
      <c r="X131" s="2119" t="s">
        <v>61</v>
      </c>
      <c r="Y131" s="3014"/>
      <c r="Z131" s="3005"/>
      <c r="AA131" s="3005"/>
      <c r="AB131" s="3005"/>
      <c r="AC131" s="3005"/>
      <c r="AD131" s="3005"/>
      <c r="AE131" s="2941"/>
      <c r="AF131" s="2941"/>
      <c r="AG131" s="2941"/>
      <c r="AH131" s="2941"/>
      <c r="AI131" s="2941"/>
      <c r="AJ131" s="2941"/>
      <c r="AK131" s="2941"/>
      <c r="AL131" s="2941"/>
      <c r="AM131" s="2941"/>
      <c r="AN131" s="2941"/>
      <c r="AO131" s="2911"/>
      <c r="AP131" s="2911"/>
      <c r="AQ131" s="2659"/>
    </row>
    <row r="132" spans="1:43" s="404" customFormat="1" ht="27.75" customHeight="1" x14ac:dyDescent="0.2">
      <c r="A132" s="3100"/>
      <c r="B132" s="3104"/>
      <c r="C132" s="3105"/>
      <c r="D132" s="3020"/>
      <c r="E132" s="3020"/>
      <c r="F132" s="3020"/>
      <c r="G132" s="412"/>
      <c r="H132" s="2035"/>
      <c r="I132" s="2036"/>
      <c r="J132" s="2993">
        <v>238</v>
      </c>
      <c r="K132" s="2998" t="s">
        <v>1934</v>
      </c>
      <c r="L132" s="3001" t="s">
        <v>1935</v>
      </c>
      <c r="M132" s="2993">
        <v>12</v>
      </c>
      <c r="N132" s="3023"/>
      <c r="O132" s="2934"/>
      <c r="P132" s="2942"/>
      <c r="Q132" s="2981">
        <f>SUM(V132:V142)/R128</f>
        <v>0.12220373492714438</v>
      </c>
      <c r="R132" s="2989"/>
      <c r="S132" s="2945"/>
      <c r="T132" s="2958"/>
      <c r="U132" s="3015" t="s">
        <v>1936</v>
      </c>
      <c r="V132" s="2128">
        <f>23000000-4559834</f>
        <v>18440166</v>
      </c>
      <c r="W132" s="2129">
        <v>20</v>
      </c>
      <c r="X132" s="2130" t="s">
        <v>61</v>
      </c>
      <c r="Y132" s="3005"/>
      <c r="Z132" s="3005"/>
      <c r="AA132" s="3005"/>
      <c r="AB132" s="3005"/>
      <c r="AC132" s="3005"/>
      <c r="AD132" s="3005"/>
      <c r="AE132" s="2941"/>
      <c r="AF132" s="2941"/>
      <c r="AG132" s="2941"/>
      <c r="AH132" s="2941"/>
      <c r="AI132" s="2941"/>
      <c r="AJ132" s="2941"/>
      <c r="AK132" s="2941"/>
      <c r="AL132" s="2941"/>
      <c r="AM132" s="2941"/>
      <c r="AN132" s="2941"/>
      <c r="AO132" s="2911"/>
      <c r="AP132" s="2911"/>
      <c r="AQ132" s="2659"/>
    </row>
    <row r="133" spans="1:43" s="404" customFormat="1" ht="27.75" customHeight="1" x14ac:dyDescent="0.2">
      <c r="A133" s="3100"/>
      <c r="B133" s="3104"/>
      <c r="C133" s="3105"/>
      <c r="D133" s="3020"/>
      <c r="E133" s="3020"/>
      <c r="F133" s="3020"/>
      <c r="G133" s="412"/>
      <c r="H133" s="2035"/>
      <c r="I133" s="2036"/>
      <c r="J133" s="2926"/>
      <c r="K133" s="2999"/>
      <c r="L133" s="3002"/>
      <c r="M133" s="2926"/>
      <c r="N133" s="3023"/>
      <c r="O133" s="2934"/>
      <c r="P133" s="2942"/>
      <c r="Q133" s="2981"/>
      <c r="R133" s="2989"/>
      <c r="S133" s="2945"/>
      <c r="T133" s="2958"/>
      <c r="U133" s="3016"/>
      <c r="V133" s="2131">
        <f>0+20000000+11618000</f>
        <v>31618000</v>
      </c>
      <c r="W133" s="2132">
        <v>88</v>
      </c>
      <c r="X133" s="2124" t="s">
        <v>163</v>
      </c>
      <c r="Y133" s="3005"/>
      <c r="Z133" s="3005"/>
      <c r="AA133" s="3005"/>
      <c r="AB133" s="3005"/>
      <c r="AC133" s="3005"/>
      <c r="AD133" s="3005"/>
      <c r="AE133" s="2941"/>
      <c r="AF133" s="2941"/>
      <c r="AG133" s="2941"/>
      <c r="AH133" s="2941"/>
      <c r="AI133" s="2941"/>
      <c r="AJ133" s="2941"/>
      <c r="AK133" s="2941"/>
      <c r="AL133" s="2941"/>
      <c r="AM133" s="2941"/>
      <c r="AN133" s="2941"/>
      <c r="AO133" s="2911"/>
      <c r="AP133" s="2911"/>
      <c r="AQ133" s="2659"/>
    </row>
    <row r="134" spans="1:43" s="404" customFormat="1" ht="28.5" customHeight="1" x14ac:dyDescent="0.2">
      <c r="A134" s="3100"/>
      <c r="B134" s="3104"/>
      <c r="C134" s="3105"/>
      <c r="D134" s="3020"/>
      <c r="E134" s="3020"/>
      <c r="F134" s="3020"/>
      <c r="G134" s="412"/>
      <c r="H134" s="2035"/>
      <c r="I134" s="2036"/>
      <c r="J134" s="2926"/>
      <c r="K134" s="2999"/>
      <c r="L134" s="3002"/>
      <c r="M134" s="2926"/>
      <c r="N134" s="3023"/>
      <c r="O134" s="2934"/>
      <c r="P134" s="2942"/>
      <c r="Q134" s="2981"/>
      <c r="R134" s="2989"/>
      <c r="S134" s="2945"/>
      <c r="T134" s="2958"/>
      <c r="U134" s="3015" t="s">
        <v>1937</v>
      </c>
      <c r="V134" s="2133">
        <f>15550000-15550000</f>
        <v>0</v>
      </c>
      <c r="W134" s="2113">
        <v>20</v>
      </c>
      <c r="X134" s="2114" t="s">
        <v>61</v>
      </c>
      <c r="Y134" s="3014"/>
      <c r="Z134" s="3005"/>
      <c r="AA134" s="3005"/>
      <c r="AB134" s="3005"/>
      <c r="AC134" s="3005"/>
      <c r="AD134" s="3005"/>
      <c r="AE134" s="2941"/>
      <c r="AF134" s="2941"/>
      <c r="AG134" s="2941"/>
      <c r="AH134" s="2941"/>
      <c r="AI134" s="2941"/>
      <c r="AJ134" s="2941"/>
      <c r="AK134" s="2941"/>
      <c r="AL134" s="2941"/>
      <c r="AM134" s="2941"/>
      <c r="AN134" s="2941"/>
      <c r="AO134" s="2911"/>
      <c r="AP134" s="2911"/>
      <c r="AQ134" s="2659"/>
    </row>
    <row r="135" spans="1:43" s="404" customFormat="1" ht="28.5" customHeight="1" x14ac:dyDescent="0.2">
      <c r="A135" s="3100"/>
      <c r="B135" s="3104"/>
      <c r="C135" s="3105"/>
      <c r="D135" s="3020"/>
      <c r="E135" s="3020"/>
      <c r="F135" s="3020"/>
      <c r="G135" s="412"/>
      <c r="H135" s="2035"/>
      <c r="I135" s="2036"/>
      <c r="J135" s="2926"/>
      <c r="K135" s="2999"/>
      <c r="L135" s="3002"/>
      <c r="M135" s="2926"/>
      <c r="N135" s="3023"/>
      <c r="O135" s="2934"/>
      <c r="P135" s="2942"/>
      <c r="Q135" s="2981"/>
      <c r="R135" s="2989"/>
      <c r="S135" s="2945"/>
      <c r="T135" s="2958"/>
      <c r="U135" s="3016"/>
      <c r="V135" s="2131">
        <f>0+15000000</f>
        <v>15000000</v>
      </c>
      <c r="W135" s="2132">
        <v>88</v>
      </c>
      <c r="X135" s="2124" t="s">
        <v>163</v>
      </c>
      <c r="Y135" s="3014"/>
      <c r="Z135" s="3005"/>
      <c r="AA135" s="3005"/>
      <c r="AB135" s="3005"/>
      <c r="AC135" s="3005"/>
      <c r="AD135" s="3005"/>
      <c r="AE135" s="2941"/>
      <c r="AF135" s="2941"/>
      <c r="AG135" s="2941"/>
      <c r="AH135" s="2941"/>
      <c r="AI135" s="2941"/>
      <c r="AJ135" s="2941"/>
      <c r="AK135" s="2941"/>
      <c r="AL135" s="2941"/>
      <c r="AM135" s="2941"/>
      <c r="AN135" s="2941"/>
      <c r="AO135" s="2911"/>
      <c r="AP135" s="2911"/>
      <c r="AQ135" s="2659"/>
    </row>
    <row r="136" spans="1:43" s="404" customFormat="1" ht="28.5" customHeight="1" x14ac:dyDescent="0.2">
      <c r="A136" s="3100"/>
      <c r="B136" s="3104"/>
      <c r="C136" s="3105"/>
      <c r="D136" s="3020"/>
      <c r="E136" s="3020"/>
      <c r="F136" s="3020"/>
      <c r="G136" s="412"/>
      <c r="H136" s="2035"/>
      <c r="I136" s="2036"/>
      <c r="J136" s="2926"/>
      <c r="K136" s="2999"/>
      <c r="L136" s="3002"/>
      <c r="M136" s="2926"/>
      <c r="N136" s="3023"/>
      <c r="O136" s="2934"/>
      <c r="P136" s="2942"/>
      <c r="Q136" s="2981"/>
      <c r="R136" s="2989"/>
      <c r="S136" s="2945"/>
      <c r="T136" s="2958"/>
      <c r="U136" s="3015" t="s">
        <v>1938</v>
      </c>
      <c r="V136" s="2131">
        <v>13000000</v>
      </c>
      <c r="W136" s="2113">
        <v>20</v>
      </c>
      <c r="X136" s="2114" t="s">
        <v>61</v>
      </c>
      <c r="Y136" s="3014"/>
      <c r="Z136" s="3005"/>
      <c r="AA136" s="3005"/>
      <c r="AB136" s="3005"/>
      <c r="AC136" s="3005"/>
      <c r="AD136" s="3005"/>
      <c r="AE136" s="2941"/>
      <c r="AF136" s="2941"/>
      <c r="AG136" s="2941"/>
      <c r="AH136" s="2941"/>
      <c r="AI136" s="2941"/>
      <c r="AJ136" s="2941"/>
      <c r="AK136" s="2941"/>
      <c r="AL136" s="2941"/>
      <c r="AM136" s="2941"/>
      <c r="AN136" s="2941"/>
      <c r="AO136" s="2911"/>
      <c r="AP136" s="2911"/>
      <c r="AQ136" s="2659"/>
    </row>
    <row r="137" spans="1:43" s="404" customFormat="1" ht="28.5" customHeight="1" x14ac:dyDescent="0.2">
      <c r="A137" s="3100"/>
      <c r="B137" s="3104"/>
      <c r="C137" s="3105"/>
      <c r="D137" s="3020"/>
      <c r="E137" s="3020"/>
      <c r="F137" s="3020"/>
      <c r="G137" s="412"/>
      <c r="H137" s="2035"/>
      <c r="I137" s="2036"/>
      <c r="J137" s="2926"/>
      <c r="K137" s="2999"/>
      <c r="L137" s="3002"/>
      <c r="M137" s="2926"/>
      <c r="N137" s="3023"/>
      <c r="O137" s="2934"/>
      <c r="P137" s="2942"/>
      <c r="Q137" s="2981"/>
      <c r="R137" s="2989"/>
      <c r="S137" s="2945"/>
      <c r="T137" s="2958"/>
      <c r="U137" s="3017"/>
      <c r="V137" s="2071">
        <f>0+11000000</f>
        <v>11000000</v>
      </c>
      <c r="W137" s="2132">
        <v>88</v>
      </c>
      <c r="X137" s="2124" t="s">
        <v>163</v>
      </c>
      <c r="Y137" s="3014"/>
      <c r="Z137" s="3005"/>
      <c r="AA137" s="3005"/>
      <c r="AB137" s="3005"/>
      <c r="AC137" s="3005"/>
      <c r="AD137" s="3005"/>
      <c r="AE137" s="2941"/>
      <c r="AF137" s="2941"/>
      <c r="AG137" s="2941"/>
      <c r="AH137" s="2941"/>
      <c r="AI137" s="2941"/>
      <c r="AJ137" s="2941"/>
      <c r="AK137" s="2941"/>
      <c r="AL137" s="2941"/>
      <c r="AM137" s="2941"/>
      <c r="AN137" s="2941"/>
      <c r="AO137" s="2911"/>
      <c r="AP137" s="2911"/>
      <c r="AQ137" s="2659"/>
    </row>
    <row r="138" spans="1:43" s="404" customFormat="1" ht="28.5" customHeight="1" x14ac:dyDescent="0.2">
      <c r="A138" s="3100"/>
      <c r="B138" s="3104"/>
      <c r="C138" s="3105"/>
      <c r="D138" s="3020"/>
      <c r="E138" s="3020"/>
      <c r="F138" s="3020"/>
      <c r="G138" s="412"/>
      <c r="H138" s="2035"/>
      <c r="I138" s="2036"/>
      <c r="J138" s="2926"/>
      <c r="K138" s="2999"/>
      <c r="L138" s="3002"/>
      <c r="M138" s="2926"/>
      <c r="N138" s="3023"/>
      <c r="O138" s="2934"/>
      <c r="P138" s="2942"/>
      <c r="Q138" s="2981"/>
      <c r="R138" s="2989"/>
      <c r="S138" s="2945"/>
      <c r="T138" s="2958"/>
      <c r="U138" s="3015" t="s">
        <v>1939</v>
      </c>
      <c r="V138" s="2134">
        <f>11000000-9535882</f>
        <v>1464118</v>
      </c>
      <c r="W138" s="2113">
        <v>20</v>
      </c>
      <c r="X138" s="2114" t="s">
        <v>61</v>
      </c>
      <c r="Y138" s="3014"/>
      <c r="Z138" s="3005"/>
      <c r="AA138" s="3005"/>
      <c r="AB138" s="3005"/>
      <c r="AC138" s="3005"/>
      <c r="AD138" s="3005"/>
      <c r="AE138" s="2941"/>
      <c r="AF138" s="2941"/>
      <c r="AG138" s="2941"/>
      <c r="AH138" s="2941"/>
      <c r="AI138" s="2941"/>
      <c r="AJ138" s="2941"/>
      <c r="AK138" s="2941"/>
      <c r="AL138" s="2941"/>
      <c r="AM138" s="2941"/>
      <c r="AN138" s="2941"/>
      <c r="AO138" s="2911"/>
      <c r="AP138" s="2911"/>
      <c r="AQ138" s="2659"/>
    </row>
    <row r="139" spans="1:43" s="404" customFormat="1" ht="28.5" customHeight="1" x14ac:dyDescent="0.2">
      <c r="A139" s="3100"/>
      <c r="B139" s="3104"/>
      <c r="C139" s="3105"/>
      <c r="D139" s="3020"/>
      <c r="E139" s="3020"/>
      <c r="F139" s="3020"/>
      <c r="G139" s="412"/>
      <c r="H139" s="2035"/>
      <c r="I139" s="2036"/>
      <c r="J139" s="2926"/>
      <c r="K139" s="2999"/>
      <c r="L139" s="3002"/>
      <c r="M139" s="2926"/>
      <c r="N139" s="3023"/>
      <c r="O139" s="2934"/>
      <c r="P139" s="2942"/>
      <c r="Q139" s="2981"/>
      <c r="R139" s="2989"/>
      <c r="S139" s="2945"/>
      <c r="T139" s="2958"/>
      <c r="U139" s="3018"/>
      <c r="V139" s="2135">
        <f>0+2035882</f>
        <v>2035882</v>
      </c>
      <c r="W139" s="2132">
        <v>88</v>
      </c>
      <c r="X139" s="2124" t="s">
        <v>163</v>
      </c>
      <c r="Y139" s="3014"/>
      <c r="Z139" s="3005"/>
      <c r="AA139" s="3005"/>
      <c r="AB139" s="3005"/>
      <c r="AC139" s="3005"/>
      <c r="AD139" s="3005"/>
      <c r="AE139" s="2941"/>
      <c r="AF139" s="2941"/>
      <c r="AG139" s="2941"/>
      <c r="AH139" s="2941"/>
      <c r="AI139" s="2941"/>
      <c r="AJ139" s="2941"/>
      <c r="AK139" s="2941"/>
      <c r="AL139" s="2941"/>
      <c r="AM139" s="2941"/>
      <c r="AN139" s="2941"/>
      <c r="AO139" s="2911"/>
      <c r="AP139" s="2911"/>
      <c r="AQ139" s="2659"/>
    </row>
    <row r="140" spans="1:43" s="404" customFormat="1" ht="40.5" customHeight="1" x14ac:dyDescent="0.2">
      <c r="A140" s="3100"/>
      <c r="B140" s="3104"/>
      <c r="C140" s="3105"/>
      <c r="D140" s="3020"/>
      <c r="E140" s="3020"/>
      <c r="F140" s="3020"/>
      <c r="G140" s="412"/>
      <c r="H140" s="2035"/>
      <c r="I140" s="2036"/>
      <c r="J140" s="2926"/>
      <c r="K140" s="2999"/>
      <c r="L140" s="3002"/>
      <c r="M140" s="2926"/>
      <c r="N140" s="3023"/>
      <c r="O140" s="2934"/>
      <c r="P140" s="2942"/>
      <c r="Q140" s="2981"/>
      <c r="R140" s="2989"/>
      <c r="S140" s="2945"/>
      <c r="T140" s="2958"/>
      <c r="U140" s="2136" t="s">
        <v>1940</v>
      </c>
      <c r="V140" s="2137">
        <f>0+22889708</f>
        <v>22889708</v>
      </c>
      <c r="W140" s="2132">
        <v>88</v>
      </c>
      <c r="X140" s="2124" t="s">
        <v>163</v>
      </c>
      <c r="Y140" s="3014"/>
      <c r="Z140" s="3005"/>
      <c r="AA140" s="3005"/>
      <c r="AB140" s="3005"/>
      <c r="AC140" s="3005"/>
      <c r="AD140" s="3005"/>
      <c r="AE140" s="2941"/>
      <c r="AF140" s="2941"/>
      <c r="AG140" s="2941"/>
      <c r="AH140" s="2941"/>
      <c r="AI140" s="2941"/>
      <c r="AJ140" s="2941"/>
      <c r="AK140" s="2941"/>
      <c r="AL140" s="2941"/>
      <c r="AM140" s="2941"/>
      <c r="AN140" s="2941"/>
      <c r="AO140" s="2911"/>
      <c r="AP140" s="2911"/>
      <c r="AQ140" s="2659"/>
    </row>
    <row r="141" spans="1:43" s="404" customFormat="1" ht="28.5" customHeight="1" x14ac:dyDescent="0.2">
      <c r="A141" s="3100"/>
      <c r="B141" s="3104"/>
      <c r="C141" s="3105"/>
      <c r="D141" s="3020"/>
      <c r="E141" s="3020"/>
      <c r="F141" s="3020"/>
      <c r="G141" s="412"/>
      <c r="H141" s="2035"/>
      <c r="I141" s="2036"/>
      <c r="J141" s="2926"/>
      <c r="K141" s="2999"/>
      <c r="L141" s="3002"/>
      <c r="M141" s="2926"/>
      <c r="N141" s="3023"/>
      <c r="O141" s="2934"/>
      <c r="P141" s="2942"/>
      <c r="Q141" s="2981"/>
      <c r="R141" s="2989"/>
      <c r="S141" s="2945"/>
      <c r="T141" s="2958"/>
      <c r="U141" s="3015" t="s">
        <v>1941</v>
      </c>
      <c r="V141" s="2138">
        <v>10000000</v>
      </c>
      <c r="W141" s="2126">
        <v>20</v>
      </c>
      <c r="X141" s="2139" t="s">
        <v>61</v>
      </c>
      <c r="Y141" s="3014"/>
      <c r="Z141" s="3005"/>
      <c r="AA141" s="3005"/>
      <c r="AB141" s="3005"/>
      <c r="AC141" s="3005"/>
      <c r="AD141" s="3005"/>
      <c r="AE141" s="2941"/>
      <c r="AF141" s="2941"/>
      <c r="AG141" s="2941"/>
      <c r="AH141" s="2941"/>
      <c r="AI141" s="2941"/>
      <c r="AJ141" s="2941"/>
      <c r="AK141" s="2941"/>
      <c r="AL141" s="2941"/>
      <c r="AM141" s="2941"/>
      <c r="AN141" s="2941"/>
      <c r="AO141" s="2911"/>
      <c r="AP141" s="2911"/>
      <c r="AQ141" s="2659"/>
    </row>
    <row r="142" spans="1:43" s="404" customFormat="1" ht="28.5" customHeight="1" x14ac:dyDescent="0.2">
      <c r="A142" s="3100"/>
      <c r="B142" s="3104"/>
      <c r="C142" s="3105"/>
      <c r="D142" s="3020"/>
      <c r="E142" s="3020"/>
      <c r="F142" s="3020"/>
      <c r="G142" s="412"/>
      <c r="H142" s="2035"/>
      <c r="I142" s="2036"/>
      <c r="J142" s="2927"/>
      <c r="K142" s="3000"/>
      <c r="L142" s="3003"/>
      <c r="M142" s="2927"/>
      <c r="N142" s="3023"/>
      <c r="O142" s="2934"/>
      <c r="P142" s="2942"/>
      <c r="Q142" s="2985">
        <f>SUM(V143:V145)/R128</f>
        <v>0.25077523765564985</v>
      </c>
      <c r="R142" s="2989"/>
      <c r="S142" s="2945"/>
      <c r="T142" s="2958"/>
      <c r="U142" s="3017"/>
      <c r="V142" s="2137">
        <f>0+3583000</f>
        <v>3583000</v>
      </c>
      <c r="W142" s="2132">
        <v>88</v>
      </c>
      <c r="X142" s="2124" t="s">
        <v>163</v>
      </c>
      <c r="Y142" s="3014"/>
      <c r="Z142" s="3005"/>
      <c r="AA142" s="3005"/>
      <c r="AB142" s="3005"/>
      <c r="AC142" s="3005"/>
      <c r="AD142" s="3005"/>
      <c r="AE142" s="2941"/>
      <c r="AF142" s="2941"/>
      <c r="AG142" s="2941"/>
      <c r="AH142" s="2941"/>
      <c r="AI142" s="2941"/>
      <c r="AJ142" s="2941"/>
      <c r="AK142" s="2941"/>
      <c r="AL142" s="2941"/>
      <c r="AM142" s="2941"/>
      <c r="AN142" s="2941"/>
      <c r="AO142" s="2911"/>
      <c r="AP142" s="2911"/>
      <c r="AQ142" s="2659"/>
    </row>
    <row r="143" spans="1:43" s="404" customFormat="1" ht="27" customHeight="1" x14ac:dyDescent="0.2">
      <c r="A143" s="3100"/>
      <c r="B143" s="3104"/>
      <c r="C143" s="3105"/>
      <c r="D143" s="3020"/>
      <c r="E143" s="3020"/>
      <c r="F143" s="3020"/>
      <c r="G143" s="412"/>
      <c r="H143" s="2035"/>
      <c r="I143" s="2036"/>
      <c r="J143" s="2993">
        <v>239</v>
      </c>
      <c r="K143" s="2998" t="s">
        <v>1942</v>
      </c>
      <c r="L143" s="2998" t="s">
        <v>1943</v>
      </c>
      <c r="M143" s="3025">
        <v>1.98</v>
      </c>
      <c r="N143" s="3023"/>
      <c r="O143" s="2934"/>
      <c r="P143" s="2942"/>
      <c r="Q143" s="2986"/>
      <c r="R143" s="2989"/>
      <c r="S143" s="2945"/>
      <c r="T143" s="2958"/>
      <c r="U143" s="3019" t="s">
        <v>1944</v>
      </c>
      <c r="V143" s="2128">
        <v>74800000</v>
      </c>
      <c r="W143" s="2129">
        <v>20</v>
      </c>
      <c r="X143" s="2130" t="s">
        <v>61</v>
      </c>
      <c r="Y143" s="3005"/>
      <c r="Z143" s="3005"/>
      <c r="AA143" s="3005"/>
      <c r="AB143" s="3005"/>
      <c r="AC143" s="3005"/>
      <c r="AD143" s="3005"/>
      <c r="AE143" s="2941"/>
      <c r="AF143" s="2941"/>
      <c r="AG143" s="2941"/>
      <c r="AH143" s="2941"/>
      <c r="AI143" s="2941"/>
      <c r="AJ143" s="2941"/>
      <c r="AK143" s="2941"/>
      <c r="AL143" s="2941"/>
      <c r="AM143" s="2941"/>
      <c r="AN143" s="2941"/>
      <c r="AO143" s="2911"/>
      <c r="AP143" s="2911"/>
      <c r="AQ143" s="2659"/>
    </row>
    <row r="144" spans="1:43" s="404" customFormat="1" ht="29.25" customHeight="1" x14ac:dyDescent="0.2">
      <c r="A144" s="3100"/>
      <c r="B144" s="3104"/>
      <c r="C144" s="3105"/>
      <c r="D144" s="3020"/>
      <c r="E144" s="3020"/>
      <c r="F144" s="3020"/>
      <c r="G144" s="412"/>
      <c r="H144" s="2035"/>
      <c r="I144" s="2036"/>
      <c r="J144" s="2926"/>
      <c r="K144" s="2999"/>
      <c r="L144" s="2999"/>
      <c r="M144" s="3026"/>
      <c r="N144" s="3023"/>
      <c r="O144" s="2934"/>
      <c r="P144" s="2942"/>
      <c r="Q144" s="2986"/>
      <c r="R144" s="2989"/>
      <c r="S144" s="2945"/>
      <c r="T144" s="2958"/>
      <c r="U144" s="3019"/>
      <c r="V144" s="2133">
        <v>20000000</v>
      </c>
      <c r="W144" s="2113">
        <v>88</v>
      </c>
      <c r="X144" s="2114" t="s">
        <v>163</v>
      </c>
      <c r="Y144" s="3005"/>
      <c r="Z144" s="3005"/>
      <c r="AA144" s="3005"/>
      <c r="AB144" s="3005"/>
      <c r="AC144" s="3005"/>
      <c r="AD144" s="3005"/>
      <c r="AE144" s="2941"/>
      <c r="AF144" s="2941"/>
      <c r="AG144" s="2941"/>
      <c r="AH144" s="2941"/>
      <c r="AI144" s="2941"/>
      <c r="AJ144" s="2941"/>
      <c r="AK144" s="2941"/>
      <c r="AL144" s="2941"/>
      <c r="AM144" s="2941"/>
      <c r="AN144" s="2941"/>
      <c r="AO144" s="2911"/>
      <c r="AP144" s="2911"/>
      <c r="AQ144" s="2659"/>
    </row>
    <row r="145" spans="1:43" s="404" customFormat="1" ht="29.25" customHeight="1" x14ac:dyDescent="0.2">
      <c r="A145" s="3100"/>
      <c r="B145" s="3104"/>
      <c r="C145" s="3105"/>
      <c r="D145" s="3020"/>
      <c r="E145" s="3020"/>
      <c r="F145" s="3020"/>
      <c r="G145" s="412"/>
      <c r="H145" s="2035"/>
      <c r="I145" s="2036"/>
      <c r="J145" s="2926"/>
      <c r="K145" s="2999"/>
      <c r="L145" s="2999"/>
      <c r="M145" s="3026"/>
      <c r="N145" s="3023"/>
      <c r="O145" s="2934"/>
      <c r="P145" s="2942"/>
      <c r="Q145" s="2987"/>
      <c r="R145" s="2989"/>
      <c r="S145" s="2945"/>
      <c r="T145" s="2958"/>
      <c r="U145" s="3019"/>
      <c r="V145" s="2133">
        <f>0+169985263</f>
        <v>169985263</v>
      </c>
      <c r="W145" s="2113">
        <v>163</v>
      </c>
      <c r="X145" s="2140" t="s">
        <v>1945</v>
      </c>
      <c r="Y145" s="3005"/>
      <c r="Z145" s="3005"/>
      <c r="AA145" s="3005"/>
      <c r="AB145" s="3005"/>
      <c r="AC145" s="3005"/>
      <c r="AD145" s="3005"/>
      <c r="AE145" s="2941"/>
      <c r="AF145" s="2941"/>
      <c r="AG145" s="2941"/>
      <c r="AH145" s="2941"/>
      <c r="AI145" s="2941"/>
      <c r="AJ145" s="2941"/>
      <c r="AK145" s="2941"/>
      <c r="AL145" s="2941"/>
      <c r="AM145" s="2941"/>
      <c r="AN145" s="2941"/>
      <c r="AO145" s="2911"/>
      <c r="AP145" s="2911"/>
      <c r="AQ145" s="2659"/>
    </row>
    <row r="146" spans="1:43" s="404" customFormat="1" ht="30" customHeight="1" x14ac:dyDescent="0.2">
      <c r="A146" s="3100"/>
      <c r="B146" s="3104"/>
      <c r="C146" s="3105"/>
      <c r="D146" s="3020"/>
      <c r="E146" s="3020"/>
      <c r="F146" s="3020"/>
      <c r="G146" s="412"/>
      <c r="H146" s="2035"/>
      <c r="I146" s="2036"/>
      <c r="J146" s="2991">
        <v>240</v>
      </c>
      <c r="K146" s="2992" t="s">
        <v>1946</v>
      </c>
      <c r="L146" s="3024" t="s">
        <v>1947</v>
      </c>
      <c r="M146" s="2991">
        <v>1</v>
      </c>
      <c r="N146" s="3023"/>
      <c r="O146" s="2934"/>
      <c r="P146" s="2942"/>
      <c r="Q146" s="2981">
        <f>SUM(V146:V157)/R128</f>
        <v>0.42823024635110696</v>
      </c>
      <c r="R146" s="2989"/>
      <c r="S146" s="2945"/>
      <c r="T146" s="2958"/>
      <c r="U146" s="2046" t="s">
        <v>1948</v>
      </c>
      <c r="V146" s="2128">
        <f>10000000-3180700</f>
        <v>6819300</v>
      </c>
      <c r="W146" s="2129">
        <v>20</v>
      </c>
      <c r="X146" s="2130" t="s">
        <v>61</v>
      </c>
      <c r="Y146" s="3005"/>
      <c r="Z146" s="3005"/>
      <c r="AA146" s="3005"/>
      <c r="AB146" s="3005"/>
      <c r="AC146" s="3005"/>
      <c r="AD146" s="3005"/>
      <c r="AE146" s="2941"/>
      <c r="AF146" s="2941"/>
      <c r="AG146" s="2941"/>
      <c r="AH146" s="2941"/>
      <c r="AI146" s="2941"/>
      <c r="AJ146" s="2941"/>
      <c r="AK146" s="2941"/>
      <c r="AL146" s="2941"/>
      <c r="AM146" s="2941"/>
      <c r="AN146" s="2941"/>
      <c r="AO146" s="2911"/>
      <c r="AP146" s="2911"/>
      <c r="AQ146" s="2659"/>
    </row>
    <row r="147" spans="1:43" s="404" customFormat="1" ht="28.5" customHeight="1" x14ac:dyDescent="0.2">
      <c r="A147" s="3100"/>
      <c r="B147" s="3104"/>
      <c r="C147" s="3105"/>
      <c r="D147" s="3020"/>
      <c r="E147" s="3020"/>
      <c r="F147" s="3020"/>
      <c r="G147" s="412"/>
      <c r="H147" s="2035"/>
      <c r="I147" s="2036"/>
      <c r="J147" s="2991"/>
      <c r="K147" s="2992"/>
      <c r="L147" s="3024"/>
      <c r="M147" s="2991"/>
      <c r="N147" s="3023"/>
      <c r="O147" s="2934"/>
      <c r="P147" s="2942"/>
      <c r="Q147" s="2981"/>
      <c r="R147" s="2989"/>
      <c r="S147" s="2945"/>
      <c r="T147" s="2958"/>
      <c r="U147" s="3007" t="s">
        <v>1949</v>
      </c>
      <c r="V147" s="2133">
        <f>45000000+24987918</f>
        <v>69987918</v>
      </c>
      <c r="W147" s="2113">
        <v>20</v>
      </c>
      <c r="X147" s="2114" t="s">
        <v>61</v>
      </c>
      <c r="Y147" s="3005"/>
      <c r="Z147" s="3005"/>
      <c r="AA147" s="3005"/>
      <c r="AB147" s="3005"/>
      <c r="AC147" s="3005"/>
      <c r="AD147" s="3005"/>
      <c r="AE147" s="2941"/>
      <c r="AF147" s="2941"/>
      <c r="AG147" s="2941"/>
      <c r="AH147" s="2941"/>
      <c r="AI147" s="2941"/>
      <c r="AJ147" s="2941"/>
      <c r="AK147" s="2941"/>
      <c r="AL147" s="2941"/>
      <c r="AM147" s="2941"/>
      <c r="AN147" s="2941"/>
      <c r="AO147" s="2911"/>
      <c r="AP147" s="2911"/>
      <c r="AQ147" s="2659"/>
    </row>
    <row r="148" spans="1:43" s="404" customFormat="1" ht="18.75" customHeight="1" x14ac:dyDescent="0.2">
      <c r="A148" s="3100"/>
      <c r="B148" s="3104"/>
      <c r="C148" s="3105"/>
      <c r="D148" s="3020"/>
      <c r="E148" s="3020"/>
      <c r="F148" s="3020"/>
      <c r="G148" s="412"/>
      <c r="H148" s="2035"/>
      <c r="I148" s="2036"/>
      <c r="J148" s="2991"/>
      <c r="K148" s="2992"/>
      <c r="L148" s="3024"/>
      <c r="M148" s="2991"/>
      <c r="N148" s="3023"/>
      <c r="O148" s="2934"/>
      <c r="P148" s="2942"/>
      <c r="Q148" s="2981"/>
      <c r="R148" s="2989"/>
      <c r="S148" s="2945"/>
      <c r="T148" s="2958"/>
      <c r="U148" s="3007"/>
      <c r="V148" s="2133">
        <f>0+42996000+7578277</f>
        <v>50574277</v>
      </c>
      <c r="W148" s="2113">
        <v>88</v>
      </c>
      <c r="X148" s="2114" t="s">
        <v>163</v>
      </c>
      <c r="Y148" s="3005"/>
      <c r="Z148" s="3005"/>
      <c r="AA148" s="3005"/>
      <c r="AB148" s="3005"/>
      <c r="AC148" s="3005"/>
      <c r="AD148" s="3005"/>
      <c r="AE148" s="2941"/>
      <c r="AF148" s="2941"/>
      <c r="AG148" s="2941"/>
      <c r="AH148" s="2941"/>
      <c r="AI148" s="2941"/>
      <c r="AJ148" s="2941"/>
      <c r="AK148" s="2941"/>
      <c r="AL148" s="2941"/>
      <c r="AM148" s="2941"/>
      <c r="AN148" s="2941"/>
      <c r="AO148" s="2911"/>
      <c r="AP148" s="2911"/>
      <c r="AQ148" s="2659"/>
    </row>
    <row r="149" spans="1:43" s="404" customFormat="1" ht="28.5" customHeight="1" x14ac:dyDescent="0.2">
      <c r="A149" s="3100"/>
      <c r="B149" s="3104"/>
      <c r="C149" s="3105"/>
      <c r="D149" s="3020"/>
      <c r="E149" s="3020"/>
      <c r="F149" s="3020"/>
      <c r="G149" s="412"/>
      <c r="H149" s="2035"/>
      <c r="I149" s="2036"/>
      <c r="J149" s="2991"/>
      <c r="K149" s="2992"/>
      <c r="L149" s="3024"/>
      <c r="M149" s="2991"/>
      <c r="N149" s="3023"/>
      <c r="O149" s="2934"/>
      <c r="P149" s="2942"/>
      <c r="Q149" s="2981"/>
      <c r="R149" s="2989"/>
      <c r="S149" s="2945"/>
      <c r="T149" s="2945"/>
      <c r="U149" s="3008" t="s">
        <v>1950</v>
      </c>
      <c r="V149" s="2054">
        <f>40000000-16030467</f>
        <v>23969533</v>
      </c>
      <c r="W149" s="2113">
        <v>20</v>
      </c>
      <c r="X149" s="2114" t="s">
        <v>61</v>
      </c>
      <c r="Y149" s="3005"/>
      <c r="Z149" s="3005"/>
      <c r="AA149" s="3005"/>
      <c r="AB149" s="3005"/>
      <c r="AC149" s="3005"/>
      <c r="AD149" s="3005"/>
      <c r="AE149" s="2941"/>
      <c r="AF149" s="2941"/>
      <c r="AG149" s="2941"/>
      <c r="AH149" s="2941"/>
      <c r="AI149" s="2941"/>
      <c r="AJ149" s="2941"/>
      <c r="AK149" s="2941"/>
      <c r="AL149" s="2941"/>
      <c r="AM149" s="2941"/>
      <c r="AN149" s="2941"/>
      <c r="AO149" s="2911"/>
      <c r="AP149" s="2911"/>
      <c r="AQ149" s="2659"/>
    </row>
    <row r="150" spans="1:43" s="404" customFormat="1" ht="42.75" customHeight="1" x14ac:dyDescent="0.2">
      <c r="A150" s="3100"/>
      <c r="B150" s="3104"/>
      <c r="C150" s="3105"/>
      <c r="D150" s="3020"/>
      <c r="E150" s="3020"/>
      <c r="F150" s="3020"/>
      <c r="G150" s="412"/>
      <c r="H150" s="2035"/>
      <c r="I150" s="2036"/>
      <c r="J150" s="2991"/>
      <c r="K150" s="2992"/>
      <c r="L150" s="3024"/>
      <c r="M150" s="2991"/>
      <c r="N150" s="3023"/>
      <c r="O150" s="2934"/>
      <c r="P150" s="2942"/>
      <c r="Q150" s="2981"/>
      <c r="R150" s="2989"/>
      <c r="S150" s="2945"/>
      <c r="T150" s="2945"/>
      <c r="U150" s="3009"/>
      <c r="V150" s="2054">
        <f>16788000+5596000</f>
        <v>22384000</v>
      </c>
      <c r="W150" s="2113">
        <v>88</v>
      </c>
      <c r="X150" s="2114" t="s">
        <v>163</v>
      </c>
      <c r="Y150" s="3005"/>
      <c r="Z150" s="3005"/>
      <c r="AA150" s="3005"/>
      <c r="AB150" s="3005"/>
      <c r="AC150" s="3005"/>
      <c r="AD150" s="3005"/>
      <c r="AE150" s="2941"/>
      <c r="AF150" s="2941"/>
      <c r="AG150" s="2941"/>
      <c r="AH150" s="2941"/>
      <c r="AI150" s="2941"/>
      <c r="AJ150" s="2941"/>
      <c r="AK150" s="2941"/>
      <c r="AL150" s="2941"/>
      <c r="AM150" s="2941"/>
      <c r="AN150" s="2941"/>
      <c r="AO150" s="2911"/>
      <c r="AP150" s="2911"/>
      <c r="AQ150" s="2659"/>
    </row>
    <row r="151" spans="1:43" s="404" customFormat="1" ht="27.75" customHeight="1" x14ac:dyDescent="0.2">
      <c r="A151" s="3100"/>
      <c r="B151" s="3104"/>
      <c r="C151" s="3105"/>
      <c r="D151" s="3020"/>
      <c r="E151" s="3020"/>
      <c r="F151" s="3020"/>
      <c r="G151" s="412"/>
      <c r="H151" s="2035"/>
      <c r="I151" s="2036"/>
      <c r="J151" s="2991"/>
      <c r="K151" s="2992"/>
      <c r="L151" s="3024"/>
      <c r="M151" s="2991"/>
      <c r="N151" s="3023"/>
      <c r="O151" s="2934"/>
      <c r="P151" s="2942"/>
      <c r="Q151" s="2981"/>
      <c r="R151" s="2989"/>
      <c r="S151" s="2945"/>
      <c r="T151" s="2945"/>
      <c r="U151" s="3010" t="s">
        <v>1951</v>
      </c>
      <c r="V151" s="2070">
        <v>53000000</v>
      </c>
      <c r="W151" s="2132">
        <v>20</v>
      </c>
      <c r="X151" s="2124" t="s">
        <v>61</v>
      </c>
      <c r="Y151" s="3005"/>
      <c r="Z151" s="3005"/>
      <c r="AA151" s="3005"/>
      <c r="AB151" s="3005"/>
      <c r="AC151" s="3005"/>
      <c r="AD151" s="3005"/>
      <c r="AE151" s="2941"/>
      <c r="AF151" s="2941"/>
      <c r="AG151" s="2941"/>
      <c r="AH151" s="2941"/>
      <c r="AI151" s="2941"/>
      <c r="AJ151" s="2941"/>
      <c r="AK151" s="2941"/>
      <c r="AL151" s="2941"/>
      <c r="AM151" s="2941"/>
      <c r="AN151" s="2941"/>
      <c r="AO151" s="2911"/>
      <c r="AP151" s="2911"/>
      <c r="AQ151" s="2659"/>
    </row>
    <row r="152" spans="1:43" s="404" customFormat="1" ht="27.75" customHeight="1" x14ac:dyDescent="0.2">
      <c r="A152" s="3100"/>
      <c r="B152" s="3104"/>
      <c r="C152" s="3105"/>
      <c r="D152" s="3020"/>
      <c r="E152" s="3020"/>
      <c r="F152" s="3020"/>
      <c r="G152" s="412"/>
      <c r="H152" s="2035"/>
      <c r="I152" s="2036"/>
      <c r="J152" s="2991"/>
      <c r="K152" s="2992"/>
      <c r="L152" s="3024"/>
      <c r="M152" s="2991"/>
      <c r="N152" s="3023"/>
      <c r="O152" s="2934"/>
      <c r="P152" s="2942"/>
      <c r="Q152" s="2981"/>
      <c r="R152" s="2989"/>
      <c r="S152" s="2945"/>
      <c r="T152" s="2945"/>
      <c r="U152" s="3011"/>
      <c r="V152" s="2071">
        <f>0+1428533</f>
        <v>1428533</v>
      </c>
      <c r="W152" s="2113">
        <v>88</v>
      </c>
      <c r="X152" s="2114" t="s">
        <v>163</v>
      </c>
      <c r="Y152" s="3014"/>
      <c r="Z152" s="3005"/>
      <c r="AA152" s="3005"/>
      <c r="AB152" s="3005"/>
      <c r="AC152" s="3005"/>
      <c r="AD152" s="3005"/>
      <c r="AE152" s="2941"/>
      <c r="AF152" s="2941"/>
      <c r="AG152" s="2941"/>
      <c r="AH152" s="2941"/>
      <c r="AI152" s="2941"/>
      <c r="AJ152" s="2941"/>
      <c r="AK152" s="2941"/>
      <c r="AL152" s="2941"/>
      <c r="AM152" s="2941"/>
      <c r="AN152" s="2941"/>
      <c r="AO152" s="2911"/>
      <c r="AP152" s="2911"/>
      <c r="AQ152" s="2659"/>
    </row>
    <row r="153" spans="1:43" s="404" customFormat="1" ht="30" customHeight="1" x14ac:dyDescent="0.2">
      <c r="A153" s="3100"/>
      <c r="B153" s="3104"/>
      <c r="C153" s="3105"/>
      <c r="D153" s="3020"/>
      <c r="E153" s="3020"/>
      <c r="F153" s="3020"/>
      <c r="G153" s="412"/>
      <c r="H153" s="2035"/>
      <c r="I153" s="2036"/>
      <c r="J153" s="2991"/>
      <c r="K153" s="2992"/>
      <c r="L153" s="3024"/>
      <c r="M153" s="2991"/>
      <c r="N153" s="3023"/>
      <c r="O153" s="2934"/>
      <c r="P153" s="2942"/>
      <c r="Q153" s="2981"/>
      <c r="R153" s="2989"/>
      <c r="S153" s="2945"/>
      <c r="T153" s="2945"/>
      <c r="U153" s="3010" t="s">
        <v>1952</v>
      </c>
      <c r="V153" s="2141">
        <f>50000000+11788000</f>
        <v>61788000</v>
      </c>
      <c r="W153" s="2129">
        <v>20</v>
      </c>
      <c r="X153" s="2130" t="s">
        <v>61</v>
      </c>
      <c r="Y153" s="3005"/>
      <c r="Z153" s="3005"/>
      <c r="AA153" s="3005"/>
      <c r="AB153" s="3005"/>
      <c r="AC153" s="3005"/>
      <c r="AD153" s="3005"/>
      <c r="AE153" s="2941"/>
      <c r="AF153" s="2941"/>
      <c r="AG153" s="2941"/>
      <c r="AH153" s="2941"/>
      <c r="AI153" s="2941"/>
      <c r="AJ153" s="2941"/>
      <c r="AK153" s="2941"/>
      <c r="AL153" s="2941"/>
      <c r="AM153" s="2941"/>
      <c r="AN153" s="2941"/>
      <c r="AO153" s="2911"/>
      <c r="AP153" s="2911"/>
      <c r="AQ153" s="2659"/>
    </row>
    <row r="154" spans="1:43" s="404" customFormat="1" ht="30" customHeight="1" x14ac:dyDescent="0.2">
      <c r="A154" s="3100"/>
      <c r="B154" s="3104"/>
      <c r="C154" s="3105"/>
      <c r="D154" s="3020"/>
      <c r="E154" s="3020"/>
      <c r="F154" s="3020"/>
      <c r="G154" s="412"/>
      <c r="H154" s="2035"/>
      <c r="I154" s="2036"/>
      <c r="J154" s="2991"/>
      <c r="K154" s="2992"/>
      <c r="L154" s="3024"/>
      <c r="M154" s="2991"/>
      <c r="N154" s="3023"/>
      <c r="O154" s="2934"/>
      <c r="P154" s="2942"/>
      <c r="Q154" s="2981"/>
      <c r="R154" s="2989"/>
      <c r="S154" s="2945"/>
      <c r="T154" s="2945"/>
      <c r="U154" s="3008"/>
      <c r="V154" s="2054">
        <f>36822000+9531600</f>
        <v>46353600</v>
      </c>
      <c r="W154" s="2113">
        <v>88</v>
      </c>
      <c r="X154" s="2114" t="s">
        <v>163</v>
      </c>
      <c r="Y154" s="3005"/>
      <c r="Z154" s="3005"/>
      <c r="AA154" s="3005"/>
      <c r="AB154" s="3005"/>
      <c r="AC154" s="3005"/>
      <c r="AD154" s="3005"/>
      <c r="AE154" s="2941"/>
      <c r="AF154" s="2941"/>
      <c r="AG154" s="2941"/>
      <c r="AH154" s="2941"/>
      <c r="AI154" s="2941"/>
      <c r="AJ154" s="2941"/>
      <c r="AK154" s="2941"/>
      <c r="AL154" s="2941"/>
      <c r="AM154" s="2941"/>
      <c r="AN154" s="2941"/>
      <c r="AO154" s="2911"/>
      <c r="AP154" s="2911"/>
      <c r="AQ154" s="2659"/>
    </row>
    <row r="155" spans="1:43" s="404" customFormat="1" ht="40.5" customHeight="1" x14ac:dyDescent="0.2">
      <c r="A155" s="3100"/>
      <c r="B155" s="3104"/>
      <c r="C155" s="3105"/>
      <c r="D155" s="3020"/>
      <c r="E155" s="3020"/>
      <c r="F155" s="3020"/>
      <c r="G155" s="412"/>
      <c r="H155" s="2035"/>
      <c r="I155" s="2036"/>
      <c r="J155" s="2991"/>
      <c r="K155" s="2992"/>
      <c r="L155" s="3024"/>
      <c r="M155" s="2991"/>
      <c r="N155" s="3023"/>
      <c r="O155" s="2934"/>
      <c r="P155" s="2942"/>
      <c r="Q155" s="2981"/>
      <c r="R155" s="2989"/>
      <c r="S155" s="2945"/>
      <c r="T155" s="2958"/>
      <c r="U155" s="3007" t="s">
        <v>1953</v>
      </c>
      <c r="V155" s="2133">
        <f>35500000+16181882</f>
        <v>51681882</v>
      </c>
      <c r="W155" s="2113">
        <v>20</v>
      </c>
      <c r="X155" s="2114" t="s">
        <v>61</v>
      </c>
      <c r="Y155" s="3005"/>
      <c r="Z155" s="3005"/>
      <c r="AA155" s="3005"/>
      <c r="AB155" s="3005"/>
      <c r="AC155" s="3005"/>
      <c r="AD155" s="3005"/>
      <c r="AE155" s="2941"/>
      <c r="AF155" s="2941"/>
      <c r="AG155" s="2941"/>
      <c r="AH155" s="2941"/>
      <c r="AI155" s="2941"/>
      <c r="AJ155" s="2941"/>
      <c r="AK155" s="2941"/>
      <c r="AL155" s="2941"/>
      <c r="AM155" s="2941"/>
      <c r="AN155" s="2941"/>
      <c r="AO155" s="2911"/>
      <c r="AP155" s="2911"/>
      <c r="AQ155" s="2659"/>
    </row>
    <row r="156" spans="1:43" s="404" customFormat="1" ht="40.5" customHeight="1" x14ac:dyDescent="0.2">
      <c r="A156" s="3100"/>
      <c r="B156" s="3104"/>
      <c r="C156" s="3105"/>
      <c r="D156" s="3020"/>
      <c r="E156" s="3020"/>
      <c r="F156" s="3020"/>
      <c r="G156" s="412"/>
      <c r="H156" s="2035"/>
      <c r="I156" s="2036"/>
      <c r="J156" s="2991"/>
      <c r="K156" s="2992"/>
      <c r="L156" s="3024"/>
      <c r="M156" s="2991"/>
      <c r="N156" s="3023"/>
      <c r="O156" s="2934"/>
      <c r="P156" s="2942"/>
      <c r="Q156" s="2981"/>
      <c r="R156" s="2989"/>
      <c r="S156" s="2945"/>
      <c r="T156" s="2958"/>
      <c r="U156" s="3007"/>
      <c r="V156" s="2133">
        <f>42076000+11192000</f>
        <v>53268000</v>
      </c>
      <c r="W156" s="2113">
        <v>88</v>
      </c>
      <c r="X156" s="2114" t="s">
        <v>163</v>
      </c>
      <c r="Y156" s="3005"/>
      <c r="Z156" s="3005"/>
      <c r="AA156" s="3005"/>
      <c r="AB156" s="3005"/>
      <c r="AC156" s="3005"/>
      <c r="AD156" s="3005"/>
      <c r="AE156" s="2941"/>
      <c r="AF156" s="2941"/>
      <c r="AG156" s="2941"/>
      <c r="AH156" s="2941"/>
      <c r="AI156" s="2941"/>
      <c r="AJ156" s="2941"/>
      <c r="AK156" s="2941"/>
      <c r="AL156" s="2941"/>
      <c r="AM156" s="2941"/>
      <c r="AN156" s="2941"/>
      <c r="AO156" s="2911"/>
      <c r="AP156" s="2911"/>
      <c r="AQ156" s="2659"/>
    </row>
    <row r="157" spans="1:43" s="404" customFormat="1" ht="30.75" customHeight="1" x14ac:dyDescent="0.2">
      <c r="A157" s="3100"/>
      <c r="B157" s="3104"/>
      <c r="C157" s="3105"/>
      <c r="D157" s="3020"/>
      <c r="E157" s="3020"/>
      <c r="F157" s="3020"/>
      <c r="G157" s="412"/>
      <c r="H157" s="2055"/>
      <c r="I157" s="2056"/>
      <c r="J157" s="2991"/>
      <c r="K157" s="2992"/>
      <c r="L157" s="3024"/>
      <c r="M157" s="2991"/>
      <c r="N157" s="3023"/>
      <c r="O157" s="2934"/>
      <c r="P157" s="2942"/>
      <c r="Q157" s="2981"/>
      <c r="R157" s="2990"/>
      <c r="S157" s="2945"/>
      <c r="T157" s="2945"/>
      <c r="U157" s="2069" t="s">
        <v>1797</v>
      </c>
      <c r="V157" s="2054">
        <f>15000000-4100917</f>
        <v>10899083</v>
      </c>
      <c r="W157" s="2074">
        <v>20</v>
      </c>
      <c r="X157" s="2039" t="s">
        <v>61</v>
      </c>
      <c r="Y157" s="3006"/>
      <c r="Z157" s="3006"/>
      <c r="AA157" s="3006"/>
      <c r="AB157" s="3006"/>
      <c r="AC157" s="3006"/>
      <c r="AD157" s="3006"/>
      <c r="AE157" s="2941"/>
      <c r="AF157" s="2941"/>
      <c r="AG157" s="2941"/>
      <c r="AH157" s="2941"/>
      <c r="AI157" s="2941"/>
      <c r="AJ157" s="2941"/>
      <c r="AK157" s="2941"/>
      <c r="AL157" s="2941"/>
      <c r="AM157" s="2941"/>
      <c r="AN157" s="2941"/>
      <c r="AO157" s="2912"/>
      <c r="AP157" s="2912"/>
      <c r="AQ157" s="2659"/>
    </row>
    <row r="158" spans="1:43" s="412" customFormat="1" ht="21" customHeight="1" x14ac:dyDescent="0.2">
      <c r="A158" s="3100"/>
      <c r="B158" s="3104"/>
      <c r="C158" s="3105"/>
      <c r="D158" s="3020"/>
      <c r="E158" s="3020"/>
      <c r="F158" s="3020"/>
      <c r="G158" s="2019">
        <v>82</v>
      </c>
      <c r="H158" s="864" t="s">
        <v>1954</v>
      </c>
      <c r="I158" s="864"/>
      <c r="J158" s="892"/>
      <c r="K158" s="2057"/>
      <c r="L158" s="2058"/>
      <c r="M158" s="931"/>
      <c r="N158" s="926"/>
      <c r="O158" s="927"/>
      <c r="P158" s="866"/>
      <c r="Q158" s="2059"/>
      <c r="R158" s="2060"/>
      <c r="S158" s="2057"/>
      <c r="T158" s="2057"/>
      <c r="U158" s="2057"/>
      <c r="V158" s="2061"/>
      <c r="W158" s="869"/>
      <c r="X158" s="869"/>
      <c r="Y158" s="869"/>
      <c r="Z158" s="869"/>
      <c r="AA158" s="869"/>
      <c r="AB158" s="869"/>
      <c r="AC158" s="869"/>
      <c r="AD158" s="869"/>
      <c r="AE158" s="869"/>
      <c r="AF158" s="869"/>
      <c r="AG158" s="869"/>
      <c r="AH158" s="869"/>
      <c r="AI158" s="869"/>
      <c r="AJ158" s="869"/>
      <c r="AK158" s="869"/>
      <c r="AL158" s="869"/>
      <c r="AM158" s="866"/>
      <c r="AN158" s="866"/>
      <c r="AO158" s="866"/>
      <c r="AP158" s="866"/>
      <c r="AQ158" s="872"/>
    </row>
    <row r="159" spans="1:43" s="404" customFormat="1" ht="46.5" customHeight="1" x14ac:dyDescent="0.2">
      <c r="A159" s="3100"/>
      <c r="B159" s="3104"/>
      <c r="C159" s="3105"/>
      <c r="D159" s="3020"/>
      <c r="E159" s="3020"/>
      <c r="F159" s="3020"/>
      <c r="G159" s="412"/>
      <c r="H159" s="2030"/>
      <c r="I159" s="2031"/>
      <c r="J159" s="2991">
        <v>241</v>
      </c>
      <c r="K159" s="2992" t="s">
        <v>1955</v>
      </c>
      <c r="L159" s="2992" t="s">
        <v>1956</v>
      </c>
      <c r="M159" s="2946">
        <v>1</v>
      </c>
      <c r="N159" s="2948" t="s">
        <v>1957</v>
      </c>
      <c r="O159" s="2934" t="s">
        <v>1958</v>
      </c>
      <c r="P159" s="2942" t="s">
        <v>1959</v>
      </c>
      <c r="Q159" s="2981">
        <f>SUM(V159:V160)/R159</f>
        <v>0.43641444500979354</v>
      </c>
      <c r="R159" s="2982">
        <f>SUM(V159:V162)</f>
        <v>84323515</v>
      </c>
      <c r="S159" s="2945" t="s">
        <v>1960</v>
      </c>
      <c r="T159" s="2945" t="s">
        <v>1961</v>
      </c>
      <c r="U159" s="2142" t="s">
        <v>1962</v>
      </c>
      <c r="V159" s="2054">
        <f>9800000-1259800</f>
        <v>8540200</v>
      </c>
      <c r="W159" s="2122" t="s">
        <v>60</v>
      </c>
      <c r="X159" s="2039" t="s">
        <v>1850</v>
      </c>
      <c r="Y159" s="2940">
        <v>1632</v>
      </c>
      <c r="Z159" s="2940">
        <v>1568</v>
      </c>
      <c r="AA159" s="2940">
        <v>974</v>
      </c>
      <c r="AB159" s="2940">
        <v>718</v>
      </c>
      <c r="AC159" s="2940">
        <v>410</v>
      </c>
      <c r="AD159" s="2940">
        <v>1098</v>
      </c>
      <c r="AE159" s="2940"/>
      <c r="AF159" s="2940"/>
      <c r="AG159" s="2940"/>
      <c r="AH159" s="2940"/>
      <c r="AI159" s="2940"/>
      <c r="AJ159" s="2940"/>
      <c r="AK159" s="2940"/>
      <c r="AL159" s="2940"/>
      <c r="AM159" s="2940"/>
      <c r="AN159" s="2940">
        <f>+Y159+Z159</f>
        <v>3200</v>
      </c>
      <c r="AO159" s="2910">
        <v>43480</v>
      </c>
      <c r="AP159" s="2910">
        <v>43819</v>
      </c>
      <c r="AQ159" s="2913" t="s">
        <v>1781</v>
      </c>
    </row>
    <row r="160" spans="1:43" s="404" customFormat="1" ht="39" customHeight="1" x14ac:dyDescent="0.2">
      <c r="A160" s="3100"/>
      <c r="B160" s="3104"/>
      <c r="C160" s="3105"/>
      <c r="D160" s="3020"/>
      <c r="E160" s="3020"/>
      <c r="F160" s="3020"/>
      <c r="G160" s="412"/>
      <c r="H160" s="2035"/>
      <c r="I160" s="2036"/>
      <c r="J160" s="2991"/>
      <c r="K160" s="2992"/>
      <c r="L160" s="2992"/>
      <c r="M160" s="2946"/>
      <c r="N160" s="2948"/>
      <c r="O160" s="2934"/>
      <c r="P160" s="2942"/>
      <c r="Q160" s="2981"/>
      <c r="R160" s="2983"/>
      <c r="S160" s="2945"/>
      <c r="T160" s="2945"/>
      <c r="U160" s="2142" t="s">
        <v>1963</v>
      </c>
      <c r="V160" s="2054">
        <f>20000000+8259800</f>
        <v>28259800</v>
      </c>
      <c r="W160" s="2074">
        <v>20</v>
      </c>
      <c r="X160" s="2039" t="s">
        <v>61</v>
      </c>
      <c r="Y160" s="2941"/>
      <c r="Z160" s="2941"/>
      <c r="AA160" s="2941"/>
      <c r="AB160" s="2941"/>
      <c r="AC160" s="2941"/>
      <c r="AD160" s="2941"/>
      <c r="AE160" s="2941"/>
      <c r="AF160" s="2941"/>
      <c r="AG160" s="2941"/>
      <c r="AH160" s="2941"/>
      <c r="AI160" s="2941"/>
      <c r="AJ160" s="2941"/>
      <c r="AK160" s="2941"/>
      <c r="AL160" s="2941"/>
      <c r="AM160" s="2941"/>
      <c r="AN160" s="2941"/>
      <c r="AO160" s="2911"/>
      <c r="AP160" s="2911"/>
      <c r="AQ160" s="2914"/>
    </row>
    <row r="161" spans="1:43" s="404" customFormat="1" ht="33.75" customHeight="1" x14ac:dyDescent="0.2">
      <c r="A161" s="3100"/>
      <c r="B161" s="3104"/>
      <c r="C161" s="3105"/>
      <c r="D161" s="3020"/>
      <c r="E161" s="3020"/>
      <c r="F161" s="3020"/>
      <c r="G161" s="412"/>
      <c r="H161" s="2035"/>
      <c r="I161" s="2036"/>
      <c r="J161" s="2993">
        <v>242</v>
      </c>
      <c r="K161" s="2994" t="s">
        <v>1964</v>
      </c>
      <c r="L161" s="2996" t="s">
        <v>1965</v>
      </c>
      <c r="M161" s="2957">
        <v>1</v>
      </c>
      <c r="N161" s="2948"/>
      <c r="O161" s="2934"/>
      <c r="P161" s="2942"/>
      <c r="Q161" s="2981">
        <f>SUM(V161:V162)/R159</f>
        <v>0.56358555499020646</v>
      </c>
      <c r="R161" s="2983"/>
      <c r="S161" s="2945"/>
      <c r="T161" s="2945"/>
      <c r="U161" s="2142" t="s">
        <v>1966</v>
      </c>
      <c r="V161" s="2054">
        <f>10000000-7000000</f>
        <v>3000000</v>
      </c>
      <c r="W161" s="2074">
        <v>20</v>
      </c>
      <c r="X161" s="2039" t="s">
        <v>61</v>
      </c>
      <c r="Y161" s="2941"/>
      <c r="Z161" s="2941"/>
      <c r="AA161" s="2941"/>
      <c r="AB161" s="2941"/>
      <c r="AC161" s="2941"/>
      <c r="AD161" s="2941"/>
      <c r="AE161" s="2941"/>
      <c r="AF161" s="2941"/>
      <c r="AG161" s="2941"/>
      <c r="AH161" s="2941"/>
      <c r="AI161" s="2941"/>
      <c r="AJ161" s="2941"/>
      <c r="AK161" s="2941"/>
      <c r="AL161" s="2941"/>
      <c r="AM161" s="2941"/>
      <c r="AN161" s="2941"/>
      <c r="AO161" s="2911"/>
      <c r="AP161" s="2911"/>
      <c r="AQ161" s="2914"/>
    </row>
    <row r="162" spans="1:43" s="404" customFormat="1" ht="36.75" customHeight="1" x14ac:dyDescent="0.2">
      <c r="A162" s="3100"/>
      <c r="B162" s="3104"/>
      <c r="C162" s="3105"/>
      <c r="D162" s="3020"/>
      <c r="E162" s="3020"/>
      <c r="F162" s="3020"/>
      <c r="G162" s="412"/>
      <c r="H162" s="2055"/>
      <c r="I162" s="2056"/>
      <c r="J162" s="2927"/>
      <c r="K162" s="2995"/>
      <c r="L162" s="2997"/>
      <c r="M162" s="2931"/>
      <c r="N162" s="2948"/>
      <c r="O162" s="2934"/>
      <c r="P162" s="2942"/>
      <c r="Q162" s="2981"/>
      <c r="R162" s="2984"/>
      <c r="S162" s="2945"/>
      <c r="T162" s="2945"/>
      <c r="U162" s="2142" t="s">
        <v>1967</v>
      </c>
      <c r="V162" s="2143">
        <v>44523515</v>
      </c>
      <c r="W162" s="2074">
        <v>20</v>
      </c>
      <c r="X162" s="2039" t="s">
        <v>61</v>
      </c>
      <c r="Y162" s="2941"/>
      <c r="Z162" s="2941"/>
      <c r="AA162" s="2941"/>
      <c r="AB162" s="2941"/>
      <c r="AC162" s="2941"/>
      <c r="AD162" s="2941"/>
      <c r="AE162" s="2941"/>
      <c r="AF162" s="2941"/>
      <c r="AG162" s="2941"/>
      <c r="AH162" s="2941"/>
      <c r="AI162" s="2941"/>
      <c r="AJ162" s="2941"/>
      <c r="AK162" s="2941"/>
      <c r="AL162" s="2941"/>
      <c r="AM162" s="2941"/>
      <c r="AN162" s="2941"/>
      <c r="AO162" s="2912"/>
      <c r="AP162" s="2912"/>
      <c r="AQ162" s="2914"/>
    </row>
    <row r="163" spans="1:43" s="412" customFormat="1" ht="15" customHeight="1" x14ac:dyDescent="0.2">
      <c r="A163" s="3100"/>
      <c r="B163" s="3104"/>
      <c r="C163" s="3105"/>
      <c r="D163" s="777">
        <v>27</v>
      </c>
      <c r="E163" s="2144" t="s">
        <v>1968</v>
      </c>
      <c r="F163" s="2144"/>
      <c r="G163" s="2145"/>
      <c r="H163" s="2145"/>
      <c r="I163" s="2007"/>
      <c r="J163" s="2078"/>
      <c r="K163" s="2079"/>
      <c r="L163" s="989"/>
      <c r="M163" s="988"/>
      <c r="N163" s="2011"/>
      <c r="O163" s="2008"/>
      <c r="P163" s="2010"/>
      <c r="Q163" s="2080"/>
      <c r="R163" s="2081"/>
      <c r="S163" s="2079"/>
      <c r="T163" s="2079"/>
      <c r="U163" s="2079"/>
      <c r="V163" s="2082"/>
      <c r="W163" s="2016"/>
      <c r="X163" s="2016"/>
      <c r="Y163" s="2010"/>
      <c r="Z163" s="2010"/>
      <c r="AA163" s="2010"/>
      <c r="AB163" s="2010"/>
      <c r="AC163" s="2010"/>
      <c r="AD163" s="2010"/>
      <c r="AE163" s="2010"/>
      <c r="AF163" s="2010"/>
      <c r="AG163" s="2010"/>
      <c r="AH163" s="2010"/>
      <c r="AI163" s="2010"/>
      <c r="AJ163" s="2010"/>
      <c r="AK163" s="2010"/>
      <c r="AL163" s="2010"/>
      <c r="AM163" s="2010"/>
      <c r="AN163" s="2010"/>
      <c r="AO163" s="2010"/>
      <c r="AP163" s="2010"/>
      <c r="AQ163" s="2018"/>
    </row>
    <row r="164" spans="1:43" s="412" customFormat="1" ht="15" customHeight="1" x14ac:dyDescent="0.2">
      <c r="A164" s="3100"/>
      <c r="B164" s="3104"/>
      <c r="C164" s="3105"/>
      <c r="D164" s="2971"/>
      <c r="E164" s="2974"/>
      <c r="F164" s="2977"/>
      <c r="G164" s="2019">
        <v>85</v>
      </c>
      <c r="H164" s="864" t="s">
        <v>1969</v>
      </c>
      <c r="I164" s="864"/>
      <c r="J164" s="2020"/>
      <c r="K164" s="2021"/>
      <c r="L164" s="2022"/>
      <c r="M164" s="921"/>
      <c r="N164" s="926"/>
      <c r="O164" s="927"/>
      <c r="P164" s="866"/>
      <c r="Q164" s="2023"/>
      <c r="R164" s="2085"/>
      <c r="S164" s="2021"/>
      <c r="T164" s="2021"/>
      <c r="U164" s="2021"/>
      <c r="V164" s="2121"/>
      <c r="W164" s="869"/>
      <c r="X164" s="869"/>
      <c r="Y164" s="869"/>
      <c r="Z164" s="869"/>
      <c r="AA164" s="869"/>
      <c r="AB164" s="869"/>
      <c r="AC164" s="869"/>
      <c r="AD164" s="869"/>
      <c r="AE164" s="869"/>
      <c r="AF164" s="869"/>
      <c r="AG164" s="869"/>
      <c r="AH164" s="869"/>
      <c r="AI164" s="869"/>
      <c r="AJ164" s="869"/>
      <c r="AK164" s="869"/>
      <c r="AL164" s="869"/>
      <c r="AM164" s="869"/>
      <c r="AN164" s="869"/>
      <c r="AO164" s="869"/>
      <c r="AP164" s="869"/>
      <c r="AQ164" s="2087"/>
    </row>
    <row r="165" spans="1:43" s="404" customFormat="1" ht="30.75" customHeight="1" x14ac:dyDescent="0.2">
      <c r="A165" s="3100"/>
      <c r="B165" s="3104"/>
      <c r="C165" s="3105"/>
      <c r="D165" s="2972"/>
      <c r="E165" s="2975"/>
      <c r="F165" s="2978"/>
      <c r="G165" s="412"/>
      <c r="H165" s="2030"/>
      <c r="I165" s="2031"/>
      <c r="J165" s="2946">
        <v>250</v>
      </c>
      <c r="K165" s="2947" t="s">
        <v>1970</v>
      </c>
      <c r="L165" s="2980" t="s">
        <v>1971</v>
      </c>
      <c r="M165" s="2946">
        <v>3</v>
      </c>
      <c r="N165" s="2966" t="s">
        <v>1972</v>
      </c>
      <c r="O165" s="2934" t="s">
        <v>1973</v>
      </c>
      <c r="P165" s="2942" t="s">
        <v>1974</v>
      </c>
      <c r="Q165" s="2967">
        <f>R165/SUM(R165:R181)</f>
        <v>1</v>
      </c>
      <c r="R165" s="2970">
        <f>SUM(V165:V191)</f>
        <v>700271633</v>
      </c>
      <c r="S165" s="2945" t="s">
        <v>1975</v>
      </c>
      <c r="T165" s="2945" t="s">
        <v>1976</v>
      </c>
      <c r="U165" s="2960" t="s">
        <v>1977</v>
      </c>
      <c r="V165" s="2054">
        <v>79015963</v>
      </c>
      <c r="W165" s="2115">
        <v>20</v>
      </c>
      <c r="X165" s="2146" t="s">
        <v>1850</v>
      </c>
      <c r="Y165" s="2940">
        <v>5202</v>
      </c>
      <c r="Z165" s="2940">
        <v>4998</v>
      </c>
      <c r="AA165" s="2940">
        <v>3103</v>
      </c>
      <c r="AB165" s="2940">
        <v>2288</v>
      </c>
      <c r="AC165" s="2940">
        <v>1306</v>
      </c>
      <c r="AD165" s="2940">
        <v>3503</v>
      </c>
      <c r="AE165" s="2940"/>
      <c r="AF165" s="2940"/>
      <c r="AG165" s="2940"/>
      <c r="AH165" s="2940"/>
      <c r="AI165" s="2940"/>
      <c r="AJ165" s="2940"/>
      <c r="AK165" s="2940"/>
      <c r="AL165" s="2940"/>
      <c r="AM165" s="2940"/>
      <c r="AN165" s="2940">
        <f>+Y165+Z165</f>
        <v>10200</v>
      </c>
      <c r="AO165" s="2910">
        <v>43753</v>
      </c>
      <c r="AP165" s="2910">
        <v>43758</v>
      </c>
      <c r="AQ165" s="2913" t="s">
        <v>1827</v>
      </c>
    </row>
    <row r="166" spans="1:43" s="404" customFormat="1" ht="30.75" customHeight="1" x14ac:dyDescent="0.2">
      <c r="A166" s="3100"/>
      <c r="B166" s="3104"/>
      <c r="C166" s="3105"/>
      <c r="D166" s="2972"/>
      <c r="E166" s="2975"/>
      <c r="F166" s="2978"/>
      <c r="G166" s="412"/>
      <c r="H166" s="2035"/>
      <c r="I166" s="2036"/>
      <c r="J166" s="2946"/>
      <c r="K166" s="2947"/>
      <c r="L166" s="2980"/>
      <c r="M166" s="2946"/>
      <c r="N166" s="2948"/>
      <c r="O166" s="2934"/>
      <c r="P166" s="2942"/>
      <c r="Q166" s="2968"/>
      <c r="R166" s="2938"/>
      <c r="S166" s="2945"/>
      <c r="T166" s="2945"/>
      <c r="U166" s="2961"/>
      <c r="V166" s="2054">
        <f>0+62420000</f>
        <v>62420000</v>
      </c>
      <c r="W166" s="2115">
        <v>88</v>
      </c>
      <c r="X166" s="2146" t="s">
        <v>163</v>
      </c>
      <c r="Y166" s="2940"/>
      <c r="Z166" s="2940"/>
      <c r="AA166" s="2940"/>
      <c r="AB166" s="2940"/>
      <c r="AC166" s="2940"/>
      <c r="AD166" s="2940"/>
      <c r="AE166" s="2940"/>
      <c r="AF166" s="2940"/>
      <c r="AG166" s="2940"/>
      <c r="AH166" s="2940"/>
      <c r="AI166" s="2940"/>
      <c r="AJ166" s="2940"/>
      <c r="AK166" s="2940"/>
      <c r="AL166" s="2940"/>
      <c r="AM166" s="2940"/>
      <c r="AN166" s="2940"/>
      <c r="AO166" s="2911"/>
      <c r="AP166" s="2911"/>
      <c r="AQ166" s="2913"/>
    </row>
    <row r="167" spans="1:43" s="404" customFormat="1" ht="32.25" customHeight="1" x14ac:dyDescent="0.2">
      <c r="A167" s="3100"/>
      <c r="B167" s="3104"/>
      <c r="C167" s="3105"/>
      <c r="D167" s="2972"/>
      <c r="E167" s="2975"/>
      <c r="F167" s="2978"/>
      <c r="G167" s="412"/>
      <c r="H167" s="2035"/>
      <c r="I167" s="2036"/>
      <c r="J167" s="2946"/>
      <c r="K167" s="2947"/>
      <c r="L167" s="2980"/>
      <c r="M167" s="2946"/>
      <c r="N167" s="2948"/>
      <c r="O167" s="2934"/>
      <c r="P167" s="2942"/>
      <c r="Q167" s="2968"/>
      <c r="R167" s="2938"/>
      <c r="S167" s="2945"/>
      <c r="T167" s="2945"/>
      <c r="U167" s="2960" t="s">
        <v>1978</v>
      </c>
      <c r="V167" s="2054">
        <v>28000000</v>
      </c>
      <c r="W167" s="2074">
        <v>20</v>
      </c>
      <c r="X167" s="2039" t="s">
        <v>61</v>
      </c>
      <c r="Y167" s="2941"/>
      <c r="Z167" s="2941"/>
      <c r="AA167" s="2941"/>
      <c r="AB167" s="2941"/>
      <c r="AC167" s="2941"/>
      <c r="AD167" s="2941"/>
      <c r="AE167" s="2941"/>
      <c r="AF167" s="2941"/>
      <c r="AG167" s="2941"/>
      <c r="AH167" s="2941"/>
      <c r="AI167" s="2941"/>
      <c r="AJ167" s="2941"/>
      <c r="AK167" s="2941"/>
      <c r="AL167" s="2941"/>
      <c r="AM167" s="2941"/>
      <c r="AN167" s="2941"/>
      <c r="AO167" s="2911"/>
      <c r="AP167" s="2911"/>
      <c r="AQ167" s="2959"/>
    </row>
    <row r="168" spans="1:43" s="404" customFormat="1" ht="32.25" customHeight="1" x14ac:dyDescent="0.2">
      <c r="A168" s="3100"/>
      <c r="B168" s="3104"/>
      <c r="C168" s="3105"/>
      <c r="D168" s="2972"/>
      <c r="E168" s="2975"/>
      <c r="F168" s="2978"/>
      <c r="G168" s="412"/>
      <c r="H168" s="2035"/>
      <c r="I168" s="2036"/>
      <c r="J168" s="2946"/>
      <c r="K168" s="2947"/>
      <c r="L168" s="2980"/>
      <c r="M168" s="2946"/>
      <c r="N168" s="2948"/>
      <c r="O168" s="2934"/>
      <c r="P168" s="2942"/>
      <c r="Q168" s="2968"/>
      <c r="R168" s="2938"/>
      <c r="S168" s="2945"/>
      <c r="T168" s="2945"/>
      <c r="U168" s="2961"/>
      <c r="V168" s="2054">
        <f>0+28000000</f>
        <v>28000000</v>
      </c>
      <c r="W168" s="2074">
        <v>88</v>
      </c>
      <c r="X168" s="2039" t="s">
        <v>61</v>
      </c>
      <c r="Y168" s="2941"/>
      <c r="Z168" s="2941"/>
      <c r="AA168" s="2941"/>
      <c r="AB168" s="2941"/>
      <c r="AC168" s="2941"/>
      <c r="AD168" s="2941"/>
      <c r="AE168" s="2941"/>
      <c r="AF168" s="2941"/>
      <c r="AG168" s="2941"/>
      <c r="AH168" s="2941"/>
      <c r="AI168" s="2941"/>
      <c r="AJ168" s="2941"/>
      <c r="AK168" s="2941"/>
      <c r="AL168" s="2941"/>
      <c r="AM168" s="2941"/>
      <c r="AN168" s="2941"/>
      <c r="AO168" s="2911"/>
      <c r="AP168" s="2911"/>
      <c r="AQ168" s="2959"/>
    </row>
    <row r="169" spans="1:43" s="404" customFormat="1" ht="30" customHeight="1" x14ac:dyDescent="0.2">
      <c r="A169" s="3100"/>
      <c r="B169" s="3104"/>
      <c r="C169" s="3105"/>
      <c r="D169" s="2972"/>
      <c r="E169" s="2975"/>
      <c r="F169" s="2978"/>
      <c r="G169" s="412"/>
      <c r="H169" s="2035"/>
      <c r="I169" s="2036"/>
      <c r="J169" s="2946"/>
      <c r="K169" s="2947"/>
      <c r="L169" s="2980"/>
      <c r="M169" s="2946"/>
      <c r="N169" s="2948"/>
      <c r="O169" s="2934"/>
      <c r="P169" s="2942"/>
      <c r="Q169" s="2968"/>
      <c r="R169" s="2938"/>
      <c r="S169" s="2945"/>
      <c r="T169" s="2945"/>
      <c r="U169" s="2960" t="s">
        <v>1979</v>
      </c>
      <c r="V169" s="2054">
        <v>5000000</v>
      </c>
      <c r="W169" s="2074">
        <v>20</v>
      </c>
      <c r="X169" s="2039" t="s">
        <v>61</v>
      </c>
      <c r="Y169" s="2941"/>
      <c r="Z169" s="2941"/>
      <c r="AA169" s="2941"/>
      <c r="AB169" s="2941"/>
      <c r="AC169" s="2941"/>
      <c r="AD169" s="2941"/>
      <c r="AE169" s="2941"/>
      <c r="AF169" s="2941"/>
      <c r="AG169" s="2941"/>
      <c r="AH169" s="2941"/>
      <c r="AI169" s="2941"/>
      <c r="AJ169" s="2941"/>
      <c r="AK169" s="2941"/>
      <c r="AL169" s="2941"/>
      <c r="AM169" s="2941"/>
      <c r="AN169" s="2941"/>
      <c r="AO169" s="2911"/>
      <c r="AP169" s="2911"/>
      <c r="AQ169" s="2959"/>
    </row>
    <row r="170" spans="1:43" s="404" customFormat="1" ht="29.25" customHeight="1" x14ac:dyDescent="0.2">
      <c r="A170" s="3100"/>
      <c r="B170" s="3104"/>
      <c r="C170" s="3105"/>
      <c r="D170" s="2972"/>
      <c r="E170" s="2975"/>
      <c r="F170" s="2978"/>
      <c r="G170" s="412"/>
      <c r="H170" s="2035"/>
      <c r="I170" s="2036"/>
      <c r="J170" s="2946"/>
      <c r="K170" s="2947"/>
      <c r="L170" s="2980"/>
      <c r="M170" s="2946"/>
      <c r="N170" s="2948"/>
      <c r="O170" s="2934"/>
      <c r="P170" s="2942"/>
      <c r="Q170" s="2968"/>
      <c r="R170" s="2938"/>
      <c r="S170" s="2945"/>
      <c r="T170" s="2945"/>
      <c r="U170" s="2961"/>
      <c r="V170" s="2054">
        <f>0+5000000</f>
        <v>5000000</v>
      </c>
      <c r="W170" s="2115">
        <v>88</v>
      </c>
      <c r="X170" s="2146" t="s">
        <v>1980</v>
      </c>
      <c r="Y170" s="2941"/>
      <c r="Z170" s="2941"/>
      <c r="AA170" s="2941"/>
      <c r="AB170" s="2941"/>
      <c r="AC170" s="2941"/>
      <c r="AD170" s="2941"/>
      <c r="AE170" s="2941"/>
      <c r="AF170" s="2941"/>
      <c r="AG170" s="2941"/>
      <c r="AH170" s="2941"/>
      <c r="AI170" s="2941"/>
      <c r="AJ170" s="2941"/>
      <c r="AK170" s="2941"/>
      <c r="AL170" s="2941"/>
      <c r="AM170" s="2941"/>
      <c r="AN170" s="2941"/>
      <c r="AO170" s="2911"/>
      <c r="AP170" s="2911"/>
      <c r="AQ170" s="2959"/>
    </row>
    <row r="171" spans="1:43" s="404" customFormat="1" ht="22.5" customHeight="1" x14ac:dyDescent="0.2">
      <c r="A171" s="3100"/>
      <c r="B171" s="3104"/>
      <c r="C171" s="3105"/>
      <c r="D171" s="2972"/>
      <c r="E171" s="2975"/>
      <c r="F171" s="2978"/>
      <c r="G171" s="412"/>
      <c r="H171" s="2035"/>
      <c r="I171" s="2036"/>
      <c r="J171" s="2946"/>
      <c r="K171" s="2947"/>
      <c r="L171" s="2980"/>
      <c r="M171" s="2946"/>
      <c r="N171" s="2948"/>
      <c r="O171" s="2934"/>
      <c r="P171" s="2942"/>
      <c r="Q171" s="2968"/>
      <c r="R171" s="2938"/>
      <c r="S171" s="2945"/>
      <c r="T171" s="2945"/>
      <c r="U171" s="2962" t="s">
        <v>1981</v>
      </c>
      <c r="V171" s="2054">
        <v>11400000</v>
      </c>
      <c r="W171" s="2074">
        <v>20</v>
      </c>
      <c r="X171" s="2039" t="s">
        <v>61</v>
      </c>
      <c r="Y171" s="2941"/>
      <c r="Z171" s="2941"/>
      <c r="AA171" s="2941"/>
      <c r="AB171" s="2941"/>
      <c r="AC171" s="2941"/>
      <c r="AD171" s="2941"/>
      <c r="AE171" s="2941"/>
      <c r="AF171" s="2941"/>
      <c r="AG171" s="2941"/>
      <c r="AH171" s="2941"/>
      <c r="AI171" s="2941"/>
      <c r="AJ171" s="2941"/>
      <c r="AK171" s="2941"/>
      <c r="AL171" s="2941"/>
      <c r="AM171" s="2941"/>
      <c r="AN171" s="2941"/>
      <c r="AO171" s="2911"/>
      <c r="AP171" s="2911"/>
      <c r="AQ171" s="2959"/>
    </row>
    <row r="172" spans="1:43" s="404" customFormat="1" ht="22.5" customHeight="1" x14ac:dyDescent="0.2">
      <c r="A172" s="3100"/>
      <c r="B172" s="3104"/>
      <c r="C172" s="3105"/>
      <c r="D172" s="2972"/>
      <c r="E172" s="2975"/>
      <c r="F172" s="2978"/>
      <c r="G172" s="412"/>
      <c r="H172" s="2035"/>
      <c r="I172" s="2036"/>
      <c r="J172" s="2946"/>
      <c r="K172" s="2947"/>
      <c r="L172" s="2980"/>
      <c r="M172" s="2946"/>
      <c r="N172" s="2948"/>
      <c r="O172" s="2934"/>
      <c r="P172" s="2942"/>
      <c r="Q172" s="2968"/>
      <c r="R172" s="2938"/>
      <c r="S172" s="2945"/>
      <c r="T172" s="2945"/>
      <c r="U172" s="2963"/>
      <c r="V172" s="2054">
        <f>0+10000000</f>
        <v>10000000</v>
      </c>
      <c r="W172" s="2074">
        <v>88</v>
      </c>
      <c r="X172" s="2146" t="s">
        <v>163</v>
      </c>
      <c r="Y172" s="2941"/>
      <c r="Z172" s="2941"/>
      <c r="AA172" s="2941"/>
      <c r="AB172" s="2941"/>
      <c r="AC172" s="2941"/>
      <c r="AD172" s="2941"/>
      <c r="AE172" s="2941"/>
      <c r="AF172" s="2941"/>
      <c r="AG172" s="2941"/>
      <c r="AH172" s="2941"/>
      <c r="AI172" s="2941"/>
      <c r="AJ172" s="2941"/>
      <c r="AK172" s="2941"/>
      <c r="AL172" s="2941"/>
      <c r="AM172" s="2941"/>
      <c r="AN172" s="2941"/>
      <c r="AO172" s="2911"/>
      <c r="AP172" s="2911"/>
      <c r="AQ172" s="2959"/>
    </row>
    <row r="173" spans="1:43" s="404" customFormat="1" ht="34.5" customHeight="1" x14ac:dyDescent="0.2">
      <c r="A173" s="3100"/>
      <c r="B173" s="3104"/>
      <c r="C173" s="3105"/>
      <c r="D173" s="2972"/>
      <c r="E173" s="2975"/>
      <c r="F173" s="2978"/>
      <c r="G173" s="412"/>
      <c r="H173" s="2035"/>
      <c r="I173" s="2036"/>
      <c r="J173" s="2946"/>
      <c r="K173" s="2947"/>
      <c r="L173" s="2980"/>
      <c r="M173" s="2946"/>
      <c r="N173" s="2948"/>
      <c r="O173" s="2934"/>
      <c r="P173" s="2942"/>
      <c r="Q173" s="2968"/>
      <c r="R173" s="2938"/>
      <c r="S173" s="2945"/>
      <c r="T173" s="2945"/>
      <c r="U173" s="1792" t="s">
        <v>1982</v>
      </c>
      <c r="V173" s="2054">
        <v>5000000</v>
      </c>
      <c r="W173" s="2074">
        <v>20</v>
      </c>
      <c r="X173" s="2039" t="s">
        <v>61</v>
      </c>
      <c r="Y173" s="2941"/>
      <c r="Z173" s="2941"/>
      <c r="AA173" s="2941"/>
      <c r="AB173" s="2941"/>
      <c r="AC173" s="2941"/>
      <c r="AD173" s="2941"/>
      <c r="AE173" s="2941"/>
      <c r="AF173" s="2941"/>
      <c r="AG173" s="2941"/>
      <c r="AH173" s="2941"/>
      <c r="AI173" s="2941"/>
      <c r="AJ173" s="2941"/>
      <c r="AK173" s="2941"/>
      <c r="AL173" s="2941"/>
      <c r="AM173" s="2941"/>
      <c r="AN173" s="2941"/>
      <c r="AO173" s="2911"/>
      <c r="AP173" s="2911"/>
      <c r="AQ173" s="2959"/>
    </row>
    <row r="174" spans="1:43" s="404" customFormat="1" ht="41.25" customHeight="1" x14ac:dyDescent="0.2">
      <c r="A174" s="3100"/>
      <c r="B174" s="3104"/>
      <c r="C174" s="3105"/>
      <c r="D174" s="2972"/>
      <c r="E174" s="2975"/>
      <c r="F174" s="2978"/>
      <c r="G174" s="412"/>
      <c r="H174" s="2035"/>
      <c r="I174" s="2036"/>
      <c r="J174" s="2946"/>
      <c r="K174" s="2947"/>
      <c r="L174" s="2980"/>
      <c r="M174" s="2946"/>
      <c r="N174" s="2948"/>
      <c r="O174" s="2934"/>
      <c r="P174" s="2942"/>
      <c r="Q174" s="2968"/>
      <c r="R174" s="2938"/>
      <c r="S174" s="2945"/>
      <c r="T174" s="2945"/>
      <c r="U174" s="1792" t="s">
        <v>1983</v>
      </c>
      <c r="V174" s="2054">
        <v>12000000</v>
      </c>
      <c r="W174" s="2074">
        <v>20</v>
      </c>
      <c r="X174" s="2039" t="s">
        <v>61</v>
      </c>
      <c r="Y174" s="2941"/>
      <c r="Z174" s="2941"/>
      <c r="AA174" s="2941"/>
      <c r="AB174" s="2941"/>
      <c r="AC174" s="2941"/>
      <c r="AD174" s="2941"/>
      <c r="AE174" s="2941"/>
      <c r="AF174" s="2941"/>
      <c r="AG174" s="2941"/>
      <c r="AH174" s="2941"/>
      <c r="AI174" s="2941"/>
      <c r="AJ174" s="2941"/>
      <c r="AK174" s="2941"/>
      <c r="AL174" s="2941"/>
      <c r="AM174" s="2941"/>
      <c r="AN174" s="2941"/>
      <c r="AO174" s="2911"/>
      <c r="AP174" s="2911"/>
      <c r="AQ174" s="2959"/>
    </row>
    <row r="175" spans="1:43" s="404" customFormat="1" ht="32.25" customHeight="1" x14ac:dyDescent="0.2">
      <c r="A175" s="3100"/>
      <c r="B175" s="3104"/>
      <c r="C175" s="3105"/>
      <c r="D175" s="2972"/>
      <c r="E175" s="2975"/>
      <c r="F175" s="2978"/>
      <c r="G175" s="412"/>
      <c r="H175" s="2035"/>
      <c r="I175" s="2036"/>
      <c r="J175" s="2946"/>
      <c r="K175" s="2947"/>
      <c r="L175" s="2980"/>
      <c r="M175" s="2946"/>
      <c r="N175" s="2948"/>
      <c r="O175" s="2934"/>
      <c r="P175" s="2942"/>
      <c r="Q175" s="2968"/>
      <c r="R175" s="2938"/>
      <c r="S175" s="2945"/>
      <c r="T175" s="2945"/>
      <c r="U175" s="2960" t="s">
        <v>1984</v>
      </c>
      <c r="V175" s="2054">
        <f>40000000+366848</f>
        <v>40366848</v>
      </c>
      <c r="W175" s="2074">
        <v>20</v>
      </c>
      <c r="X175" s="2039" t="s">
        <v>61</v>
      </c>
      <c r="Y175" s="2941"/>
      <c r="Z175" s="2941"/>
      <c r="AA175" s="2941"/>
      <c r="AB175" s="2941"/>
      <c r="AC175" s="2941"/>
      <c r="AD175" s="2941"/>
      <c r="AE175" s="2941"/>
      <c r="AF175" s="2941"/>
      <c r="AG175" s="2941"/>
      <c r="AH175" s="2941"/>
      <c r="AI175" s="2941"/>
      <c r="AJ175" s="2941"/>
      <c r="AK175" s="2941"/>
      <c r="AL175" s="2941"/>
      <c r="AM175" s="2941"/>
      <c r="AN175" s="2941"/>
      <c r="AO175" s="2911"/>
      <c r="AP175" s="2911"/>
      <c r="AQ175" s="2959"/>
    </row>
    <row r="176" spans="1:43" s="404" customFormat="1" ht="27.75" customHeight="1" x14ac:dyDescent="0.2">
      <c r="A176" s="3100"/>
      <c r="B176" s="3104"/>
      <c r="C176" s="3105"/>
      <c r="D176" s="2972"/>
      <c r="E176" s="2975"/>
      <c r="F176" s="2978"/>
      <c r="G176" s="412"/>
      <c r="H176" s="2035"/>
      <c r="I176" s="2036"/>
      <c r="J176" s="2946"/>
      <c r="K176" s="2947"/>
      <c r="L176" s="2980"/>
      <c r="M176" s="2946"/>
      <c r="N176" s="2948"/>
      <c r="O176" s="2934"/>
      <c r="P176" s="2942"/>
      <c r="Q176" s="2968"/>
      <c r="R176" s="2938"/>
      <c r="S176" s="2945"/>
      <c r="T176" s="2945"/>
      <c r="U176" s="2961"/>
      <c r="V176" s="2054">
        <f>43690500-366848</f>
        <v>43323652</v>
      </c>
      <c r="W176" s="2074">
        <v>88</v>
      </c>
      <c r="X176" s="2146" t="s">
        <v>163</v>
      </c>
      <c r="Y176" s="2941"/>
      <c r="Z176" s="2941"/>
      <c r="AA176" s="2941"/>
      <c r="AB176" s="2941"/>
      <c r="AC176" s="2941"/>
      <c r="AD176" s="2941"/>
      <c r="AE176" s="2941"/>
      <c r="AF176" s="2941"/>
      <c r="AG176" s="2941"/>
      <c r="AH176" s="2941"/>
      <c r="AI176" s="2941"/>
      <c r="AJ176" s="2941"/>
      <c r="AK176" s="2941"/>
      <c r="AL176" s="2941"/>
      <c r="AM176" s="2941"/>
      <c r="AN176" s="2941"/>
      <c r="AO176" s="2911"/>
      <c r="AP176" s="2911"/>
      <c r="AQ176" s="2959"/>
    </row>
    <row r="177" spans="1:43" s="404" customFormat="1" ht="27.75" customHeight="1" x14ac:dyDescent="0.2">
      <c r="A177" s="3100"/>
      <c r="B177" s="3104"/>
      <c r="C177" s="3105"/>
      <c r="D177" s="2972"/>
      <c r="E177" s="2975"/>
      <c r="F177" s="2978"/>
      <c r="G177" s="412"/>
      <c r="H177" s="2035"/>
      <c r="I177" s="2036"/>
      <c r="J177" s="2946"/>
      <c r="K177" s="2947"/>
      <c r="L177" s="2980"/>
      <c r="M177" s="2946"/>
      <c r="N177" s="2948"/>
      <c r="O177" s="2934"/>
      <c r="P177" s="2942"/>
      <c r="Q177" s="2968"/>
      <c r="R177" s="2938"/>
      <c r="S177" s="2945"/>
      <c r="T177" s="2945"/>
      <c r="U177" s="2960" t="s">
        <v>1985</v>
      </c>
      <c r="V177" s="2054">
        <f>20000000+4383152</f>
        <v>24383152</v>
      </c>
      <c r="W177" s="2115">
        <v>20</v>
      </c>
      <c r="X177" s="2146" t="s">
        <v>61</v>
      </c>
      <c r="Y177" s="2941"/>
      <c r="Z177" s="2941"/>
      <c r="AA177" s="2941"/>
      <c r="AB177" s="2941"/>
      <c r="AC177" s="2941"/>
      <c r="AD177" s="2941"/>
      <c r="AE177" s="2941"/>
      <c r="AF177" s="2941"/>
      <c r="AG177" s="2941"/>
      <c r="AH177" s="2941"/>
      <c r="AI177" s="2941"/>
      <c r="AJ177" s="2941"/>
      <c r="AK177" s="2941"/>
      <c r="AL177" s="2941"/>
      <c r="AM177" s="2941"/>
      <c r="AN177" s="2941"/>
      <c r="AO177" s="2911"/>
      <c r="AP177" s="2911"/>
      <c r="AQ177" s="2959"/>
    </row>
    <row r="178" spans="1:43" s="404" customFormat="1" ht="36" customHeight="1" x14ac:dyDescent="0.2">
      <c r="A178" s="3100"/>
      <c r="B178" s="3104"/>
      <c r="C178" s="3105"/>
      <c r="D178" s="2972"/>
      <c r="E178" s="2975"/>
      <c r="F178" s="2978"/>
      <c r="G178" s="412"/>
      <c r="H178" s="2035"/>
      <c r="I178" s="2036"/>
      <c r="J178" s="2946"/>
      <c r="K178" s="2947"/>
      <c r="L178" s="2980"/>
      <c r="M178" s="2946"/>
      <c r="N178" s="2948"/>
      <c r="O178" s="2934"/>
      <c r="P178" s="2942"/>
      <c r="Q178" s="2968"/>
      <c r="R178" s="2938"/>
      <c r="S178" s="2945"/>
      <c r="T178" s="2945"/>
      <c r="U178" s="2964"/>
      <c r="V178" s="2054">
        <f>20000000-4383152</f>
        <v>15616848</v>
      </c>
      <c r="W178" s="2074">
        <v>88</v>
      </c>
      <c r="X178" s="2146" t="s">
        <v>163</v>
      </c>
      <c r="Y178" s="2965"/>
      <c r="Z178" s="2941"/>
      <c r="AA178" s="2941"/>
      <c r="AB178" s="2941"/>
      <c r="AC178" s="2941"/>
      <c r="AD178" s="2941"/>
      <c r="AE178" s="2941"/>
      <c r="AF178" s="2941"/>
      <c r="AG178" s="2941"/>
      <c r="AH178" s="2941"/>
      <c r="AI178" s="2941"/>
      <c r="AJ178" s="2941"/>
      <c r="AK178" s="2941"/>
      <c r="AL178" s="2941"/>
      <c r="AM178" s="2941"/>
      <c r="AN178" s="2941"/>
      <c r="AO178" s="2911"/>
      <c r="AP178" s="2911"/>
      <c r="AQ178" s="2959"/>
    </row>
    <row r="179" spans="1:43" s="404" customFormat="1" ht="42" customHeight="1" x14ac:dyDescent="0.2">
      <c r="A179" s="3100"/>
      <c r="B179" s="3104"/>
      <c r="C179" s="3105"/>
      <c r="D179" s="2972"/>
      <c r="E179" s="2975"/>
      <c r="F179" s="2978"/>
      <c r="G179" s="412"/>
      <c r="H179" s="2035"/>
      <c r="I179" s="2036"/>
      <c r="J179" s="2946">
        <v>251</v>
      </c>
      <c r="K179" s="2947" t="s">
        <v>1986</v>
      </c>
      <c r="L179" s="2947" t="s">
        <v>1987</v>
      </c>
      <c r="M179" s="2946">
        <v>1</v>
      </c>
      <c r="N179" s="2948"/>
      <c r="O179" s="2934"/>
      <c r="P179" s="2942"/>
      <c r="Q179" s="2968"/>
      <c r="R179" s="2938"/>
      <c r="S179" s="2945"/>
      <c r="T179" s="2945"/>
      <c r="U179" s="1792" t="s">
        <v>1988</v>
      </c>
      <c r="V179" s="2141">
        <v>18000000</v>
      </c>
      <c r="W179" s="2147">
        <v>20</v>
      </c>
      <c r="X179" s="2148" t="s">
        <v>61</v>
      </c>
      <c r="Y179" s="2941"/>
      <c r="Z179" s="2941"/>
      <c r="AA179" s="2941"/>
      <c r="AB179" s="2941"/>
      <c r="AC179" s="2941"/>
      <c r="AD179" s="2941"/>
      <c r="AE179" s="2941"/>
      <c r="AF179" s="2941"/>
      <c r="AG179" s="2941"/>
      <c r="AH179" s="2941"/>
      <c r="AI179" s="2941"/>
      <c r="AJ179" s="2941"/>
      <c r="AK179" s="2941"/>
      <c r="AL179" s="2941"/>
      <c r="AM179" s="2941"/>
      <c r="AN179" s="2941"/>
      <c r="AO179" s="2911"/>
      <c r="AP179" s="2911"/>
      <c r="AQ179" s="2959"/>
    </row>
    <row r="180" spans="1:43" s="404" customFormat="1" ht="46.5" customHeight="1" x14ac:dyDescent="0.2">
      <c r="A180" s="3100"/>
      <c r="B180" s="3104"/>
      <c r="C180" s="3105"/>
      <c r="D180" s="2972"/>
      <c r="E180" s="2975"/>
      <c r="F180" s="2978"/>
      <c r="G180" s="412"/>
      <c r="H180" s="2035"/>
      <c r="I180" s="2036"/>
      <c r="J180" s="2946"/>
      <c r="K180" s="2947"/>
      <c r="L180" s="2947"/>
      <c r="M180" s="2946"/>
      <c r="N180" s="2948"/>
      <c r="O180" s="2934"/>
      <c r="P180" s="2942"/>
      <c r="Q180" s="2968"/>
      <c r="R180" s="2938"/>
      <c r="S180" s="2945"/>
      <c r="T180" s="2945"/>
      <c r="U180" s="1007" t="s">
        <v>1989</v>
      </c>
      <c r="V180" s="2143">
        <v>5000000</v>
      </c>
      <c r="W180" s="2074">
        <v>20</v>
      </c>
      <c r="X180" s="2039" t="s">
        <v>61</v>
      </c>
      <c r="Y180" s="2941"/>
      <c r="Z180" s="2941"/>
      <c r="AA180" s="2941"/>
      <c r="AB180" s="2941"/>
      <c r="AC180" s="2941"/>
      <c r="AD180" s="2941"/>
      <c r="AE180" s="2941"/>
      <c r="AF180" s="2941"/>
      <c r="AG180" s="2941"/>
      <c r="AH180" s="2941"/>
      <c r="AI180" s="2941"/>
      <c r="AJ180" s="2941"/>
      <c r="AK180" s="2941"/>
      <c r="AL180" s="2941"/>
      <c r="AM180" s="2941"/>
      <c r="AN180" s="2941"/>
      <c r="AO180" s="2911"/>
      <c r="AP180" s="2911"/>
      <c r="AQ180" s="2959"/>
    </row>
    <row r="181" spans="1:43" s="404" customFormat="1" ht="48.75" customHeight="1" x14ac:dyDescent="0.2">
      <c r="A181" s="3100"/>
      <c r="B181" s="3104"/>
      <c r="C181" s="3105"/>
      <c r="D181" s="2972"/>
      <c r="E181" s="2975"/>
      <c r="F181" s="2978"/>
      <c r="G181" s="412"/>
      <c r="H181" s="2035"/>
      <c r="I181" s="2036"/>
      <c r="J181" s="2946"/>
      <c r="K181" s="2947"/>
      <c r="L181" s="2947"/>
      <c r="M181" s="2946"/>
      <c r="N181" s="2948"/>
      <c r="O181" s="2934"/>
      <c r="P181" s="2942"/>
      <c r="Q181" s="2968"/>
      <c r="R181" s="2938"/>
      <c r="S181" s="2945"/>
      <c r="T181" s="2945"/>
      <c r="U181" s="1007" t="s">
        <v>1990</v>
      </c>
      <c r="V181" s="2143">
        <v>14690000</v>
      </c>
      <c r="W181" s="2074">
        <v>20</v>
      </c>
      <c r="X181" s="2039" t="s">
        <v>61</v>
      </c>
      <c r="Y181" s="2941"/>
      <c r="Z181" s="2941"/>
      <c r="AA181" s="2941"/>
      <c r="AB181" s="2941"/>
      <c r="AC181" s="2941"/>
      <c r="AD181" s="2941"/>
      <c r="AE181" s="2941"/>
      <c r="AF181" s="2941"/>
      <c r="AG181" s="2941"/>
      <c r="AH181" s="2941"/>
      <c r="AI181" s="2941"/>
      <c r="AJ181" s="2941"/>
      <c r="AK181" s="2941"/>
      <c r="AL181" s="2941"/>
      <c r="AM181" s="2941"/>
      <c r="AN181" s="2941"/>
      <c r="AO181" s="2911"/>
      <c r="AP181" s="2911"/>
      <c r="AQ181" s="2959"/>
    </row>
    <row r="182" spans="1:43" s="404" customFormat="1" ht="33" customHeight="1" x14ac:dyDescent="0.2">
      <c r="A182" s="3100"/>
      <c r="B182" s="3104"/>
      <c r="C182" s="3105"/>
      <c r="D182" s="2972"/>
      <c r="E182" s="2975"/>
      <c r="F182" s="2978"/>
      <c r="G182" s="412"/>
      <c r="H182" s="2035"/>
      <c r="I182" s="2036"/>
      <c r="J182" s="2946"/>
      <c r="K182" s="2947"/>
      <c r="L182" s="2947"/>
      <c r="M182" s="2946"/>
      <c r="N182" s="2948"/>
      <c r="O182" s="2934"/>
      <c r="P182" s="2942"/>
      <c r="Q182" s="2968"/>
      <c r="R182" s="2938"/>
      <c r="S182" s="2945"/>
      <c r="T182" s="2945"/>
      <c r="U182" s="1007" t="s">
        <v>1991</v>
      </c>
      <c r="V182" s="2143">
        <v>5000000</v>
      </c>
      <c r="W182" s="2074">
        <v>20</v>
      </c>
      <c r="X182" s="2039" t="s">
        <v>61</v>
      </c>
      <c r="Y182" s="2941"/>
      <c r="Z182" s="2941"/>
      <c r="AA182" s="2941"/>
      <c r="AB182" s="2941"/>
      <c r="AC182" s="2941"/>
      <c r="AD182" s="2941"/>
      <c r="AE182" s="2941"/>
      <c r="AF182" s="2941"/>
      <c r="AG182" s="2941"/>
      <c r="AH182" s="2941"/>
      <c r="AI182" s="2941"/>
      <c r="AJ182" s="2941"/>
      <c r="AK182" s="2941"/>
      <c r="AL182" s="2941"/>
      <c r="AM182" s="2941"/>
      <c r="AN182" s="2941"/>
      <c r="AO182" s="2911"/>
      <c r="AP182" s="2911"/>
      <c r="AQ182" s="2959"/>
    </row>
    <row r="183" spans="1:43" s="404" customFormat="1" ht="33" customHeight="1" x14ac:dyDescent="0.2">
      <c r="A183" s="3100"/>
      <c r="B183" s="3104"/>
      <c r="C183" s="3105"/>
      <c r="D183" s="2972"/>
      <c r="E183" s="2975"/>
      <c r="F183" s="2978"/>
      <c r="G183" s="412"/>
      <c r="H183" s="2035"/>
      <c r="I183" s="2036"/>
      <c r="J183" s="2946"/>
      <c r="K183" s="2947"/>
      <c r="L183" s="2947"/>
      <c r="M183" s="2946"/>
      <c r="N183" s="2948"/>
      <c r="O183" s="2934"/>
      <c r="P183" s="2942"/>
      <c r="Q183" s="2968"/>
      <c r="R183" s="2938"/>
      <c r="S183" s="2945"/>
      <c r="T183" s="2945"/>
      <c r="U183" s="1007" t="s">
        <v>1992</v>
      </c>
      <c r="V183" s="2143">
        <v>7000000</v>
      </c>
      <c r="W183" s="2074">
        <v>20</v>
      </c>
      <c r="X183" s="2039" t="s">
        <v>61</v>
      </c>
      <c r="Y183" s="2941"/>
      <c r="Z183" s="2941"/>
      <c r="AA183" s="2941"/>
      <c r="AB183" s="2941"/>
      <c r="AC183" s="2941"/>
      <c r="AD183" s="2941"/>
      <c r="AE183" s="2941"/>
      <c r="AF183" s="2941"/>
      <c r="AG183" s="2941"/>
      <c r="AH183" s="2941"/>
      <c r="AI183" s="2941"/>
      <c r="AJ183" s="2941"/>
      <c r="AK183" s="2941"/>
      <c r="AL183" s="2941"/>
      <c r="AM183" s="2941"/>
      <c r="AN183" s="2941"/>
      <c r="AO183" s="2911"/>
      <c r="AP183" s="2911"/>
      <c r="AQ183" s="2959"/>
    </row>
    <row r="184" spans="1:43" s="404" customFormat="1" ht="73.5" customHeight="1" x14ac:dyDescent="0.2">
      <c r="A184" s="3100"/>
      <c r="B184" s="3104"/>
      <c r="C184" s="3105"/>
      <c r="D184" s="2972"/>
      <c r="E184" s="2975"/>
      <c r="F184" s="2978"/>
      <c r="G184" s="412"/>
      <c r="H184" s="2035"/>
      <c r="I184" s="2036"/>
      <c r="J184" s="2039">
        <v>252</v>
      </c>
      <c r="K184" s="2037" t="s">
        <v>1993</v>
      </c>
      <c r="L184" s="2037" t="s">
        <v>1994</v>
      </c>
      <c r="M184" s="2039">
        <v>1</v>
      </c>
      <c r="N184" s="2948"/>
      <c r="O184" s="2934"/>
      <c r="P184" s="2942"/>
      <c r="Q184" s="2968"/>
      <c r="R184" s="2938"/>
      <c r="S184" s="2945"/>
      <c r="T184" s="2945"/>
      <c r="U184" s="2044" t="s">
        <v>1995</v>
      </c>
      <c r="V184" s="2054">
        <v>11254037</v>
      </c>
      <c r="W184" s="2074">
        <v>20</v>
      </c>
      <c r="X184" s="2039" t="s">
        <v>61</v>
      </c>
      <c r="Y184" s="2941"/>
      <c r="Z184" s="2941"/>
      <c r="AA184" s="2941"/>
      <c r="AB184" s="2941"/>
      <c r="AC184" s="2941"/>
      <c r="AD184" s="2941"/>
      <c r="AE184" s="2941"/>
      <c r="AF184" s="2941"/>
      <c r="AG184" s="2941"/>
      <c r="AH184" s="2941"/>
      <c r="AI184" s="2941"/>
      <c r="AJ184" s="2941"/>
      <c r="AK184" s="2941"/>
      <c r="AL184" s="2941"/>
      <c r="AM184" s="2941"/>
      <c r="AN184" s="2941"/>
      <c r="AO184" s="2911"/>
      <c r="AP184" s="2911"/>
      <c r="AQ184" s="2959"/>
    </row>
    <row r="185" spans="1:43" s="404" customFormat="1" ht="48" customHeight="1" x14ac:dyDescent="0.2">
      <c r="A185" s="3100"/>
      <c r="B185" s="3104"/>
      <c r="C185" s="3105"/>
      <c r="D185" s="2972"/>
      <c r="E185" s="2975"/>
      <c r="F185" s="2978"/>
      <c r="G185" s="412"/>
      <c r="H185" s="2035"/>
      <c r="I185" s="2036"/>
      <c r="J185" s="2957">
        <v>253</v>
      </c>
      <c r="K185" s="2949" t="s">
        <v>1996</v>
      </c>
      <c r="L185" s="2949" t="s">
        <v>1997</v>
      </c>
      <c r="M185" s="2952">
        <f>0.5+0.125</f>
        <v>0.625</v>
      </c>
      <c r="N185" s="2948"/>
      <c r="O185" s="2934"/>
      <c r="P185" s="2942"/>
      <c r="Q185" s="2968"/>
      <c r="R185" s="2938"/>
      <c r="S185" s="2945"/>
      <c r="T185" s="2958"/>
      <c r="U185" s="2955" t="s">
        <v>1998</v>
      </c>
      <c r="V185" s="2054">
        <v>80250000</v>
      </c>
      <c r="W185" s="2074">
        <v>20</v>
      </c>
      <c r="X185" s="2039" t="s">
        <v>61</v>
      </c>
      <c r="Y185" s="2941"/>
      <c r="Z185" s="2941"/>
      <c r="AA185" s="2941"/>
      <c r="AB185" s="2941"/>
      <c r="AC185" s="2941"/>
      <c r="AD185" s="2941"/>
      <c r="AE185" s="2941"/>
      <c r="AF185" s="2941"/>
      <c r="AG185" s="2941"/>
      <c r="AH185" s="2941"/>
      <c r="AI185" s="2941"/>
      <c r="AJ185" s="2941"/>
      <c r="AK185" s="2941"/>
      <c r="AL185" s="2941"/>
      <c r="AM185" s="2941"/>
      <c r="AN185" s="2941"/>
      <c r="AO185" s="2911"/>
      <c r="AP185" s="2911"/>
      <c r="AQ185" s="2959"/>
    </row>
    <row r="186" spans="1:43" s="404" customFormat="1" ht="48" customHeight="1" x14ac:dyDescent="0.2">
      <c r="A186" s="3100"/>
      <c r="B186" s="3104"/>
      <c r="C186" s="3105"/>
      <c r="D186" s="2972"/>
      <c r="E186" s="2975"/>
      <c r="F186" s="2978"/>
      <c r="G186" s="412"/>
      <c r="H186" s="2035"/>
      <c r="I186" s="2036"/>
      <c r="J186" s="2930"/>
      <c r="K186" s="2950"/>
      <c r="L186" s="2950"/>
      <c r="M186" s="2953"/>
      <c r="N186" s="2948"/>
      <c r="O186" s="2934"/>
      <c r="P186" s="2942"/>
      <c r="Q186" s="2968"/>
      <c r="R186" s="2938"/>
      <c r="S186" s="2945"/>
      <c r="T186" s="2958"/>
      <c r="U186" s="2956"/>
      <c r="V186" s="2054">
        <v>144750000</v>
      </c>
      <c r="W186" s="2074">
        <v>88</v>
      </c>
      <c r="X186" s="2039" t="s">
        <v>163</v>
      </c>
      <c r="Y186" s="2941"/>
      <c r="Z186" s="2941"/>
      <c r="AA186" s="2941"/>
      <c r="AB186" s="2941"/>
      <c r="AC186" s="2941"/>
      <c r="AD186" s="2941"/>
      <c r="AE186" s="2941"/>
      <c r="AF186" s="2941"/>
      <c r="AG186" s="2941"/>
      <c r="AH186" s="2941"/>
      <c r="AI186" s="2941"/>
      <c r="AJ186" s="2941"/>
      <c r="AK186" s="2941"/>
      <c r="AL186" s="2941"/>
      <c r="AM186" s="2941"/>
      <c r="AN186" s="2941"/>
      <c r="AO186" s="2911"/>
      <c r="AP186" s="2911"/>
      <c r="AQ186" s="2959"/>
    </row>
    <row r="187" spans="1:43" s="404" customFormat="1" ht="37.5" customHeight="1" x14ac:dyDescent="0.2">
      <c r="A187" s="3100"/>
      <c r="B187" s="3104"/>
      <c r="C187" s="3105"/>
      <c r="D187" s="2972"/>
      <c r="E187" s="2975"/>
      <c r="F187" s="2978"/>
      <c r="G187" s="412"/>
      <c r="H187" s="2035"/>
      <c r="I187" s="2036"/>
      <c r="J187" s="2931"/>
      <c r="K187" s="2951"/>
      <c r="L187" s="2951"/>
      <c r="M187" s="2954"/>
      <c r="N187" s="2948"/>
      <c r="O187" s="2934"/>
      <c r="P187" s="2942"/>
      <c r="Q187" s="2968"/>
      <c r="R187" s="2938"/>
      <c r="S187" s="2945"/>
      <c r="T187" s="2958"/>
      <c r="U187" s="1045" t="s">
        <v>1999</v>
      </c>
      <c r="V187" s="2054">
        <v>15000000</v>
      </c>
      <c r="W187" s="2074">
        <v>20</v>
      </c>
      <c r="X187" s="2039" t="s">
        <v>61</v>
      </c>
      <c r="Y187" s="2941"/>
      <c r="Z187" s="2941"/>
      <c r="AA187" s="2941"/>
      <c r="AB187" s="2941"/>
      <c r="AC187" s="2941"/>
      <c r="AD187" s="2941"/>
      <c r="AE187" s="2941"/>
      <c r="AF187" s="2941"/>
      <c r="AG187" s="2941"/>
      <c r="AH187" s="2941"/>
      <c r="AI187" s="2941"/>
      <c r="AJ187" s="2941"/>
      <c r="AK187" s="2941"/>
      <c r="AL187" s="2941"/>
      <c r="AM187" s="2941"/>
      <c r="AN187" s="2941"/>
      <c r="AO187" s="2911"/>
      <c r="AP187" s="2911"/>
      <c r="AQ187" s="2959"/>
    </row>
    <row r="188" spans="1:43" s="404" customFormat="1" ht="43.5" customHeight="1" x14ac:dyDescent="0.2">
      <c r="A188" s="3100"/>
      <c r="B188" s="3104"/>
      <c r="C188" s="3105"/>
      <c r="D188" s="2972"/>
      <c r="E188" s="2975"/>
      <c r="F188" s="2978"/>
      <c r="G188" s="412"/>
      <c r="H188" s="2035"/>
      <c r="I188" s="2036"/>
      <c r="J188" s="2957">
        <v>254</v>
      </c>
      <c r="K188" s="2947" t="s">
        <v>2000</v>
      </c>
      <c r="L188" s="2947" t="s">
        <v>2001</v>
      </c>
      <c r="M188" s="2946">
        <v>1</v>
      </c>
      <c r="N188" s="2948"/>
      <c r="O188" s="2934"/>
      <c r="P188" s="2942"/>
      <c r="Q188" s="2968"/>
      <c r="R188" s="2938"/>
      <c r="S188" s="2945"/>
      <c r="T188" s="2958"/>
      <c r="U188" s="1981" t="s">
        <v>2002</v>
      </c>
      <c r="V188" s="2143">
        <v>17101133</v>
      </c>
      <c r="W188" s="2074">
        <v>20</v>
      </c>
      <c r="X188" s="2039" t="s">
        <v>61</v>
      </c>
      <c r="Y188" s="2941"/>
      <c r="Z188" s="2941"/>
      <c r="AA188" s="2941"/>
      <c r="AB188" s="2941"/>
      <c r="AC188" s="2941"/>
      <c r="AD188" s="2941"/>
      <c r="AE188" s="2941"/>
      <c r="AF188" s="2941"/>
      <c r="AG188" s="2941"/>
      <c r="AH188" s="2941"/>
      <c r="AI188" s="2941"/>
      <c r="AJ188" s="2941"/>
      <c r="AK188" s="2941"/>
      <c r="AL188" s="2941"/>
      <c r="AM188" s="2941"/>
      <c r="AN188" s="2941"/>
      <c r="AO188" s="2911"/>
      <c r="AP188" s="2911"/>
      <c r="AQ188" s="2959"/>
    </row>
    <row r="189" spans="1:43" s="404" customFormat="1" ht="36" customHeight="1" x14ac:dyDescent="0.2">
      <c r="A189" s="3100"/>
      <c r="B189" s="3104"/>
      <c r="C189" s="3105"/>
      <c r="D189" s="2972"/>
      <c r="E189" s="2975"/>
      <c r="F189" s="2978"/>
      <c r="G189" s="412"/>
      <c r="H189" s="2035"/>
      <c r="I189" s="2036"/>
      <c r="J189" s="2930"/>
      <c r="K189" s="2947"/>
      <c r="L189" s="2947"/>
      <c r="M189" s="2946"/>
      <c r="N189" s="2948"/>
      <c r="O189" s="2934"/>
      <c r="P189" s="2942"/>
      <c r="Q189" s="2968"/>
      <c r="R189" s="2938"/>
      <c r="S189" s="2945"/>
      <c r="T189" s="2958"/>
      <c r="U189" s="1981" t="s">
        <v>2003</v>
      </c>
      <c r="V189" s="2143">
        <v>5000000</v>
      </c>
      <c r="W189" s="2074">
        <v>20</v>
      </c>
      <c r="X189" s="2039" t="s">
        <v>61</v>
      </c>
      <c r="Y189" s="2941"/>
      <c r="Z189" s="2941"/>
      <c r="AA189" s="2941"/>
      <c r="AB189" s="2941"/>
      <c r="AC189" s="2941"/>
      <c r="AD189" s="2941"/>
      <c r="AE189" s="2941"/>
      <c r="AF189" s="2941"/>
      <c r="AG189" s="2941"/>
      <c r="AH189" s="2941"/>
      <c r="AI189" s="2941"/>
      <c r="AJ189" s="2941"/>
      <c r="AK189" s="2941"/>
      <c r="AL189" s="2941"/>
      <c r="AM189" s="2941"/>
      <c r="AN189" s="2941"/>
      <c r="AO189" s="2911"/>
      <c r="AP189" s="2911"/>
      <c r="AQ189" s="2959"/>
    </row>
    <row r="190" spans="1:43" s="404" customFormat="1" ht="39.75" customHeight="1" x14ac:dyDescent="0.2">
      <c r="A190" s="3100"/>
      <c r="B190" s="3104"/>
      <c r="C190" s="3105"/>
      <c r="D190" s="2972"/>
      <c r="E190" s="2975"/>
      <c r="F190" s="2978"/>
      <c r="G190" s="412"/>
      <c r="H190" s="2035"/>
      <c r="I190" s="2036"/>
      <c r="J190" s="2930"/>
      <c r="K190" s="2947"/>
      <c r="L190" s="2947"/>
      <c r="M190" s="2946"/>
      <c r="N190" s="2948"/>
      <c r="O190" s="2934"/>
      <c r="P190" s="2942"/>
      <c r="Q190" s="2968"/>
      <c r="R190" s="2938"/>
      <c r="S190" s="2945"/>
      <c r="T190" s="2958"/>
      <c r="U190" s="1007" t="s">
        <v>2004</v>
      </c>
      <c r="V190" s="2143">
        <v>5000000</v>
      </c>
      <c r="W190" s="2074">
        <v>20</v>
      </c>
      <c r="X190" s="2039" t="s">
        <v>61</v>
      </c>
      <c r="Y190" s="2941"/>
      <c r="Z190" s="2941"/>
      <c r="AA190" s="2941"/>
      <c r="AB190" s="2941"/>
      <c r="AC190" s="2941"/>
      <c r="AD190" s="2941"/>
      <c r="AE190" s="2941"/>
      <c r="AF190" s="2941"/>
      <c r="AG190" s="2941"/>
      <c r="AH190" s="2941"/>
      <c r="AI190" s="2941"/>
      <c r="AJ190" s="2941"/>
      <c r="AK190" s="2941"/>
      <c r="AL190" s="2941"/>
      <c r="AM190" s="2941"/>
      <c r="AN190" s="2941"/>
      <c r="AO190" s="2911"/>
      <c r="AP190" s="2911"/>
      <c r="AQ190" s="2959"/>
    </row>
    <row r="191" spans="1:43" s="404" customFormat="1" ht="27" customHeight="1" x14ac:dyDescent="0.2">
      <c r="A191" s="3100"/>
      <c r="B191" s="3104"/>
      <c r="C191" s="3105"/>
      <c r="D191" s="2973"/>
      <c r="E191" s="2976"/>
      <c r="F191" s="2979"/>
      <c r="G191" s="412"/>
      <c r="H191" s="2055"/>
      <c r="I191" s="2056"/>
      <c r="J191" s="2931"/>
      <c r="K191" s="2947"/>
      <c r="L191" s="2947"/>
      <c r="M191" s="2946"/>
      <c r="N191" s="2948"/>
      <c r="O191" s="2934"/>
      <c r="P191" s="2942"/>
      <c r="Q191" s="2969"/>
      <c r="R191" s="2939"/>
      <c r="S191" s="2945"/>
      <c r="T191" s="2958"/>
      <c r="U191" s="1007" t="s">
        <v>1981</v>
      </c>
      <c r="V191" s="2143">
        <v>2700000</v>
      </c>
      <c r="W191" s="2074">
        <v>20</v>
      </c>
      <c r="X191" s="2039" t="s">
        <v>61</v>
      </c>
      <c r="Y191" s="2941"/>
      <c r="Z191" s="2941"/>
      <c r="AA191" s="2941"/>
      <c r="AB191" s="2941"/>
      <c r="AC191" s="2941"/>
      <c r="AD191" s="2941"/>
      <c r="AE191" s="2941"/>
      <c r="AF191" s="2941"/>
      <c r="AG191" s="2941"/>
      <c r="AH191" s="2941"/>
      <c r="AI191" s="2941"/>
      <c r="AJ191" s="2941"/>
      <c r="AK191" s="2941"/>
      <c r="AL191" s="2941"/>
      <c r="AM191" s="2941"/>
      <c r="AN191" s="2941"/>
      <c r="AO191" s="2912"/>
      <c r="AP191" s="2912"/>
      <c r="AQ191" s="2959"/>
    </row>
    <row r="192" spans="1:43" s="404" customFormat="1" ht="27" customHeight="1" x14ac:dyDescent="0.2">
      <c r="A192" s="3100"/>
      <c r="B192" s="3104"/>
      <c r="C192" s="3105"/>
      <c r="D192" s="777">
        <v>27</v>
      </c>
      <c r="E192" s="2144" t="s">
        <v>1968</v>
      </c>
      <c r="F192" s="2144"/>
      <c r="G192" s="2144"/>
      <c r="H192" s="2144"/>
      <c r="I192" s="2144"/>
      <c r="J192" s="2144"/>
      <c r="K192" s="2144"/>
      <c r="L192" s="2144"/>
      <c r="M192" s="2144"/>
      <c r="N192" s="777"/>
      <c r="O192" s="2144"/>
      <c r="P192" s="2144"/>
      <c r="Q192" s="2144"/>
      <c r="R192" s="2149"/>
      <c r="S192" s="2144"/>
      <c r="T192" s="2144"/>
      <c r="U192" s="2150"/>
      <c r="V192" s="2151"/>
      <c r="W192" s="777"/>
      <c r="X192" s="777"/>
      <c r="Y192" s="2144"/>
      <c r="Z192" s="2144"/>
      <c r="AA192" s="2144"/>
      <c r="AB192" s="2144"/>
      <c r="AC192" s="2144"/>
      <c r="AD192" s="2144"/>
      <c r="AE192" s="2144"/>
      <c r="AF192" s="2144"/>
      <c r="AG192" s="2144"/>
      <c r="AH192" s="2144"/>
      <c r="AI192" s="2144"/>
      <c r="AJ192" s="2144"/>
      <c r="AK192" s="2144"/>
      <c r="AL192" s="2144"/>
      <c r="AM192" s="2144"/>
      <c r="AN192" s="2144"/>
      <c r="AO192" s="2144"/>
      <c r="AP192" s="2144"/>
      <c r="AQ192" s="2144"/>
    </row>
    <row r="193" spans="1:43" s="412" customFormat="1" ht="15" customHeight="1" x14ac:dyDescent="0.2">
      <c r="A193" s="3100"/>
      <c r="B193" s="3104"/>
      <c r="C193" s="3105"/>
      <c r="D193" s="2925"/>
      <c r="E193" s="2925"/>
      <c r="F193" s="2925"/>
      <c r="G193" s="2019">
        <v>86</v>
      </c>
      <c r="H193" s="864" t="s">
        <v>2005</v>
      </c>
      <c r="I193" s="864"/>
      <c r="J193" s="892"/>
      <c r="K193" s="2057"/>
      <c r="L193" s="2058"/>
      <c r="M193" s="931"/>
      <c r="N193" s="926"/>
      <c r="O193" s="927"/>
      <c r="P193" s="866"/>
      <c r="Q193" s="2059"/>
      <c r="R193" s="2060"/>
      <c r="S193" s="2057"/>
      <c r="T193" s="2057"/>
      <c r="U193" s="2057"/>
      <c r="V193" s="2061"/>
      <c r="W193" s="869"/>
      <c r="X193" s="869"/>
      <c r="Y193" s="869"/>
      <c r="Z193" s="869"/>
      <c r="AA193" s="869"/>
      <c r="AB193" s="869"/>
      <c r="AC193" s="869"/>
      <c r="AD193" s="869"/>
      <c r="AE193" s="869"/>
      <c r="AF193" s="869"/>
      <c r="AG193" s="869"/>
      <c r="AH193" s="869"/>
      <c r="AI193" s="869"/>
      <c r="AJ193" s="869"/>
      <c r="AK193" s="869"/>
      <c r="AL193" s="869"/>
      <c r="AM193" s="869"/>
      <c r="AN193" s="869"/>
      <c r="AO193" s="869"/>
      <c r="AP193" s="869"/>
      <c r="AQ193" s="2087"/>
    </row>
    <row r="194" spans="1:43" s="404" customFormat="1" ht="45.75" customHeight="1" x14ac:dyDescent="0.2">
      <c r="A194" s="3100"/>
      <c r="B194" s="3104"/>
      <c r="C194" s="3105"/>
      <c r="D194" s="2925"/>
      <c r="E194" s="2925"/>
      <c r="F194" s="2925"/>
      <c r="G194" s="412"/>
      <c r="H194" s="2030"/>
      <c r="I194" s="2031"/>
      <c r="J194" s="2946">
        <v>255</v>
      </c>
      <c r="K194" s="2947" t="s">
        <v>2006</v>
      </c>
      <c r="L194" s="2947" t="s">
        <v>2007</v>
      </c>
      <c r="M194" s="2946">
        <v>12</v>
      </c>
      <c r="N194" s="2948" t="s">
        <v>2008</v>
      </c>
      <c r="O194" s="2934" t="s">
        <v>2009</v>
      </c>
      <c r="P194" s="2942" t="s">
        <v>2010</v>
      </c>
      <c r="Q194" s="2943">
        <f>R194/(V194+V195+V196+V197)</f>
        <v>1</v>
      </c>
      <c r="R194" s="2944">
        <f>SUM(V194:V197)</f>
        <v>99372400</v>
      </c>
      <c r="S194" s="2945" t="s">
        <v>2011</v>
      </c>
      <c r="T194" s="2945" t="s">
        <v>2012</v>
      </c>
      <c r="U194" s="2152" t="s">
        <v>2013</v>
      </c>
      <c r="V194" s="2143">
        <v>40000000</v>
      </c>
      <c r="W194" s="2153" t="s">
        <v>60</v>
      </c>
      <c r="X194" s="2053" t="s">
        <v>61</v>
      </c>
      <c r="Y194" s="2940">
        <v>2138</v>
      </c>
      <c r="Z194" s="2940">
        <v>2062</v>
      </c>
      <c r="AA194" s="2940"/>
      <c r="AB194" s="2940"/>
      <c r="AC194" s="2940">
        <v>4200</v>
      </c>
      <c r="AD194" s="2940"/>
      <c r="AE194" s="2940"/>
      <c r="AF194" s="2940"/>
      <c r="AG194" s="2940"/>
      <c r="AH194" s="2940"/>
      <c r="AI194" s="2940"/>
      <c r="AJ194" s="2940"/>
      <c r="AK194" s="2940"/>
      <c r="AL194" s="2940"/>
      <c r="AM194" s="2940"/>
      <c r="AN194" s="2940">
        <f>+Y194+Z194</f>
        <v>4200</v>
      </c>
      <c r="AO194" s="2910">
        <v>43480</v>
      </c>
      <c r="AP194" s="2910">
        <v>43814</v>
      </c>
      <c r="AQ194" s="2913" t="s">
        <v>1827</v>
      </c>
    </row>
    <row r="195" spans="1:43" s="404" customFormat="1" ht="33" customHeight="1" x14ac:dyDescent="0.2">
      <c r="A195" s="3100"/>
      <c r="B195" s="3104"/>
      <c r="C195" s="3105"/>
      <c r="D195" s="2925"/>
      <c r="E195" s="2925"/>
      <c r="F195" s="2925"/>
      <c r="G195" s="412"/>
      <c r="H195" s="2035"/>
      <c r="I195" s="2036"/>
      <c r="J195" s="2946"/>
      <c r="K195" s="2947"/>
      <c r="L195" s="2947"/>
      <c r="M195" s="2946"/>
      <c r="N195" s="2948"/>
      <c r="O195" s="2934"/>
      <c r="P195" s="2942"/>
      <c r="Q195" s="2943"/>
      <c r="R195" s="2944"/>
      <c r="S195" s="2945"/>
      <c r="T195" s="2945"/>
      <c r="U195" s="2154" t="s">
        <v>2014</v>
      </c>
      <c r="V195" s="2143">
        <v>18372400</v>
      </c>
      <c r="W195" s="2155" t="s">
        <v>2015</v>
      </c>
      <c r="X195" s="2039" t="s">
        <v>2016</v>
      </c>
      <c r="Y195" s="2941"/>
      <c r="Z195" s="2941"/>
      <c r="AA195" s="2941"/>
      <c r="AB195" s="2941"/>
      <c r="AC195" s="2941"/>
      <c r="AD195" s="2941"/>
      <c r="AE195" s="2941"/>
      <c r="AF195" s="2941"/>
      <c r="AG195" s="2941"/>
      <c r="AH195" s="2941"/>
      <c r="AI195" s="2941"/>
      <c r="AJ195" s="2941"/>
      <c r="AK195" s="2941"/>
      <c r="AL195" s="2941"/>
      <c r="AM195" s="2941"/>
      <c r="AN195" s="2941"/>
      <c r="AO195" s="2911"/>
      <c r="AP195" s="2911"/>
      <c r="AQ195" s="2914"/>
    </row>
    <row r="196" spans="1:43" s="404" customFormat="1" ht="40.5" customHeight="1" x14ac:dyDescent="0.2">
      <c r="A196" s="3100"/>
      <c r="B196" s="3104"/>
      <c r="C196" s="3105"/>
      <c r="D196" s="2925"/>
      <c r="E196" s="2925"/>
      <c r="F196" s="2925"/>
      <c r="G196" s="412"/>
      <c r="H196" s="2035"/>
      <c r="I196" s="2036"/>
      <c r="J196" s="2946"/>
      <c r="K196" s="2947"/>
      <c r="L196" s="2947"/>
      <c r="M196" s="2946"/>
      <c r="N196" s="2948"/>
      <c r="O196" s="2934"/>
      <c r="P196" s="2942"/>
      <c r="Q196" s="2943"/>
      <c r="R196" s="2944"/>
      <c r="S196" s="2945"/>
      <c r="T196" s="2945"/>
      <c r="U196" s="2152" t="s">
        <v>2017</v>
      </c>
      <c r="V196" s="2143">
        <v>5000000</v>
      </c>
      <c r="W196" s="2155" t="s">
        <v>2015</v>
      </c>
      <c r="X196" s="2039" t="s">
        <v>2016</v>
      </c>
      <c r="Y196" s="2941"/>
      <c r="Z196" s="2941"/>
      <c r="AA196" s="2941"/>
      <c r="AB196" s="2941"/>
      <c r="AC196" s="2941"/>
      <c r="AD196" s="2941"/>
      <c r="AE196" s="2941"/>
      <c r="AF196" s="2941"/>
      <c r="AG196" s="2941"/>
      <c r="AH196" s="2941"/>
      <c r="AI196" s="2941"/>
      <c r="AJ196" s="2941"/>
      <c r="AK196" s="2941"/>
      <c r="AL196" s="2941"/>
      <c r="AM196" s="2941"/>
      <c r="AN196" s="2941"/>
      <c r="AO196" s="2911"/>
      <c r="AP196" s="2911"/>
      <c r="AQ196" s="2914"/>
    </row>
    <row r="197" spans="1:43" s="404" customFormat="1" ht="50.25" customHeight="1" x14ac:dyDescent="0.2">
      <c r="A197" s="3100"/>
      <c r="B197" s="3104"/>
      <c r="C197" s="3105"/>
      <c r="D197" s="2925"/>
      <c r="E197" s="2925"/>
      <c r="F197" s="2925"/>
      <c r="G197" s="412"/>
      <c r="H197" s="2035"/>
      <c r="I197" s="2036"/>
      <c r="J197" s="2946"/>
      <c r="K197" s="2947"/>
      <c r="L197" s="2947"/>
      <c r="M197" s="2946"/>
      <c r="N197" s="2948"/>
      <c r="O197" s="2934"/>
      <c r="P197" s="2942"/>
      <c r="Q197" s="2943"/>
      <c r="R197" s="2944"/>
      <c r="S197" s="2945"/>
      <c r="T197" s="2945"/>
      <c r="U197" s="2041" t="s">
        <v>2018</v>
      </c>
      <c r="V197" s="2143">
        <v>36000000</v>
      </c>
      <c r="W197" s="2156" t="s">
        <v>2015</v>
      </c>
      <c r="X197" s="2148" t="s">
        <v>2016</v>
      </c>
      <c r="Y197" s="2941"/>
      <c r="Z197" s="2941"/>
      <c r="AA197" s="2941"/>
      <c r="AB197" s="2941"/>
      <c r="AC197" s="2941"/>
      <c r="AD197" s="2941"/>
      <c r="AE197" s="2941"/>
      <c r="AF197" s="2941"/>
      <c r="AG197" s="2941"/>
      <c r="AH197" s="2941"/>
      <c r="AI197" s="2941"/>
      <c r="AJ197" s="2941"/>
      <c r="AK197" s="2941"/>
      <c r="AL197" s="2941"/>
      <c r="AM197" s="2941"/>
      <c r="AN197" s="2941"/>
      <c r="AO197" s="2912"/>
      <c r="AP197" s="2912"/>
      <c r="AQ197" s="2914"/>
    </row>
    <row r="198" spans="1:43" s="404" customFormat="1" ht="15" customHeight="1" x14ac:dyDescent="0.2">
      <c r="A198" s="3100"/>
      <c r="B198" s="3104"/>
      <c r="C198" s="3105"/>
      <c r="D198" s="2925"/>
      <c r="E198" s="2925"/>
      <c r="F198" s="2925"/>
      <c r="G198" s="938"/>
      <c r="H198" s="938"/>
      <c r="I198" s="938"/>
      <c r="J198" s="939"/>
      <c r="K198" s="2157"/>
      <c r="L198" s="2158"/>
      <c r="M198" s="2159"/>
      <c r="N198" s="903"/>
      <c r="O198" s="902"/>
      <c r="P198" s="1999"/>
      <c r="Q198" s="2160"/>
      <c r="R198" s="2161"/>
      <c r="S198" s="2157"/>
      <c r="T198" s="2157"/>
      <c r="U198" s="2157"/>
      <c r="V198" s="2162"/>
      <c r="W198" s="2003"/>
      <c r="X198" s="2003"/>
      <c r="Y198" s="2003"/>
      <c r="Z198" s="2003"/>
      <c r="AA198" s="2003"/>
      <c r="AB198" s="2003"/>
      <c r="AC198" s="2003"/>
      <c r="AD198" s="2003"/>
      <c r="AE198" s="2003"/>
      <c r="AF198" s="2003"/>
      <c r="AG198" s="2003"/>
      <c r="AH198" s="2003"/>
      <c r="AI198" s="2003"/>
      <c r="AJ198" s="2003"/>
      <c r="AK198" s="2003"/>
      <c r="AL198" s="2003"/>
      <c r="AM198" s="2003"/>
      <c r="AN198" s="2003"/>
      <c r="AO198" s="2003"/>
      <c r="AP198" s="2003"/>
      <c r="AQ198" s="2163"/>
    </row>
    <row r="199" spans="1:43" s="412" customFormat="1" ht="15" customHeight="1" x14ac:dyDescent="0.2">
      <c r="A199" s="3100"/>
      <c r="B199" s="3104"/>
      <c r="C199" s="3105"/>
      <c r="D199" s="2925"/>
      <c r="E199" s="2925"/>
      <c r="F199" s="2925"/>
      <c r="G199" s="2007"/>
      <c r="H199" s="2007"/>
      <c r="I199" s="2007"/>
      <c r="J199" s="2008"/>
      <c r="K199" s="2009"/>
      <c r="L199" s="2010"/>
      <c r="M199" s="2007"/>
      <c r="N199" s="2011"/>
      <c r="O199" s="2008"/>
      <c r="P199" s="2010"/>
      <c r="Q199" s="2012"/>
      <c r="R199" s="2164"/>
      <c r="S199" s="2009"/>
      <c r="T199" s="2009"/>
      <c r="U199" s="2009"/>
      <c r="V199" s="2165"/>
      <c r="W199" s="2015"/>
      <c r="X199" s="2015"/>
      <c r="Y199" s="2015"/>
      <c r="Z199" s="2015"/>
      <c r="AA199" s="2015"/>
      <c r="AB199" s="2015"/>
      <c r="AC199" s="2015"/>
      <c r="AD199" s="2015"/>
      <c r="AE199" s="2015"/>
      <c r="AF199" s="2015"/>
      <c r="AG199" s="2015"/>
      <c r="AH199" s="2015"/>
      <c r="AI199" s="2015"/>
      <c r="AJ199" s="2015"/>
      <c r="AK199" s="2015"/>
      <c r="AL199" s="2015"/>
      <c r="AM199" s="2010"/>
      <c r="AN199" s="2010"/>
      <c r="AO199" s="2010"/>
      <c r="AP199" s="2010"/>
      <c r="AQ199" s="2018"/>
    </row>
    <row r="200" spans="1:43" s="412" customFormat="1" ht="15" customHeight="1" x14ac:dyDescent="0.2">
      <c r="A200" s="3100"/>
      <c r="B200" s="3104"/>
      <c r="C200" s="3105"/>
      <c r="D200" s="2925"/>
      <c r="E200" s="2925"/>
      <c r="F200" s="2925"/>
      <c r="G200" s="2166">
        <v>84</v>
      </c>
      <c r="H200" s="864" t="s">
        <v>2019</v>
      </c>
      <c r="I200" s="864"/>
      <c r="J200" s="927"/>
      <c r="K200" s="1046"/>
      <c r="L200" s="866"/>
      <c r="M200" s="864"/>
      <c r="N200" s="926"/>
      <c r="O200" s="927"/>
      <c r="P200" s="866"/>
      <c r="Q200" s="2167"/>
      <c r="R200" s="2168"/>
      <c r="S200" s="1046"/>
      <c r="T200" s="1046"/>
      <c r="U200" s="1046"/>
      <c r="V200" s="2169"/>
      <c r="W200" s="869"/>
      <c r="X200" s="869"/>
      <c r="Y200" s="869"/>
      <c r="Z200" s="869"/>
      <c r="AA200" s="869"/>
      <c r="AB200" s="869"/>
      <c r="AC200" s="869"/>
      <c r="AD200" s="869"/>
      <c r="AE200" s="869"/>
      <c r="AF200" s="869"/>
      <c r="AG200" s="869"/>
      <c r="AH200" s="869"/>
      <c r="AI200" s="869"/>
      <c r="AJ200" s="869"/>
      <c r="AK200" s="869"/>
      <c r="AL200" s="869"/>
      <c r="AM200" s="869"/>
      <c r="AN200" s="869"/>
      <c r="AO200" s="869"/>
      <c r="AP200" s="869"/>
      <c r="AQ200" s="2087"/>
    </row>
    <row r="201" spans="1:43" s="404" customFormat="1" ht="52.5" customHeight="1" x14ac:dyDescent="0.25">
      <c r="A201" s="3100"/>
      <c r="B201" s="3104"/>
      <c r="C201" s="3105"/>
      <c r="D201" s="2925"/>
      <c r="E201" s="2925"/>
      <c r="F201" s="2925"/>
      <c r="G201" s="2031"/>
      <c r="H201" s="2170"/>
      <c r="I201" s="2090"/>
      <c r="J201" s="2926">
        <v>247</v>
      </c>
      <c r="K201" s="2928" t="s">
        <v>2020</v>
      </c>
      <c r="L201" s="2928" t="s">
        <v>2021</v>
      </c>
      <c r="M201" s="2930">
        <v>1</v>
      </c>
      <c r="N201" s="2932" t="s">
        <v>2022</v>
      </c>
      <c r="O201" s="2934" t="s">
        <v>2023</v>
      </c>
      <c r="P201" s="2928" t="s">
        <v>2024</v>
      </c>
      <c r="Q201" s="2936">
        <f>+R201/(V201+V202+V203+V204+V205)</f>
        <v>1</v>
      </c>
      <c r="R201" s="2938">
        <f>SUM(V201:V205)</f>
        <v>49687000</v>
      </c>
      <c r="S201" s="2921" t="s">
        <v>2025</v>
      </c>
      <c r="T201" s="2923" t="s">
        <v>2026</v>
      </c>
      <c r="U201" s="1981" t="s">
        <v>2027</v>
      </c>
      <c r="V201" s="2143">
        <v>40387000</v>
      </c>
      <c r="W201" s="2115">
        <v>20</v>
      </c>
      <c r="X201" s="2039" t="s">
        <v>61</v>
      </c>
      <c r="Y201" s="2919">
        <v>357</v>
      </c>
      <c r="Z201" s="2919">
        <v>343</v>
      </c>
      <c r="AA201" s="2919"/>
      <c r="AB201" s="2919"/>
      <c r="AC201" s="2919">
        <v>700</v>
      </c>
      <c r="AD201" s="2919"/>
      <c r="AE201" s="2919"/>
      <c r="AF201" s="2919"/>
      <c r="AG201" s="2919"/>
      <c r="AH201" s="2919"/>
      <c r="AI201" s="2919"/>
      <c r="AJ201" s="2919"/>
      <c r="AK201" s="2919"/>
      <c r="AL201" s="2919"/>
      <c r="AM201" s="2919"/>
      <c r="AN201" s="2919">
        <v>700</v>
      </c>
      <c r="AO201" s="2910">
        <v>43480</v>
      </c>
      <c r="AP201" s="2910">
        <v>43697</v>
      </c>
      <c r="AQ201" s="2913" t="s">
        <v>1827</v>
      </c>
    </row>
    <row r="202" spans="1:43" s="404" customFormat="1" ht="33" customHeight="1" x14ac:dyDescent="0.25">
      <c r="A202" s="3100"/>
      <c r="B202" s="3104"/>
      <c r="C202" s="3105"/>
      <c r="D202" s="2925"/>
      <c r="E202" s="2925"/>
      <c r="F202" s="2925"/>
      <c r="G202" s="2094"/>
      <c r="H202" s="2092"/>
      <c r="I202" s="2094"/>
      <c r="J202" s="2926"/>
      <c r="K202" s="2928"/>
      <c r="L202" s="2928"/>
      <c r="M202" s="2930"/>
      <c r="N202" s="2932"/>
      <c r="O202" s="2934"/>
      <c r="P202" s="2928"/>
      <c r="Q202" s="2936"/>
      <c r="R202" s="2938"/>
      <c r="S202" s="2921"/>
      <c r="T202" s="2923"/>
      <c r="U202" s="1007" t="s">
        <v>2028</v>
      </c>
      <c r="V202" s="2143">
        <v>3300000</v>
      </c>
      <c r="W202" s="2074">
        <v>20</v>
      </c>
      <c r="X202" s="2039" t="s">
        <v>61</v>
      </c>
      <c r="Y202" s="2920"/>
      <c r="Z202" s="2920"/>
      <c r="AA202" s="2920"/>
      <c r="AB202" s="2920"/>
      <c r="AC202" s="2920"/>
      <c r="AD202" s="2920"/>
      <c r="AE202" s="2920"/>
      <c r="AF202" s="2920"/>
      <c r="AG202" s="2920"/>
      <c r="AH202" s="2920"/>
      <c r="AI202" s="2920"/>
      <c r="AJ202" s="2920"/>
      <c r="AK202" s="2920"/>
      <c r="AL202" s="2920"/>
      <c r="AM202" s="2920"/>
      <c r="AN202" s="2920"/>
      <c r="AO202" s="2911"/>
      <c r="AP202" s="2911"/>
      <c r="AQ202" s="2914"/>
    </row>
    <row r="203" spans="1:43" s="404" customFormat="1" ht="66" customHeight="1" x14ac:dyDescent="0.25">
      <c r="A203" s="3100"/>
      <c r="B203" s="3104"/>
      <c r="C203" s="3105"/>
      <c r="D203" s="2925"/>
      <c r="E203" s="2925"/>
      <c r="F203" s="2925"/>
      <c r="G203" s="2094"/>
      <c r="H203" s="2092"/>
      <c r="I203" s="2094"/>
      <c r="J203" s="2926"/>
      <c r="K203" s="2928"/>
      <c r="L203" s="2928"/>
      <c r="M203" s="2930"/>
      <c r="N203" s="2932"/>
      <c r="O203" s="2934"/>
      <c r="P203" s="2928"/>
      <c r="Q203" s="2936"/>
      <c r="R203" s="2938"/>
      <c r="S203" s="2921"/>
      <c r="T203" s="2923"/>
      <c r="U203" s="1007" t="s">
        <v>2029</v>
      </c>
      <c r="V203" s="2143">
        <v>3000000</v>
      </c>
      <c r="W203" s="2074">
        <v>20</v>
      </c>
      <c r="X203" s="2039" t="s">
        <v>61</v>
      </c>
      <c r="Y203" s="2920"/>
      <c r="Z203" s="2920"/>
      <c r="AA203" s="2920"/>
      <c r="AB203" s="2920"/>
      <c r="AC203" s="2920"/>
      <c r="AD203" s="2920"/>
      <c r="AE203" s="2920"/>
      <c r="AF203" s="2920"/>
      <c r="AG203" s="2920"/>
      <c r="AH203" s="2920"/>
      <c r="AI203" s="2920"/>
      <c r="AJ203" s="2920"/>
      <c r="AK203" s="2920"/>
      <c r="AL203" s="2920"/>
      <c r="AM203" s="2920"/>
      <c r="AN203" s="2920"/>
      <c r="AO203" s="2911"/>
      <c r="AP203" s="2911"/>
      <c r="AQ203" s="2914"/>
    </row>
    <row r="204" spans="1:43" s="404" customFormat="1" ht="78.75" customHeight="1" x14ac:dyDescent="0.25">
      <c r="A204" s="3100"/>
      <c r="B204" s="3104"/>
      <c r="C204" s="3105"/>
      <c r="D204" s="2925"/>
      <c r="E204" s="2925"/>
      <c r="F204" s="2925"/>
      <c r="G204" s="2094"/>
      <c r="H204" s="2092"/>
      <c r="I204" s="2094"/>
      <c r="J204" s="2926"/>
      <c r="K204" s="2928"/>
      <c r="L204" s="2928"/>
      <c r="M204" s="2930"/>
      <c r="N204" s="2932"/>
      <c r="O204" s="2934"/>
      <c r="P204" s="2928"/>
      <c r="Q204" s="2936"/>
      <c r="R204" s="2938"/>
      <c r="S204" s="2921"/>
      <c r="T204" s="2923"/>
      <c r="U204" s="1007" t="s">
        <v>2030</v>
      </c>
      <c r="V204" s="2143">
        <v>2000000</v>
      </c>
      <c r="W204" s="2074">
        <v>20</v>
      </c>
      <c r="X204" s="2039" t="s">
        <v>61</v>
      </c>
      <c r="Y204" s="2920"/>
      <c r="Z204" s="2920"/>
      <c r="AA204" s="2920"/>
      <c r="AB204" s="2920"/>
      <c r="AC204" s="2920"/>
      <c r="AD204" s="2920"/>
      <c r="AE204" s="2920"/>
      <c r="AF204" s="2920"/>
      <c r="AG204" s="2920"/>
      <c r="AH204" s="2920"/>
      <c r="AI204" s="2920"/>
      <c r="AJ204" s="2920"/>
      <c r="AK204" s="2920"/>
      <c r="AL204" s="2920"/>
      <c r="AM204" s="2920"/>
      <c r="AN204" s="2920"/>
      <c r="AO204" s="2911"/>
      <c r="AP204" s="2911"/>
      <c r="AQ204" s="2914"/>
    </row>
    <row r="205" spans="1:43" s="404" customFormat="1" ht="30.75" customHeight="1" x14ac:dyDescent="0.25">
      <c r="A205" s="3101"/>
      <c r="B205" s="3106"/>
      <c r="C205" s="3107"/>
      <c r="D205" s="2925"/>
      <c r="E205" s="2925"/>
      <c r="F205" s="2925"/>
      <c r="G205" s="2098"/>
      <c r="H205" s="2096"/>
      <c r="I205" s="2098"/>
      <c r="J205" s="2927"/>
      <c r="K205" s="2929"/>
      <c r="L205" s="2929"/>
      <c r="M205" s="2931"/>
      <c r="N205" s="2933"/>
      <c r="O205" s="2935"/>
      <c r="P205" s="2929"/>
      <c r="Q205" s="2937"/>
      <c r="R205" s="2939"/>
      <c r="S205" s="2922"/>
      <c r="T205" s="2924"/>
      <c r="U205" s="1981" t="s">
        <v>2031</v>
      </c>
      <c r="V205" s="2143">
        <v>1000000</v>
      </c>
      <c r="W205" s="2147">
        <v>20</v>
      </c>
      <c r="X205" s="2039" t="s">
        <v>61</v>
      </c>
      <c r="Y205" s="2920"/>
      <c r="Z205" s="2920"/>
      <c r="AA205" s="2920"/>
      <c r="AB205" s="2920"/>
      <c r="AC205" s="2920"/>
      <c r="AD205" s="2920"/>
      <c r="AE205" s="2920"/>
      <c r="AF205" s="2920"/>
      <c r="AG205" s="2920"/>
      <c r="AH205" s="2920"/>
      <c r="AI205" s="2920"/>
      <c r="AJ205" s="2920"/>
      <c r="AK205" s="2920"/>
      <c r="AL205" s="2920"/>
      <c r="AM205" s="2920"/>
      <c r="AN205" s="2920"/>
      <c r="AO205" s="2912"/>
      <c r="AP205" s="2912"/>
      <c r="AQ205" s="2914"/>
    </row>
    <row r="206" spans="1:43" s="836" customFormat="1" ht="42" customHeight="1" x14ac:dyDescent="0.25">
      <c r="A206" s="2915" t="s">
        <v>30</v>
      </c>
      <c r="B206" s="2916"/>
      <c r="C206" s="2916"/>
      <c r="D206" s="2916"/>
      <c r="E206" s="2916"/>
      <c r="F206" s="2916"/>
      <c r="G206" s="2916"/>
      <c r="H206" s="2916"/>
      <c r="I206" s="2916"/>
      <c r="J206" s="2916"/>
      <c r="K206" s="2916"/>
      <c r="L206" s="2916"/>
      <c r="M206" s="2916"/>
      <c r="N206" s="2916"/>
      <c r="O206" s="2916"/>
      <c r="P206" s="2916"/>
      <c r="Q206" s="2917"/>
      <c r="R206" s="1855">
        <f>SUM(R13:R205)</f>
        <v>9981583583</v>
      </c>
      <c r="S206" s="2171"/>
      <c r="T206" s="2171"/>
      <c r="U206" s="2172"/>
      <c r="V206" s="2173">
        <f>SUM(V13:V205)</f>
        <v>9981583583</v>
      </c>
      <c r="W206" s="2174"/>
      <c r="X206" s="2175"/>
      <c r="Y206" s="2176"/>
      <c r="Z206" s="2176"/>
      <c r="AA206" s="2176"/>
      <c r="AB206" s="2176"/>
      <c r="AC206" s="2176"/>
      <c r="AD206" s="2176"/>
      <c r="AE206" s="2176"/>
      <c r="AF206" s="2176"/>
      <c r="AG206" s="2176"/>
      <c r="AH206" s="2176"/>
      <c r="AI206" s="2176"/>
      <c r="AJ206" s="2176"/>
      <c r="AK206" s="2176"/>
      <c r="AL206" s="2176"/>
      <c r="AM206" s="2176"/>
      <c r="AN206" s="2176"/>
      <c r="AO206" s="2177"/>
      <c r="AP206" s="2177"/>
      <c r="AQ206" s="2178"/>
    </row>
    <row r="207" spans="1:43" ht="27" customHeight="1" x14ac:dyDescent="0.2"/>
    <row r="208" spans="1:43" ht="27" customHeight="1" x14ac:dyDescent="0.2"/>
    <row r="209" spans="2:16" ht="27" customHeight="1" x14ac:dyDescent="0.2">
      <c r="B209" s="2182"/>
      <c r="C209" s="603"/>
      <c r="D209" s="25"/>
      <c r="E209" s="25"/>
      <c r="F209" s="25"/>
      <c r="G209" s="25"/>
    </row>
    <row r="210" spans="2:16" ht="27" customHeight="1" x14ac:dyDescent="0.25">
      <c r="B210" s="2183" t="s">
        <v>2032</v>
      </c>
      <c r="C210" s="249"/>
    </row>
    <row r="211" spans="2:16" ht="27" customHeight="1" x14ac:dyDescent="0.25">
      <c r="B211" s="27" t="s">
        <v>2033</v>
      </c>
      <c r="C211" s="249"/>
    </row>
    <row r="212" spans="2:16" ht="27" customHeight="1" x14ac:dyDescent="0.2">
      <c r="B212" s="2180"/>
      <c r="C212" s="249"/>
    </row>
    <row r="213" spans="2:16" ht="93" customHeight="1" x14ac:dyDescent="0.2">
      <c r="J213" s="2918"/>
      <c r="K213" s="2918"/>
      <c r="L213" s="2918"/>
      <c r="M213" s="2918"/>
      <c r="N213" s="2918"/>
      <c r="O213" s="2918"/>
      <c r="P213" s="2918"/>
    </row>
    <row r="214" spans="2:16" ht="27" customHeight="1" x14ac:dyDescent="0.2"/>
    <row r="215" spans="2:16" ht="27" customHeight="1" x14ac:dyDescent="0.2"/>
    <row r="216" spans="2:16" ht="27" customHeight="1" x14ac:dyDescent="0.2"/>
    <row r="217" spans="2:16" ht="27" customHeight="1" x14ac:dyDescent="0.2"/>
    <row r="218" spans="2:16" ht="27" customHeight="1" x14ac:dyDescent="0.2"/>
    <row r="219" spans="2:16" ht="27" customHeight="1" x14ac:dyDescent="0.2"/>
  </sheetData>
  <sheetProtection password="D9CF" sheet="1" objects="1" scenarios="1"/>
  <mergeCells count="487">
    <mergeCell ref="A1:AO4"/>
    <mergeCell ref="A5:M6"/>
    <mergeCell ref="N5:AQ5"/>
    <mergeCell ref="Y6:AM6"/>
    <mergeCell ref="A8:A9"/>
    <mergeCell ref="B8:C9"/>
    <mergeCell ref="D8:D9"/>
    <mergeCell ref="E8:F9"/>
    <mergeCell ref="G8:G9"/>
    <mergeCell ref="H8:I9"/>
    <mergeCell ref="AK8:AM8"/>
    <mergeCell ref="AN8:AN9"/>
    <mergeCell ref="AO8:AO9"/>
    <mergeCell ref="AP8:AP9"/>
    <mergeCell ref="AQ8:AQ9"/>
    <mergeCell ref="AA8:AD8"/>
    <mergeCell ref="AE8:AJ8"/>
    <mergeCell ref="J8:J9"/>
    <mergeCell ref="K8:K9"/>
    <mergeCell ref="L8:L9"/>
    <mergeCell ref="M8:M9"/>
    <mergeCell ref="N8:N9"/>
    <mergeCell ref="O8:O9"/>
    <mergeCell ref="V8:V9"/>
    <mergeCell ref="W8:W9"/>
    <mergeCell ref="X8:X9"/>
    <mergeCell ref="Y8:Z8"/>
    <mergeCell ref="P8:P9"/>
    <mergeCell ref="Q8:Q9"/>
    <mergeCell ref="R8:R9"/>
    <mergeCell ref="S8:S9"/>
    <mergeCell ref="T8:T9"/>
    <mergeCell ref="U8:U9"/>
    <mergeCell ref="AM13:AM52"/>
    <mergeCell ref="AN13:AN52"/>
    <mergeCell ref="AO13:AO52"/>
    <mergeCell ref="A12:A205"/>
    <mergeCell ref="B12:C205"/>
    <mergeCell ref="D12:F68"/>
    <mergeCell ref="J13:J14"/>
    <mergeCell ref="K13:K14"/>
    <mergeCell ref="AP13:AP52"/>
    <mergeCell ref="K61:K67"/>
    <mergeCell ref="L61:L67"/>
    <mergeCell ref="M61:M67"/>
    <mergeCell ref="U42:U44"/>
    <mergeCell ref="U45:U47"/>
    <mergeCell ref="U48:U49"/>
    <mergeCell ref="J50:J52"/>
    <mergeCell ref="K50:K52"/>
    <mergeCell ref="L50:L52"/>
    <mergeCell ref="M50:M52"/>
    <mergeCell ref="Q50:Q52"/>
    <mergeCell ref="U50:U51"/>
    <mergeCell ref="J21:J49"/>
    <mergeCell ref="K21:K49"/>
    <mergeCell ref="L21:L49"/>
    <mergeCell ref="AQ13:AQ52"/>
    <mergeCell ref="J16:J20"/>
    <mergeCell ref="K16:K20"/>
    <mergeCell ref="L16:L20"/>
    <mergeCell ref="M16:M20"/>
    <mergeCell ref="Q16:Q20"/>
    <mergeCell ref="AG13:AG52"/>
    <mergeCell ref="AH13:AH52"/>
    <mergeCell ref="AI13:AI52"/>
    <mergeCell ref="AJ13:AJ52"/>
    <mergeCell ref="AK13:AK52"/>
    <mergeCell ref="AL13:AL52"/>
    <mergeCell ref="AA13:AA52"/>
    <mergeCell ref="AB13:AB52"/>
    <mergeCell ref="AC13:AC52"/>
    <mergeCell ref="AD13:AD52"/>
    <mergeCell ref="AE13:AE52"/>
    <mergeCell ref="AF13:AF52"/>
    <mergeCell ref="R13:R52"/>
    <mergeCell ref="S13:S52"/>
    <mergeCell ref="L13:L14"/>
    <mergeCell ref="M13:M14"/>
    <mergeCell ref="N13:N20"/>
    <mergeCell ref="U40:U41"/>
    <mergeCell ref="M21:M49"/>
    <mergeCell ref="Q21:Q49"/>
    <mergeCell ref="U21:U22"/>
    <mergeCell ref="U23:U24"/>
    <mergeCell ref="U25:U26"/>
    <mergeCell ref="U28:U29"/>
    <mergeCell ref="U30:U31"/>
    <mergeCell ref="T13:T52"/>
    <mergeCell ref="AA54:AA68"/>
    <mergeCell ref="U13:U14"/>
    <mergeCell ref="Y13:Y52"/>
    <mergeCell ref="Z13:Z52"/>
    <mergeCell ref="U18:U19"/>
    <mergeCell ref="U32:U33"/>
    <mergeCell ref="U34:U35"/>
    <mergeCell ref="U37:U38"/>
    <mergeCell ref="O13:O52"/>
    <mergeCell ref="P13:P52"/>
    <mergeCell ref="Q13:Q14"/>
    <mergeCell ref="AB54:AB68"/>
    <mergeCell ref="AC54:AC68"/>
    <mergeCell ref="AD54:AD68"/>
    <mergeCell ref="AE54:AE68"/>
    <mergeCell ref="Q54:Q60"/>
    <mergeCell ref="R54:R68"/>
    <mergeCell ref="S54:S68"/>
    <mergeCell ref="T54:T68"/>
    <mergeCell ref="U54:U55"/>
    <mergeCell ref="Y54:Y68"/>
    <mergeCell ref="U56:U57"/>
    <mergeCell ref="U58:U59"/>
    <mergeCell ref="Q61:Q67"/>
    <mergeCell ref="U61:U62"/>
    <mergeCell ref="AL54:AL68"/>
    <mergeCell ref="AM54:AM68"/>
    <mergeCell ref="AN54:AN68"/>
    <mergeCell ref="AO54:AO68"/>
    <mergeCell ref="AP54:AP68"/>
    <mergeCell ref="AQ54:AQ68"/>
    <mergeCell ref="AF54:AF68"/>
    <mergeCell ref="AG54:AG68"/>
    <mergeCell ref="AH54:AH68"/>
    <mergeCell ref="AI54:AI68"/>
    <mergeCell ref="AJ54:AJ68"/>
    <mergeCell ref="AK54:AK68"/>
    <mergeCell ref="Q71:Q81"/>
    <mergeCell ref="R71:R98"/>
    <mergeCell ref="S71:S98"/>
    <mergeCell ref="T71:T98"/>
    <mergeCell ref="Y71:Y98"/>
    <mergeCell ref="Z71:Z98"/>
    <mergeCell ref="U64:U65"/>
    <mergeCell ref="U66:U67"/>
    <mergeCell ref="D70:F125"/>
    <mergeCell ref="J71:J81"/>
    <mergeCell ref="K71:K81"/>
    <mergeCell ref="L71:L81"/>
    <mergeCell ref="M71:M81"/>
    <mergeCell ref="N71:N98"/>
    <mergeCell ref="O71:O98"/>
    <mergeCell ref="P71:P98"/>
    <mergeCell ref="Z54:Z68"/>
    <mergeCell ref="J54:J60"/>
    <mergeCell ref="K54:K60"/>
    <mergeCell ref="L54:L60"/>
    <mergeCell ref="M54:M60"/>
    <mergeCell ref="O54:O68"/>
    <mergeCell ref="P54:P68"/>
    <mergeCell ref="J61:J67"/>
    <mergeCell ref="AM71:AM98"/>
    <mergeCell ref="AN71:AN98"/>
    <mergeCell ref="AO71:AO98"/>
    <mergeCell ref="AP71:AP98"/>
    <mergeCell ref="AQ71:AQ98"/>
    <mergeCell ref="U74:U75"/>
    <mergeCell ref="U79:U80"/>
    <mergeCell ref="U84:U85"/>
    <mergeCell ref="U86:U87"/>
    <mergeCell ref="AG71:AG98"/>
    <mergeCell ref="AH71:AH98"/>
    <mergeCell ref="AI71:AI98"/>
    <mergeCell ref="AJ71:AJ98"/>
    <mergeCell ref="AK71:AK98"/>
    <mergeCell ref="AL71:AL98"/>
    <mergeCell ref="AA71:AA98"/>
    <mergeCell ref="AB71:AB98"/>
    <mergeCell ref="AC71:AC98"/>
    <mergeCell ref="AD71:AD98"/>
    <mergeCell ref="AE71:AE98"/>
    <mergeCell ref="AF71:AF98"/>
    <mergeCell ref="J92:J94"/>
    <mergeCell ref="K92:K94"/>
    <mergeCell ref="L92:L94"/>
    <mergeCell ref="M92:M94"/>
    <mergeCell ref="Q92:Q94"/>
    <mergeCell ref="U92:U93"/>
    <mergeCell ref="J82:J83"/>
    <mergeCell ref="K82:K83"/>
    <mergeCell ref="L82:L83"/>
    <mergeCell ref="M82:M83"/>
    <mergeCell ref="Q82:Q83"/>
    <mergeCell ref="J84:J91"/>
    <mergeCell ref="K84:K91"/>
    <mergeCell ref="L84:L91"/>
    <mergeCell ref="M84:M91"/>
    <mergeCell ref="Q84:Q91"/>
    <mergeCell ref="J95:J98"/>
    <mergeCell ref="K95:K98"/>
    <mergeCell ref="L95:L98"/>
    <mergeCell ref="M95:M98"/>
    <mergeCell ref="Q95:Q98"/>
    <mergeCell ref="J100:J101"/>
    <mergeCell ref="K100:K101"/>
    <mergeCell ref="L100:L101"/>
    <mergeCell ref="M100:M101"/>
    <mergeCell ref="N100:N107"/>
    <mergeCell ref="M106:M107"/>
    <mergeCell ref="AA100:AA107"/>
    <mergeCell ref="AB100:AB107"/>
    <mergeCell ref="AC100:AC107"/>
    <mergeCell ref="AD100:AD107"/>
    <mergeCell ref="O100:O107"/>
    <mergeCell ref="P100:P107"/>
    <mergeCell ref="Q100:Q101"/>
    <mergeCell ref="R100:R107"/>
    <mergeCell ref="S100:S107"/>
    <mergeCell ref="T100:T107"/>
    <mergeCell ref="Q106:Q107"/>
    <mergeCell ref="AQ100:AQ107"/>
    <mergeCell ref="J102:J105"/>
    <mergeCell ref="K102:K105"/>
    <mergeCell ref="L102:L105"/>
    <mergeCell ref="M102:M105"/>
    <mergeCell ref="Q102:Q105"/>
    <mergeCell ref="U102:U103"/>
    <mergeCell ref="J106:J107"/>
    <mergeCell ref="K106:K107"/>
    <mergeCell ref="L106:L107"/>
    <mergeCell ref="AK100:AK107"/>
    <mergeCell ref="AL100:AL107"/>
    <mergeCell ref="AM100:AM107"/>
    <mergeCell ref="AN100:AN107"/>
    <mergeCell ref="AO100:AO107"/>
    <mergeCell ref="AP100:AP107"/>
    <mergeCell ref="AE100:AE107"/>
    <mergeCell ref="AF100:AF107"/>
    <mergeCell ref="AG100:AG107"/>
    <mergeCell ref="AH100:AH107"/>
    <mergeCell ref="AI100:AI107"/>
    <mergeCell ref="AJ100:AJ107"/>
    <mergeCell ref="Y100:Y107"/>
    <mergeCell ref="Z100:Z107"/>
    <mergeCell ref="J109:J113"/>
    <mergeCell ref="K109:K113"/>
    <mergeCell ref="L109:L113"/>
    <mergeCell ref="M109:M113"/>
    <mergeCell ref="N109:N125"/>
    <mergeCell ref="O109:O125"/>
    <mergeCell ref="P109:P125"/>
    <mergeCell ref="Q109:Q113"/>
    <mergeCell ref="AN109:AN125"/>
    <mergeCell ref="J114:J125"/>
    <mergeCell ref="K114:K125"/>
    <mergeCell ref="L114:L125"/>
    <mergeCell ref="M114:M125"/>
    <mergeCell ref="Q114:Q125"/>
    <mergeCell ref="R109:R125"/>
    <mergeCell ref="S109:S125"/>
    <mergeCell ref="T109:T125"/>
    <mergeCell ref="AO109:AO125"/>
    <mergeCell ref="AP109:AP125"/>
    <mergeCell ref="AQ109:AQ125"/>
    <mergeCell ref="U110:U111"/>
    <mergeCell ref="U112:U113"/>
    <mergeCell ref="AH109:AH125"/>
    <mergeCell ref="AI109:AI125"/>
    <mergeCell ref="AJ109:AJ125"/>
    <mergeCell ref="AK109:AK125"/>
    <mergeCell ref="AL109:AL125"/>
    <mergeCell ref="AM109:AM125"/>
    <mergeCell ref="AB109:AB125"/>
    <mergeCell ref="AC109:AC125"/>
    <mergeCell ref="AD109:AD125"/>
    <mergeCell ref="AE109:AE125"/>
    <mergeCell ref="AF109:AF125"/>
    <mergeCell ref="AG109:AG125"/>
    <mergeCell ref="Y109:Y125"/>
    <mergeCell ref="Z109:Z125"/>
    <mergeCell ref="AA109:AA125"/>
    <mergeCell ref="U115:U116"/>
    <mergeCell ref="U118:U119"/>
    <mergeCell ref="U122:U123"/>
    <mergeCell ref="U124:U125"/>
    <mergeCell ref="D127:F162"/>
    <mergeCell ref="J128:J129"/>
    <mergeCell ref="K128:K129"/>
    <mergeCell ref="L128:L129"/>
    <mergeCell ref="M128:M129"/>
    <mergeCell ref="N128:N157"/>
    <mergeCell ref="M132:M142"/>
    <mergeCell ref="J146:J157"/>
    <mergeCell ref="K146:K157"/>
    <mergeCell ref="L146:L157"/>
    <mergeCell ref="J143:J145"/>
    <mergeCell ref="K143:K145"/>
    <mergeCell ref="L143:L145"/>
    <mergeCell ref="M143:M145"/>
    <mergeCell ref="AG128:AG157"/>
    <mergeCell ref="AH128:AH157"/>
    <mergeCell ref="AI128:AI157"/>
    <mergeCell ref="U128:U129"/>
    <mergeCell ref="Y128:Y157"/>
    <mergeCell ref="Z128:Z157"/>
    <mergeCell ref="AA128:AA157"/>
    <mergeCell ref="AB128:AB157"/>
    <mergeCell ref="AC128:AC157"/>
    <mergeCell ref="U132:U133"/>
    <mergeCell ref="U134:U135"/>
    <mergeCell ref="U136:U137"/>
    <mergeCell ref="U138:U139"/>
    <mergeCell ref="U143:U145"/>
    <mergeCell ref="U153:U154"/>
    <mergeCell ref="U155:U156"/>
    <mergeCell ref="U141:U142"/>
    <mergeCell ref="AP128:AP157"/>
    <mergeCell ref="AQ128:AQ157"/>
    <mergeCell ref="J130:J131"/>
    <mergeCell ref="K130:K131"/>
    <mergeCell ref="L130:L131"/>
    <mergeCell ref="M130:M131"/>
    <mergeCell ref="Q130:Q131"/>
    <mergeCell ref="J132:J142"/>
    <mergeCell ref="K132:K142"/>
    <mergeCell ref="L132:L142"/>
    <mergeCell ref="AJ128:AJ157"/>
    <mergeCell ref="AK128:AK157"/>
    <mergeCell ref="AL128:AL157"/>
    <mergeCell ref="AM128:AM157"/>
    <mergeCell ref="AN128:AN157"/>
    <mergeCell ref="AO128:AO157"/>
    <mergeCell ref="AD128:AD157"/>
    <mergeCell ref="AE128:AE157"/>
    <mergeCell ref="AF128:AF157"/>
    <mergeCell ref="M146:M157"/>
    <mergeCell ref="Q146:Q157"/>
    <mergeCell ref="U147:U148"/>
    <mergeCell ref="U149:U150"/>
    <mergeCell ref="U151:U152"/>
    <mergeCell ref="Q142:Q145"/>
    <mergeCell ref="O128:O157"/>
    <mergeCell ref="P128:P157"/>
    <mergeCell ref="Q128:Q129"/>
    <mergeCell ref="R128:R157"/>
    <mergeCell ref="S128:S157"/>
    <mergeCell ref="T128:T157"/>
    <mergeCell ref="Q132:Q141"/>
    <mergeCell ref="J159:J160"/>
    <mergeCell ref="K159:K160"/>
    <mergeCell ref="L159:L160"/>
    <mergeCell ref="M159:M160"/>
    <mergeCell ref="N159:N162"/>
    <mergeCell ref="O159:O162"/>
    <mergeCell ref="J161:J162"/>
    <mergeCell ref="K161:K162"/>
    <mergeCell ref="L161:L162"/>
    <mergeCell ref="M161:M162"/>
    <mergeCell ref="Z159:Z162"/>
    <mergeCell ref="AA159:AA162"/>
    <mergeCell ref="AB159:AB162"/>
    <mergeCell ref="AC159:AC162"/>
    <mergeCell ref="AD159:AD162"/>
    <mergeCell ref="AE159:AE162"/>
    <mergeCell ref="P159:P162"/>
    <mergeCell ref="Q159:Q160"/>
    <mergeCell ref="R159:R162"/>
    <mergeCell ref="S159:S162"/>
    <mergeCell ref="T159:T162"/>
    <mergeCell ref="Y159:Y162"/>
    <mergeCell ref="Q161:Q162"/>
    <mergeCell ref="AL159:AL162"/>
    <mergeCell ref="AM159:AM162"/>
    <mergeCell ref="AN159:AN162"/>
    <mergeCell ref="AO159:AO162"/>
    <mergeCell ref="AP159:AP162"/>
    <mergeCell ref="AQ159:AQ162"/>
    <mergeCell ref="AF159:AF162"/>
    <mergeCell ref="AG159:AG162"/>
    <mergeCell ref="AH159:AH162"/>
    <mergeCell ref="AI159:AI162"/>
    <mergeCell ref="AJ159:AJ162"/>
    <mergeCell ref="AK159:AK162"/>
    <mergeCell ref="AA165:AA191"/>
    <mergeCell ref="M165:M178"/>
    <mergeCell ref="N165:N191"/>
    <mergeCell ref="O165:O191"/>
    <mergeCell ref="P165:P191"/>
    <mergeCell ref="Q165:Q191"/>
    <mergeCell ref="R165:R191"/>
    <mergeCell ref="M179:M183"/>
    <mergeCell ref="D164:D191"/>
    <mergeCell ref="E164:E191"/>
    <mergeCell ref="F164:F191"/>
    <mergeCell ref="J165:J178"/>
    <mergeCell ref="K165:K178"/>
    <mergeCell ref="L165:L178"/>
    <mergeCell ref="J179:J183"/>
    <mergeCell ref="K179:K183"/>
    <mergeCell ref="L179:L183"/>
    <mergeCell ref="J185:J187"/>
    <mergeCell ref="AN165:AN191"/>
    <mergeCell ref="AO165:AO191"/>
    <mergeCell ref="AP165:AP191"/>
    <mergeCell ref="AQ165:AQ191"/>
    <mergeCell ref="U167:U168"/>
    <mergeCell ref="U169:U170"/>
    <mergeCell ref="U171:U172"/>
    <mergeCell ref="U175:U176"/>
    <mergeCell ref="U177:U178"/>
    <mergeCell ref="AH165:AH191"/>
    <mergeCell ref="AI165:AI191"/>
    <mergeCell ref="AJ165:AJ191"/>
    <mergeCell ref="AK165:AK191"/>
    <mergeCell ref="AL165:AL191"/>
    <mergeCell ref="AM165:AM191"/>
    <mergeCell ref="AB165:AB191"/>
    <mergeCell ref="AC165:AC191"/>
    <mergeCell ref="AD165:AD191"/>
    <mergeCell ref="AE165:AE191"/>
    <mergeCell ref="AF165:AF191"/>
    <mergeCell ref="AG165:AG191"/>
    <mergeCell ref="U165:U166"/>
    <mergeCell ref="Y165:Y191"/>
    <mergeCell ref="Z165:Z191"/>
    <mergeCell ref="J194:J197"/>
    <mergeCell ref="K194:K197"/>
    <mergeCell ref="L194:L197"/>
    <mergeCell ref="M194:M197"/>
    <mergeCell ref="N194:N197"/>
    <mergeCell ref="K185:K187"/>
    <mergeCell ref="L185:L187"/>
    <mergeCell ref="M185:M187"/>
    <mergeCell ref="U185:U186"/>
    <mergeCell ref="J188:J191"/>
    <mergeCell ref="K188:K191"/>
    <mergeCell ref="L188:L191"/>
    <mergeCell ref="M188:M191"/>
    <mergeCell ref="S165:S191"/>
    <mergeCell ref="T165:T191"/>
    <mergeCell ref="AA194:AA197"/>
    <mergeCell ref="AB194:AB197"/>
    <mergeCell ref="AC194:AC197"/>
    <mergeCell ref="AD194:AD197"/>
    <mergeCell ref="O194:O197"/>
    <mergeCell ref="P194:P197"/>
    <mergeCell ref="Q194:Q197"/>
    <mergeCell ref="R194:R197"/>
    <mergeCell ref="S194:S197"/>
    <mergeCell ref="T194:T197"/>
    <mergeCell ref="AQ194:AQ197"/>
    <mergeCell ref="J201:J205"/>
    <mergeCell ref="K201:K205"/>
    <mergeCell ref="L201:L205"/>
    <mergeCell ref="M201:M205"/>
    <mergeCell ref="N201:N205"/>
    <mergeCell ref="O201:O205"/>
    <mergeCell ref="P201:P205"/>
    <mergeCell ref="Q201:Q205"/>
    <mergeCell ref="R201:R205"/>
    <mergeCell ref="AK194:AK197"/>
    <mergeCell ref="AL194:AL197"/>
    <mergeCell ref="AM194:AM197"/>
    <mergeCell ref="AN194:AN197"/>
    <mergeCell ref="AO194:AO197"/>
    <mergeCell ref="AP194:AP197"/>
    <mergeCell ref="AE194:AE197"/>
    <mergeCell ref="AF194:AF197"/>
    <mergeCell ref="AG194:AG197"/>
    <mergeCell ref="AH194:AH197"/>
    <mergeCell ref="AI194:AI197"/>
    <mergeCell ref="AJ194:AJ197"/>
    <mergeCell ref="Y194:Y197"/>
    <mergeCell ref="Z194:Z197"/>
    <mergeCell ref="AO201:AO205"/>
    <mergeCell ref="AP201:AP205"/>
    <mergeCell ref="AQ201:AQ205"/>
    <mergeCell ref="A206:Q206"/>
    <mergeCell ref="J213:P213"/>
    <mergeCell ref="AI201:AI205"/>
    <mergeCell ref="AJ201:AJ205"/>
    <mergeCell ref="AK201:AK205"/>
    <mergeCell ref="AL201:AL205"/>
    <mergeCell ref="AM201:AM205"/>
    <mergeCell ref="AN201:AN205"/>
    <mergeCell ref="AC201:AC205"/>
    <mergeCell ref="AD201:AD205"/>
    <mergeCell ref="AE201:AE205"/>
    <mergeCell ref="AF201:AF205"/>
    <mergeCell ref="AG201:AG205"/>
    <mergeCell ref="AH201:AH205"/>
    <mergeCell ref="S201:S205"/>
    <mergeCell ref="T201:T205"/>
    <mergeCell ref="Y201:Y205"/>
    <mergeCell ref="Z201:Z205"/>
    <mergeCell ref="AA201:AA205"/>
    <mergeCell ref="AB201:AB205"/>
    <mergeCell ref="D193:F20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Q160"/>
  <sheetViews>
    <sheetView showGridLines="0" topLeftCell="J1" zoomScale="50" zoomScaleNormal="50" workbookViewId="0">
      <selection sqref="A1:AO4"/>
    </sheetView>
  </sheetViews>
  <sheetFormatPr baseColWidth="10" defaultColWidth="11.42578125" defaultRowHeight="15" x14ac:dyDescent="0.2"/>
  <cols>
    <col min="1" max="1" width="12.42578125" style="3" hidden="1" customWidth="1"/>
    <col min="2" max="3" width="11.42578125" style="3" hidden="1" customWidth="1"/>
    <col min="4" max="4" width="15.42578125" style="3" hidden="1" customWidth="1"/>
    <col min="5" max="6" width="11.42578125" style="3" hidden="1" customWidth="1"/>
    <col min="7" max="7" width="15.85546875" style="3" hidden="1" customWidth="1"/>
    <col min="8" max="8" width="11.42578125" style="3" hidden="1" customWidth="1"/>
    <col min="9" max="9" width="14.5703125" style="3" hidden="1" customWidth="1"/>
    <col min="10" max="10" width="15.85546875" style="3" customWidth="1"/>
    <col min="11" max="11" width="28.7109375" style="176" customWidth="1"/>
    <col min="12" max="12" width="26.140625" style="176" customWidth="1"/>
    <col min="13" max="13" width="25.5703125" style="3" customWidth="1"/>
    <col min="14" max="14" width="36.140625" style="3" customWidth="1"/>
    <col min="15" max="15" width="11.28515625" style="3" customWidth="1"/>
    <col min="16" max="16" width="26.140625" style="176" customWidth="1"/>
    <col min="17" max="17" width="16.85546875" style="3" customWidth="1"/>
    <col min="18" max="18" width="27" style="401" customWidth="1"/>
    <col min="19" max="19" width="29.42578125" style="176" customWidth="1"/>
    <col min="20" max="20" width="29" style="176" customWidth="1"/>
    <col min="21" max="21" width="42.140625" style="176" customWidth="1"/>
    <col min="22" max="22" width="28.5703125" style="402" customWidth="1"/>
    <col min="23" max="23" width="12.85546875" style="3" customWidth="1"/>
    <col min="24" max="24" width="19.85546875" style="403" customWidth="1"/>
    <col min="25" max="39" width="12.5703125" style="3" customWidth="1"/>
    <col min="40" max="40" width="12" style="3" customWidth="1"/>
    <col min="41" max="41" width="22.28515625" style="24" customWidth="1"/>
    <col min="42" max="42" width="21" style="24" customWidth="1"/>
    <col min="43" max="43" width="29.42578125" style="3" customWidth="1"/>
    <col min="44" max="16384" width="11.42578125" style="3"/>
  </cols>
  <sheetData>
    <row r="1" spans="1:43" ht="23.25" customHeight="1" x14ac:dyDescent="0.2">
      <c r="A1" s="2734" t="s">
        <v>2538</v>
      </c>
      <c r="B1" s="2735"/>
      <c r="C1" s="2735"/>
      <c r="D1" s="2735"/>
      <c r="E1" s="2735"/>
      <c r="F1" s="2735"/>
      <c r="G1" s="2735"/>
      <c r="H1" s="2735"/>
      <c r="I1" s="2735"/>
      <c r="J1" s="2735"/>
      <c r="K1" s="2735"/>
      <c r="L1" s="2735"/>
      <c r="M1" s="2735"/>
      <c r="N1" s="2735"/>
      <c r="O1" s="2735"/>
      <c r="P1" s="2735"/>
      <c r="Q1" s="2735"/>
      <c r="R1" s="2735"/>
      <c r="S1" s="2735"/>
      <c r="T1" s="2735"/>
      <c r="U1" s="2735"/>
      <c r="V1" s="2735"/>
      <c r="W1" s="2735"/>
      <c r="X1" s="2735"/>
      <c r="Y1" s="2735"/>
      <c r="Z1" s="2735"/>
      <c r="AA1" s="2735"/>
      <c r="AB1" s="2735"/>
      <c r="AC1" s="2735"/>
      <c r="AD1" s="2735"/>
      <c r="AE1" s="2735"/>
      <c r="AF1" s="2735"/>
      <c r="AG1" s="2735"/>
      <c r="AH1" s="2735"/>
      <c r="AI1" s="2735"/>
      <c r="AJ1" s="2735"/>
      <c r="AK1" s="2735"/>
      <c r="AL1" s="2735"/>
      <c r="AM1" s="2735"/>
      <c r="AN1" s="2735"/>
      <c r="AO1" s="3190"/>
      <c r="AP1" s="1" t="s">
        <v>0</v>
      </c>
      <c r="AQ1" s="2" t="s">
        <v>1</v>
      </c>
    </row>
    <row r="2" spans="1:43" ht="15" customHeight="1" x14ac:dyDescent="0.2">
      <c r="A2" s="2736"/>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2678"/>
      <c r="AO2" s="3191"/>
      <c r="AP2" s="4" t="s">
        <v>2</v>
      </c>
      <c r="AQ2" s="5">
        <v>6</v>
      </c>
    </row>
    <row r="3" spans="1:43" ht="18" customHeight="1" x14ac:dyDescent="0.2">
      <c r="A3" s="2736"/>
      <c r="B3" s="2678"/>
      <c r="C3" s="2678"/>
      <c r="D3" s="2678"/>
      <c r="E3" s="2678"/>
      <c r="F3" s="2678"/>
      <c r="G3" s="2678"/>
      <c r="H3" s="2678"/>
      <c r="I3" s="2678"/>
      <c r="J3" s="2678"/>
      <c r="K3" s="2678"/>
      <c r="L3" s="2678"/>
      <c r="M3" s="2678"/>
      <c r="N3" s="2678"/>
      <c r="O3" s="2678"/>
      <c r="P3" s="2678"/>
      <c r="Q3" s="2678"/>
      <c r="R3" s="2678"/>
      <c r="S3" s="2678"/>
      <c r="T3" s="2678"/>
      <c r="U3" s="2678"/>
      <c r="V3" s="2678"/>
      <c r="W3" s="2678"/>
      <c r="X3" s="2678"/>
      <c r="Y3" s="2678"/>
      <c r="Z3" s="2678"/>
      <c r="AA3" s="2678"/>
      <c r="AB3" s="2678"/>
      <c r="AC3" s="2678"/>
      <c r="AD3" s="2678"/>
      <c r="AE3" s="2678"/>
      <c r="AF3" s="2678"/>
      <c r="AG3" s="2678"/>
      <c r="AH3" s="2678"/>
      <c r="AI3" s="2678"/>
      <c r="AJ3" s="2678"/>
      <c r="AK3" s="2678"/>
      <c r="AL3" s="2678"/>
      <c r="AM3" s="2678"/>
      <c r="AN3" s="2678"/>
      <c r="AO3" s="3191"/>
      <c r="AP3" s="6" t="s">
        <v>4</v>
      </c>
      <c r="AQ3" s="7" t="s">
        <v>5</v>
      </c>
    </row>
    <row r="4" spans="1:43" s="10" customFormat="1" ht="18" customHeight="1" x14ac:dyDescent="0.2">
      <c r="A4" s="2737"/>
      <c r="B4" s="2679"/>
      <c r="C4" s="2679"/>
      <c r="D4" s="2679"/>
      <c r="E4" s="2679"/>
      <c r="F4" s="2679"/>
      <c r="G4" s="2679"/>
      <c r="H4" s="2679"/>
      <c r="I4" s="2679"/>
      <c r="J4" s="2679"/>
      <c r="K4" s="2679"/>
      <c r="L4" s="2679"/>
      <c r="M4" s="2679"/>
      <c r="N4" s="2679"/>
      <c r="O4" s="2679"/>
      <c r="P4" s="2679"/>
      <c r="Q4" s="2679"/>
      <c r="R4" s="2679"/>
      <c r="S4" s="2679"/>
      <c r="T4" s="2679"/>
      <c r="U4" s="2679"/>
      <c r="V4" s="2679"/>
      <c r="W4" s="2679"/>
      <c r="X4" s="2679"/>
      <c r="Y4" s="2679"/>
      <c r="Z4" s="2679"/>
      <c r="AA4" s="2679"/>
      <c r="AB4" s="2679"/>
      <c r="AC4" s="2679"/>
      <c r="AD4" s="2679"/>
      <c r="AE4" s="2679"/>
      <c r="AF4" s="2679"/>
      <c r="AG4" s="2679"/>
      <c r="AH4" s="2679"/>
      <c r="AI4" s="2679"/>
      <c r="AJ4" s="2679"/>
      <c r="AK4" s="2679"/>
      <c r="AL4" s="2679"/>
      <c r="AM4" s="2679"/>
      <c r="AN4" s="2679"/>
      <c r="AO4" s="3192"/>
      <c r="AP4" s="8" t="s">
        <v>6</v>
      </c>
      <c r="AQ4" s="9" t="s">
        <v>534</v>
      </c>
    </row>
    <row r="5" spans="1:43" ht="33" customHeight="1" x14ac:dyDescent="0.2">
      <c r="A5" s="3193" t="s">
        <v>8</v>
      </c>
      <c r="B5" s="2681"/>
      <c r="C5" s="2681"/>
      <c r="D5" s="2681"/>
      <c r="E5" s="2681"/>
      <c r="F5" s="2681"/>
      <c r="G5" s="2681"/>
      <c r="H5" s="2681"/>
      <c r="I5" s="2681"/>
      <c r="J5" s="2681"/>
      <c r="K5" s="2681"/>
      <c r="L5" s="2681"/>
      <c r="M5" s="2681"/>
      <c r="N5" s="1439"/>
      <c r="O5" s="1439"/>
      <c r="P5" s="2681" t="s">
        <v>9</v>
      </c>
      <c r="Q5" s="2681"/>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c r="AP5" s="2681"/>
      <c r="AQ5" s="2741"/>
    </row>
    <row r="6" spans="1:43" ht="42" customHeight="1" x14ac:dyDescent="0.2">
      <c r="A6" s="3193"/>
      <c r="B6" s="2681"/>
      <c r="C6" s="2681"/>
      <c r="D6" s="2681"/>
      <c r="E6" s="2681"/>
      <c r="F6" s="2681"/>
      <c r="G6" s="2681"/>
      <c r="H6" s="2681"/>
      <c r="I6" s="2681"/>
      <c r="J6" s="2681"/>
      <c r="K6" s="2681"/>
      <c r="L6" s="2681"/>
      <c r="M6" s="2681"/>
      <c r="N6" s="1439"/>
      <c r="O6" s="1528"/>
      <c r="P6" s="3194"/>
      <c r="Q6" s="3195"/>
      <c r="R6" s="3195"/>
      <c r="S6" s="3195"/>
      <c r="T6" s="3195"/>
      <c r="U6" s="3195"/>
      <c r="V6" s="3195"/>
      <c r="W6" s="3195"/>
      <c r="X6" s="3196"/>
      <c r="Y6" s="1529"/>
      <c r="Z6" s="1529"/>
      <c r="AA6" s="1529"/>
      <c r="AB6" s="1529"/>
      <c r="AC6" s="1529"/>
      <c r="AD6" s="1529"/>
      <c r="AE6" s="1529"/>
      <c r="AF6" s="1529"/>
      <c r="AG6" s="1529"/>
      <c r="AH6" s="1529"/>
      <c r="AI6" s="1529"/>
      <c r="AJ6" s="1529"/>
      <c r="AK6" s="1529"/>
      <c r="AL6" s="1529"/>
      <c r="AM6" s="1529"/>
      <c r="AN6" s="1529"/>
      <c r="AO6" s="3194"/>
      <c r="AP6" s="3195"/>
      <c r="AQ6" s="3197"/>
    </row>
    <row r="7" spans="1:43" s="370" customFormat="1" ht="33.75" customHeight="1" x14ac:dyDescent="0.25">
      <c r="A7" s="2744" t="s">
        <v>11</v>
      </c>
      <c r="B7" s="2684" t="s">
        <v>12</v>
      </c>
      <c r="C7" s="3198"/>
      <c r="D7" s="3119" t="s">
        <v>11</v>
      </c>
      <c r="E7" s="3119" t="s">
        <v>13</v>
      </c>
      <c r="F7" s="3119"/>
      <c r="G7" s="3119" t="s">
        <v>11</v>
      </c>
      <c r="H7" s="3119" t="s">
        <v>14</v>
      </c>
      <c r="I7" s="3119"/>
      <c r="J7" s="3119" t="s">
        <v>11</v>
      </c>
      <c r="K7" s="3119" t="s">
        <v>15</v>
      </c>
      <c r="L7" s="3119" t="s">
        <v>16</v>
      </c>
      <c r="M7" s="3119" t="s">
        <v>17</v>
      </c>
      <c r="N7" s="3119" t="s">
        <v>18</v>
      </c>
      <c r="O7" s="3119" t="s">
        <v>19</v>
      </c>
      <c r="P7" s="3119" t="s">
        <v>9</v>
      </c>
      <c r="Q7" s="3124" t="s">
        <v>20</v>
      </c>
      <c r="R7" s="3200" t="s">
        <v>21</v>
      </c>
      <c r="S7" s="3119" t="s">
        <v>22</v>
      </c>
      <c r="T7" s="3119" t="s">
        <v>23</v>
      </c>
      <c r="U7" s="3119" t="s">
        <v>24</v>
      </c>
      <c r="V7" s="3186" t="s">
        <v>21</v>
      </c>
      <c r="W7" s="3122" t="s">
        <v>11</v>
      </c>
      <c r="X7" s="3119" t="s">
        <v>25</v>
      </c>
      <c r="Y7" s="2696" t="s">
        <v>26</v>
      </c>
      <c r="Z7" s="2697"/>
      <c r="AA7" s="2698" t="s">
        <v>27</v>
      </c>
      <c r="AB7" s="2699"/>
      <c r="AC7" s="2699"/>
      <c r="AD7" s="2699"/>
      <c r="AE7" s="2700" t="s">
        <v>28</v>
      </c>
      <c r="AF7" s="2701"/>
      <c r="AG7" s="2701"/>
      <c r="AH7" s="2701"/>
      <c r="AI7" s="2701"/>
      <c r="AJ7" s="2701"/>
      <c r="AK7" s="2698" t="s">
        <v>29</v>
      </c>
      <c r="AL7" s="2699"/>
      <c r="AM7" s="2699"/>
      <c r="AN7" s="2746" t="s">
        <v>30</v>
      </c>
      <c r="AO7" s="3184" t="s">
        <v>31</v>
      </c>
      <c r="AP7" s="3184" t="s">
        <v>32</v>
      </c>
      <c r="AQ7" s="3132" t="s">
        <v>33</v>
      </c>
    </row>
    <row r="8" spans="1:43" s="370" customFormat="1" ht="106.5" customHeight="1" x14ac:dyDescent="0.25">
      <c r="A8" s="2745"/>
      <c r="B8" s="2686"/>
      <c r="C8" s="3199"/>
      <c r="D8" s="3119"/>
      <c r="E8" s="3119"/>
      <c r="F8" s="3119"/>
      <c r="G8" s="3119"/>
      <c r="H8" s="3119"/>
      <c r="I8" s="3119"/>
      <c r="J8" s="3119"/>
      <c r="K8" s="3119"/>
      <c r="L8" s="3119"/>
      <c r="M8" s="3119"/>
      <c r="N8" s="3119"/>
      <c r="O8" s="3119"/>
      <c r="P8" s="3119"/>
      <c r="Q8" s="3124"/>
      <c r="R8" s="3200"/>
      <c r="S8" s="3119"/>
      <c r="T8" s="3119"/>
      <c r="U8" s="3119"/>
      <c r="V8" s="3187"/>
      <c r="W8" s="3122"/>
      <c r="X8" s="3119"/>
      <c r="Y8" s="371" t="s">
        <v>34</v>
      </c>
      <c r="Z8" s="372" t="s">
        <v>535</v>
      </c>
      <c r="AA8" s="373" t="s">
        <v>36</v>
      </c>
      <c r="AB8" s="373" t="s">
        <v>115</v>
      </c>
      <c r="AC8" s="373" t="s">
        <v>116</v>
      </c>
      <c r="AD8" s="373" t="s">
        <v>117</v>
      </c>
      <c r="AE8" s="374" t="s">
        <v>40</v>
      </c>
      <c r="AF8" s="375" t="s">
        <v>41</v>
      </c>
      <c r="AG8" s="374" t="s">
        <v>42</v>
      </c>
      <c r="AH8" s="375" t="s">
        <v>43</v>
      </c>
      <c r="AI8" s="374" t="s">
        <v>536</v>
      </c>
      <c r="AJ8" s="374" t="s">
        <v>45</v>
      </c>
      <c r="AK8" s="373" t="s">
        <v>46</v>
      </c>
      <c r="AL8" s="373" t="s">
        <v>47</v>
      </c>
      <c r="AM8" s="373" t="s">
        <v>537</v>
      </c>
      <c r="AN8" s="2747"/>
      <c r="AO8" s="3185"/>
      <c r="AP8" s="3185"/>
      <c r="AQ8" s="3132"/>
    </row>
    <row r="9" spans="1:43" s="27" customFormat="1" ht="15" customHeight="1" x14ac:dyDescent="0.25">
      <c r="A9" s="376">
        <v>3</v>
      </c>
      <c r="B9" s="3201" t="s">
        <v>538</v>
      </c>
      <c r="C9" s="3202"/>
      <c r="D9" s="3202"/>
      <c r="E9" s="315"/>
      <c r="F9" s="315"/>
      <c r="G9" s="315"/>
      <c r="H9" s="315"/>
      <c r="I9" s="315"/>
      <c r="J9" s="315"/>
      <c r="K9" s="377"/>
      <c r="L9" s="377"/>
      <c r="M9" s="315"/>
      <c r="N9" s="315"/>
      <c r="O9" s="315"/>
      <c r="P9" s="377"/>
      <c r="Q9" s="315"/>
      <c r="R9" s="378"/>
      <c r="S9" s="377"/>
      <c r="T9" s="377"/>
      <c r="U9" s="377"/>
      <c r="V9" s="379"/>
      <c r="W9" s="380"/>
      <c r="X9" s="1530"/>
      <c r="Y9" s="315"/>
      <c r="Z9" s="315"/>
      <c r="AA9" s="315"/>
      <c r="AB9" s="315"/>
      <c r="AC9" s="315"/>
      <c r="AD9" s="315"/>
      <c r="AE9" s="315"/>
      <c r="AF9" s="315"/>
      <c r="AG9" s="315"/>
      <c r="AH9" s="315"/>
      <c r="AI9" s="315"/>
      <c r="AJ9" s="315"/>
      <c r="AK9" s="315"/>
      <c r="AL9" s="315"/>
      <c r="AM9" s="315"/>
      <c r="AN9" s="315"/>
      <c r="AO9" s="3188"/>
      <c r="AP9" s="3188"/>
      <c r="AQ9" s="3189"/>
    </row>
    <row r="10" spans="1:43" s="27" customFormat="1" ht="15" customHeight="1" x14ac:dyDescent="0.25">
      <c r="A10" s="381"/>
      <c r="B10" s="1546"/>
      <c r="C10" s="382"/>
      <c r="D10" s="383">
        <v>9</v>
      </c>
      <c r="E10" s="3170" t="s">
        <v>539</v>
      </c>
      <c r="F10" s="3171"/>
      <c r="G10" s="3171"/>
      <c r="H10" s="3171"/>
      <c r="I10" s="3171"/>
      <c r="J10" s="3171"/>
      <c r="K10" s="3171"/>
      <c r="L10" s="384"/>
      <c r="M10" s="385"/>
      <c r="N10" s="385"/>
      <c r="O10" s="385"/>
      <c r="P10" s="384"/>
      <c r="Q10" s="385"/>
      <c r="R10" s="386"/>
      <c r="S10" s="384"/>
      <c r="T10" s="384"/>
      <c r="U10" s="384"/>
      <c r="V10" s="387"/>
      <c r="W10" s="388"/>
      <c r="X10" s="1531"/>
      <c r="Y10" s="385"/>
      <c r="Z10" s="385"/>
      <c r="AA10" s="385"/>
      <c r="AB10" s="385"/>
      <c r="AC10" s="385"/>
      <c r="AD10" s="385"/>
      <c r="AE10" s="385"/>
      <c r="AF10" s="385"/>
      <c r="AG10" s="385"/>
      <c r="AH10" s="385"/>
      <c r="AI10" s="385"/>
      <c r="AJ10" s="385"/>
      <c r="AK10" s="385"/>
      <c r="AL10" s="385"/>
      <c r="AM10" s="385"/>
      <c r="AN10" s="385"/>
      <c r="AO10" s="3172"/>
      <c r="AP10" s="3172"/>
      <c r="AQ10" s="3173"/>
    </row>
    <row r="11" spans="1:43" ht="15" customHeight="1" x14ac:dyDescent="0.2">
      <c r="A11" s="389"/>
      <c r="B11" s="1481"/>
      <c r="C11" s="1548"/>
      <c r="D11" s="1507"/>
      <c r="E11" s="390"/>
      <c r="F11" s="358"/>
      <c r="G11" s="285">
        <v>29</v>
      </c>
      <c r="H11" s="3174" t="s">
        <v>540</v>
      </c>
      <c r="I11" s="3175"/>
      <c r="J11" s="3175"/>
      <c r="K11" s="3175"/>
      <c r="L11" s="391"/>
      <c r="M11" s="392"/>
      <c r="N11" s="392"/>
      <c r="O11" s="392"/>
      <c r="P11" s="391"/>
      <c r="Q11" s="392"/>
      <c r="R11" s="393"/>
      <c r="S11" s="391"/>
      <c r="T11" s="391"/>
      <c r="U11" s="391"/>
      <c r="V11" s="394"/>
      <c r="W11" s="395"/>
      <c r="X11" s="1532"/>
      <c r="Y11" s="392"/>
      <c r="Z11" s="392"/>
      <c r="AA11" s="392"/>
      <c r="AB11" s="392"/>
      <c r="AC11" s="392"/>
      <c r="AD11" s="392"/>
      <c r="AE11" s="392"/>
      <c r="AF11" s="392"/>
      <c r="AG11" s="392"/>
      <c r="AH11" s="392"/>
      <c r="AI11" s="392"/>
      <c r="AJ11" s="392"/>
      <c r="AK11" s="392"/>
      <c r="AL11" s="392"/>
      <c r="AM11" s="392"/>
      <c r="AN11" s="392"/>
      <c r="AO11" s="3176"/>
      <c r="AP11" s="3176"/>
      <c r="AQ11" s="3177"/>
    </row>
    <row r="12" spans="1:43" s="412" customFormat="1" ht="80.25" customHeight="1" x14ac:dyDescent="0.2">
      <c r="A12" s="889"/>
      <c r="B12" s="1047"/>
      <c r="C12" s="1048"/>
      <c r="D12" s="889"/>
      <c r="E12" s="1047"/>
      <c r="F12" s="1048"/>
      <c r="G12" s="2842"/>
      <c r="H12" s="3154"/>
      <c r="I12" s="3155"/>
      <c r="J12" s="3156">
        <v>114</v>
      </c>
      <c r="K12" s="3029" t="s">
        <v>541</v>
      </c>
      <c r="L12" s="3029" t="s">
        <v>542</v>
      </c>
      <c r="M12" s="3160">
        <v>30</v>
      </c>
      <c r="N12" s="2842" t="s">
        <v>1762</v>
      </c>
      <c r="O12" s="2842">
        <v>45</v>
      </c>
      <c r="P12" s="3029" t="s">
        <v>543</v>
      </c>
      <c r="Q12" s="3178">
        <f>SUM(V12:V14)/R12</f>
        <v>1</v>
      </c>
      <c r="R12" s="3163">
        <f>SUM(V12:V14)</f>
        <v>1249277717</v>
      </c>
      <c r="S12" s="3029" t="s">
        <v>544</v>
      </c>
      <c r="T12" s="3029" t="s">
        <v>545</v>
      </c>
      <c r="U12" s="3029" t="s">
        <v>546</v>
      </c>
      <c r="V12" s="1879">
        <v>172896381</v>
      </c>
      <c r="W12" s="1168">
        <v>33</v>
      </c>
      <c r="X12" s="1661" t="s">
        <v>547</v>
      </c>
      <c r="Y12" s="2842">
        <v>26</v>
      </c>
      <c r="Z12" s="2842">
        <v>26</v>
      </c>
      <c r="AA12" s="3143">
        <v>0</v>
      </c>
      <c r="AB12" s="3143">
        <v>0</v>
      </c>
      <c r="AC12" s="3143">
        <v>52</v>
      </c>
      <c r="AD12" s="3143">
        <v>0</v>
      </c>
      <c r="AE12" s="3143">
        <v>0</v>
      </c>
      <c r="AF12" s="3143">
        <v>0</v>
      </c>
      <c r="AG12" s="3143">
        <v>0</v>
      </c>
      <c r="AH12" s="3143">
        <v>0</v>
      </c>
      <c r="AI12" s="3143">
        <v>0</v>
      </c>
      <c r="AJ12" s="3143">
        <v>0</v>
      </c>
      <c r="AK12" s="3143">
        <v>0</v>
      </c>
      <c r="AL12" s="3143">
        <v>0</v>
      </c>
      <c r="AM12" s="3143">
        <v>0</v>
      </c>
      <c r="AN12" s="3143">
        <f>Y12+Z12</f>
        <v>52</v>
      </c>
      <c r="AO12" s="3166">
        <v>43466</v>
      </c>
      <c r="AP12" s="3166">
        <v>43830</v>
      </c>
      <c r="AQ12" s="3181" t="s">
        <v>548</v>
      </c>
    </row>
    <row r="13" spans="1:43" s="412" customFormat="1" ht="48.75" customHeight="1" x14ac:dyDescent="0.2">
      <c r="A13" s="889"/>
      <c r="B13" s="1047"/>
      <c r="C13" s="1048"/>
      <c r="D13" s="889"/>
      <c r="E13" s="1047"/>
      <c r="F13" s="1048"/>
      <c r="G13" s="2843"/>
      <c r="H13" s="3150"/>
      <c r="I13" s="3151"/>
      <c r="J13" s="3157"/>
      <c r="K13" s="3159"/>
      <c r="L13" s="3159"/>
      <c r="M13" s="3161"/>
      <c r="N13" s="2843"/>
      <c r="O13" s="2843"/>
      <c r="P13" s="3159"/>
      <c r="Q13" s="3179"/>
      <c r="R13" s="3164"/>
      <c r="S13" s="3159"/>
      <c r="T13" s="3159"/>
      <c r="U13" s="3159"/>
      <c r="V13" s="1879">
        <v>1075686973</v>
      </c>
      <c r="W13" s="1168">
        <v>83</v>
      </c>
      <c r="X13" s="1661" t="s">
        <v>549</v>
      </c>
      <c r="Y13" s="2843"/>
      <c r="Z13" s="2843"/>
      <c r="AA13" s="3144"/>
      <c r="AB13" s="3144"/>
      <c r="AC13" s="3144"/>
      <c r="AD13" s="3144"/>
      <c r="AE13" s="3144"/>
      <c r="AF13" s="3144"/>
      <c r="AG13" s="3144"/>
      <c r="AH13" s="3144"/>
      <c r="AI13" s="3144"/>
      <c r="AJ13" s="3144"/>
      <c r="AK13" s="3144"/>
      <c r="AL13" s="3144"/>
      <c r="AM13" s="3144"/>
      <c r="AN13" s="3144"/>
      <c r="AO13" s="3167"/>
      <c r="AP13" s="3167"/>
      <c r="AQ13" s="3182"/>
    </row>
    <row r="14" spans="1:43" s="412" customFormat="1" ht="42" customHeight="1" x14ac:dyDescent="0.2">
      <c r="A14" s="889"/>
      <c r="B14" s="1047"/>
      <c r="C14" s="1048"/>
      <c r="D14" s="889"/>
      <c r="E14" s="1047"/>
      <c r="F14" s="1048"/>
      <c r="G14" s="2843"/>
      <c r="H14" s="3150"/>
      <c r="I14" s="3151"/>
      <c r="J14" s="3158"/>
      <c r="K14" s="3030"/>
      <c r="L14" s="3030"/>
      <c r="M14" s="3162"/>
      <c r="N14" s="3134"/>
      <c r="O14" s="3134"/>
      <c r="P14" s="3030"/>
      <c r="Q14" s="3180"/>
      <c r="R14" s="3165"/>
      <c r="S14" s="3030"/>
      <c r="T14" s="3169"/>
      <c r="U14" s="1283" t="s">
        <v>550</v>
      </c>
      <c r="V14" s="1880">
        <f>694363</f>
        <v>694363</v>
      </c>
      <c r="W14" s="1168">
        <v>33</v>
      </c>
      <c r="X14" s="1661" t="s">
        <v>547</v>
      </c>
      <c r="Y14" s="3134"/>
      <c r="Z14" s="3134"/>
      <c r="AA14" s="3145"/>
      <c r="AB14" s="3145"/>
      <c r="AC14" s="3145"/>
      <c r="AD14" s="3145"/>
      <c r="AE14" s="3145"/>
      <c r="AF14" s="3145"/>
      <c r="AG14" s="3145"/>
      <c r="AH14" s="3145"/>
      <c r="AI14" s="3145"/>
      <c r="AJ14" s="3145"/>
      <c r="AK14" s="3145"/>
      <c r="AL14" s="3145"/>
      <c r="AM14" s="3145"/>
      <c r="AN14" s="3145"/>
      <c r="AO14" s="3168"/>
      <c r="AP14" s="3168"/>
      <c r="AQ14" s="3183"/>
    </row>
    <row r="15" spans="1:43" s="412" customFormat="1" ht="39" customHeight="1" x14ac:dyDescent="0.2">
      <c r="A15" s="889"/>
      <c r="B15" s="1047"/>
      <c r="C15" s="1048"/>
      <c r="D15" s="889"/>
      <c r="E15" s="1047"/>
      <c r="F15" s="1048"/>
      <c r="G15" s="2843"/>
      <c r="H15" s="3150"/>
      <c r="I15" s="3151"/>
      <c r="J15" s="3156">
        <v>114</v>
      </c>
      <c r="K15" s="3203" t="s">
        <v>551</v>
      </c>
      <c r="L15" s="3029" t="s">
        <v>552</v>
      </c>
      <c r="M15" s="3160">
        <v>30</v>
      </c>
      <c r="N15" s="2842" t="s">
        <v>553</v>
      </c>
      <c r="O15" s="2842">
        <v>46</v>
      </c>
      <c r="P15" s="3029" t="s">
        <v>554</v>
      </c>
      <c r="Q15" s="3178">
        <f>SUM(V15:V18)/R15</f>
        <v>0.46737569540763191</v>
      </c>
      <c r="R15" s="3206">
        <f>SUM(V15:V26)</f>
        <v>3213783215</v>
      </c>
      <c r="S15" s="3029" t="s">
        <v>555</v>
      </c>
      <c r="T15" s="3209" t="s">
        <v>556</v>
      </c>
      <c r="U15" s="1655" t="s">
        <v>557</v>
      </c>
      <c r="V15" s="1881">
        <f>543106000-185044900-1199868-25208999</f>
        <v>331652233</v>
      </c>
      <c r="W15" s="1568">
        <v>20</v>
      </c>
      <c r="X15" s="1661" t="s">
        <v>61</v>
      </c>
      <c r="Y15" s="2842">
        <v>85275</v>
      </c>
      <c r="Z15" s="2842">
        <v>85275</v>
      </c>
      <c r="AA15" s="3143">
        <v>25580</v>
      </c>
      <c r="AB15" s="3143">
        <v>42638</v>
      </c>
      <c r="AC15" s="3143">
        <v>68221</v>
      </c>
      <c r="AD15" s="3143">
        <v>17055</v>
      </c>
      <c r="AE15" s="3143">
        <v>8528</v>
      </c>
      <c r="AF15" s="3143">
        <v>8527.5</v>
      </c>
      <c r="AG15" s="3143">
        <v>0</v>
      </c>
      <c r="AH15" s="3143">
        <v>0</v>
      </c>
      <c r="AI15" s="3143">
        <v>0</v>
      </c>
      <c r="AJ15" s="3143">
        <v>0</v>
      </c>
      <c r="AK15" s="1514"/>
      <c r="AL15" s="1514"/>
      <c r="AM15" s="1514"/>
      <c r="AN15" s="3143">
        <f>Y15+Z15</f>
        <v>170550</v>
      </c>
      <c r="AO15" s="3166">
        <v>43466</v>
      </c>
      <c r="AP15" s="3166">
        <v>43830</v>
      </c>
      <c r="AQ15" s="3143" t="s">
        <v>558</v>
      </c>
    </row>
    <row r="16" spans="1:43" s="412" customFormat="1" ht="27" customHeight="1" x14ac:dyDescent="0.2">
      <c r="A16" s="889"/>
      <c r="B16" s="1047"/>
      <c r="C16" s="1048"/>
      <c r="D16" s="889"/>
      <c r="E16" s="1047"/>
      <c r="F16" s="1048"/>
      <c r="G16" s="2843"/>
      <c r="H16" s="3150"/>
      <c r="I16" s="3151"/>
      <c r="J16" s="3157"/>
      <c r="K16" s="3204"/>
      <c r="L16" s="3159"/>
      <c r="M16" s="3161"/>
      <c r="N16" s="2843"/>
      <c r="O16" s="2843"/>
      <c r="P16" s="3159"/>
      <c r="Q16" s="3179"/>
      <c r="R16" s="3207"/>
      <c r="S16" s="3159"/>
      <c r="T16" s="3204"/>
      <c r="U16" s="2843" t="s">
        <v>559</v>
      </c>
      <c r="V16" s="1882">
        <f>457100000+195470065+1199868+25208999-1194333</f>
        <v>677784599</v>
      </c>
      <c r="W16" s="1282">
        <v>20</v>
      </c>
      <c r="X16" s="1283" t="s">
        <v>621</v>
      </c>
      <c r="Y16" s="3210"/>
      <c r="Z16" s="2843"/>
      <c r="AA16" s="3144"/>
      <c r="AB16" s="3144"/>
      <c r="AC16" s="3144"/>
      <c r="AD16" s="3144"/>
      <c r="AE16" s="3144"/>
      <c r="AF16" s="3144"/>
      <c r="AG16" s="3144"/>
      <c r="AH16" s="3144"/>
      <c r="AI16" s="3144"/>
      <c r="AJ16" s="3144"/>
      <c r="AK16" s="1515"/>
      <c r="AL16" s="1515"/>
      <c r="AM16" s="1515"/>
      <c r="AN16" s="3144"/>
      <c r="AO16" s="3167"/>
      <c r="AP16" s="3167"/>
      <c r="AQ16" s="3144"/>
    </row>
    <row r="17" spans="1:43" s="412" customFormat="1" ht="30" customHeight="1" x14ac:dyDescent="0.2">
      <c r="A17" s="889"/>
      <c r="B17" s="1047"/>
      <c r="C17" s="1048"/>
      <c r="D17" s="889"/>
      <c r="E17" s="1047"/>
      <c r="F17" s="1048"/>
      <c r="G17" s="2843"/>
      <c r="H17" s="3150"/>
      <c r="I17" s="3151"/>
      <c r="J17" s="3157"/>
      <c r="K17" s="3204"/>
      <c r="L17" s="3159"/>
      <c r="M17" s="3161"/>
      <c r="N17" s="2843"/>
      <c r="O17" s="2843"/>
      <c r="P17" s="3159"/>
      <c r="Q17" s="3179"/>
      <c r="R17" s="3207"/>
      <c r="S17" s="3159"/>
      <c r="T17" s="3204"/>
      <c r="U17" s="3134"/>
      <c r="V17" s="1882">
        <v>400000000</v>
      </c>
      <c r="W17" s="1284">
        <v>88</v>
      </c>
      <c r="X17" s="1284" t="s">
        <v>264</v>
      </c>
      <c r="Y17" s="3210"/>
      <c r="Z17" s="2843"/>
      <c r="AA17" s="3144"/>
      <c r="AB17" s="3144"/>
      <c r="AC17" s="3144"/>
      <c r="AD17" s="3144"/>
      <c r="AE17" s="3144"/>
      <c r="AF17" s="3144"/>
      <c r="AG17" s="3144"/>
      <c r="AH17" s="3144"/>
      <c r="AI17" s="3144"/>
      <c r="AJ17" s="3144"/>
      <c r="AK17" s="1515"/>
      <c r="AL17" s="1515"/>
      <c r="AM17" s="1515"/>
      <c r="AN17" s="3144"/>
      <c r="AO17" s="3167"/>
      <c r="AP17" s="3167"/>
      <c r="AQ17" s="3144"/>
    </row>
    <row r="18" spans="1:43" s="412" customFormat="1" ht="44.25" customHeight="1" x14ac:dyDescent="0.2">
      <c r="A18" s="889"/>
      <c r="B18" s="1047"/>
      <c r="C18" s="1048"/>
      <c r="D18" s="889"/>
      <c r="E18" s="1047"/>
      <c r="F18" s="1048"/>
      <c r="G18" s="2843"/>
      <c r="H18" s="3150"/>
      <c r="I18" s="3151"/>
      <c r="J18" s="3158"/>
      <c r="K18" s="3205"/>
      <c r="L18" s="3030"/>
      <c r="M18" s="3162"/>
      <c r="N18" s="3134"/>
      <c r="O18" s="2843"/>
      <c r="P18" s="3159"/>
      <c r="Q18" s="3180"/>
      <c r="R18" s="3207"/>
      <c r="S18" s="3159"/>
      <c r="T18" s="3205"/>
      <c r="U18" s="1525" t="s">
        <v>560</v>
      </c>
      <c r="V18" s="1883">
        <f>101838165-10425165+1194333</f>
        <v>92607333</v>
      </c>
      <c r="W18" s="1672">
        <v>20</v>
      </c>
      <c r="X18" s="889" t="s">
        <v>61</v>
      </c>
      <c r="Y18" s="2843"/>
      <c r="Z18" s="2843"/>
      <c r="AA18" s="3144"/>
      <c r="AB18" s="3144"/>
      <c r="AC18" s="3144"/>
      <c r="AD18" s="3144"/>
      <c r="AE18" s="3144"/>
      <c r="AF18" s="3144"/>
      <c r="AG18" s="3144"/>
      <c r="AH18" s="3144"/>
      <c r="AI18" s="3144"/>
      <c r="AJ18" s="3144"/>
      <c r="AK18" s="1515"/>
      <c r="AL18" s="1515"/>
      <c r="AM18" s="1515"/>
      <c r="AN18" s="3144"/>
      <c r="AO18" s="3167"/>
      <c r="AP18" s="3167"/>
      <c r="AQ18" s="3144"/>
    </row>
    <row r="19" spans="1:43" s="412" customFormat="1" ht="44.25" customHeight="1" x14ac:dyDescent="0.2">
      <c r="A19" s="889"/>
      <c r="B19" s="1047"/>
      <c r="C19" s="1048"/>
      <c r="D19" s="889"/>
      <c r="E19" s="1047"/>
      <c r="F19" s="1048"/>
      <c r="G19" s="2843"/>
      <c r="H19" s="3150"/>
      <c r="I19" s="3151"/>
      <c r="J19" s="3156">
        <v>115</v>
      </c>
      <c r="K19" s="2535" t="s">
        <v>561</v>
      </c>
      <c r="L19" s="3029" t="s">
        <v>552</v>
      </c>
      <c r="M19" s="3160">
        <v>34</v>
      </c>
      <c r="N19" s="2842" t="s">
        <v>1763</v>
      </c>
      <c r="O19" s="2843"/>
      <c r="P19" s="3159"/>
      <c r="Q19" s="3178">
        <f>SUM(V19:V22)/R15</f>
        <v>0.45757094508939988</v>
      </c>
      <c r="R19" s="3207"/>
      <c r="S19" s="3159"/>
      <c r="T19" s="3203" t="s">
        <v>562</v>
      </c>
      <c r="U19" s="1525" t="s">
        <v>563</v>
      </c>
      <c r="V19" s="1883">
        <v>62591799.530000001</v>
      </c>
      <c r="W19" s="1568">
        <v>39</v>
      </c>
      <c r="X19" s="1661" t="s">
        <v>564</v>
      </c>
      <c r="Y19" s="2843"/>
      <c r="Z19" s="2843"/>
      <c r="AA19" s="3144"/>
      <c r="AB19" s="3144"/>
      <c r="AC19" s="3144"/>
      <c r="AD19" s="3144"/>
      <c r="AE19" s="3144"/>
      <c r="AF19" s="3144"/>
      <c r="AG19" s="3144"/>
      <c r="AH19" s="3144"/>
      <c r="AI19" s="3144"/>
      <c r="AJ19" s="3144"/>
      <c r="AK19" s="1515"/>
      <c r="AL19" s="1515"/>
      <c r="AM19" s="1515"/>
      <c r="AN19" s="3144"/>
      <c r="AO19" s="3167"/>
      <c r="AP19" s="3167"/>
      <c r="AQ19" s="3144"/>
    </row>
    <row r="20" spans="1:43" s="412" customFormat="1" ht="44.25" customHeight="1" x14ac:dyDescent="0.2">
      <c r="A20" s="889"/>
      <c r="B20" s="1047"/>
      <c r="C20" s="1048"/>
      <c r="D20" s="889"/>
      <c r="E20" s="1047"/>
      <c r="F20" s="1048"/>
      <c r="G20" s="2843"/>
      <c r="H20" s="3150"/>
      <c r="I20" s="3151"/>
      <c r="J20" s="3157"/>
      <c r="K20" s="2530"/>
      <c r="L20" s="3159"/>
      <c r="M20" s="3161"/>
      <c r="N20" s="2843"/>
      <c r="O20" s="2843"/>
      <c r="P20" s="3159"/>
      <c r="Q20" s="3179"/>
      <c r="R20" s="3207"/>
      <c r="S20" s="3159"/>
      <c r="T20" s="3204"/>
      <c r="U20" s="1525" t="s">
        <v>565</v>
      </c>
      <c r="V20" s="1884">
        <v>133221409</v>
      </c>
      <c r="W20" s="1568">
        <v>39</v>
      </c>
      <c r="X20" s="1661" t="s">
        <v>564</v>
      </c>
      <c r="Y20" s="2843"/>
      <c r="Z20" s="2843"/>
      <c r="AA20" s="3144"/>
      <c r="AB20" s="3144"/>
      <c r="AC20" s="3144"/>
      <c r="AD20" s="3144"/>
      <c r="AE20" s="3144"/>
      <c r="AF20" s="3144"/>
      <c r="AG20" s="3144"/>
      <c r="AH20" s="3144"/>
      <c r="AI20" s="3144"/>
      <c r="AJ20" s="3144"/>
      <c r="AK20" s="1515"/>
      <c r="AL20" s="1515"/>
      <c r="AM20" s="1515"/>
      <c r="AN20" s="3144"/>
      <c r="AO20" s="3167"/>
      <c r="AP20" s="3167"/>
      <c r="AQ20" s="3144"/>
    </row>
    <row r="21" spans="1:43" s="412" customFormat="1" ht="44.25" customHeight="1" x14ac:dyDescent="0.2">
      <c r="A21" s="889"/>
      <c r="B21" s="1047"/>
      <c r="C21" s="1048"/>
      <c r="D21" s="889"/>
      <c r="E21" s="1047"/>
      <c r="F21" s="1048"/>
      <c r="G21" s="2843"/>
      <c r="H21" s="3150"/>
      <c r="I21" s="3151"/>
      <c r="J21" s="3157"/>
      <c r="K21" s="2530"/>
      <c r="L21" s="3159"/>
      <c r="M21" s="3161"/>
      <c r="N21" s="2843"/>
      <c r="O21" s="2843"/>
      <c r="P21" s="3159"/>
      <c r="Q21" s="3179"/>
      <c r="R21" s="3207"/>
      <c r="S21" s="3159"/>
      <c r="T21" s="3204"/>
      <c r="U21" s="3138" t="s">
        <v>566</v>
      </c>
      <c r="V21" s="1885">
        <v>672140514.46999991</v>
      </c>
      <c r="W21" s="1287">
        <v>39</v>
      </c>
      <c r="X21" s="1661" t="s">
        <v>564</v>
      </c>
      <c r="Y21" s="2843"/>
      <c r="Z21" s="2843"/>
      <c r="AA21" s="3144"/>
      <c r="AB21" s="3144"/>
      <c r="AC21" s="3144"/>
      <c r="AD21" s="3144"/>
      <c r="AE21" s="3144"/>
      <c r="AF21" s="3144"/>
      <c r="AG21" s="3144"/>
      <c r="AH21" s="3144"/>
      <c r="AI21" s="3144"/>
      <c r="AJ21" s="3144"/>
      <c r="AK21" s="1515"/>
      <c r="AL21" s="1515"/>
      <c r="AM21" s="1515"/>
      <c r="AN21" s="3144"/>
      <c r="AO21" s="3167"/>
      <c r="AP21" s="3167"/>
      <c r="AQ21" s="3144"/>
    </row>
    <row r="22" spans="1:43" s="412" customFormat="1" ht="36.75" customHeight="1" x14ac:dyDescent="0.2">
      <c r="A22" s="889"/>
      <c r="B22" s="1047"/>
      <c r="C22" s="1048"/>
      <c r="D22" s="889"/>
      <c r="E22" s="1047"/>
      <c r="F22" s="1048"/>
      <c r="G22" s="2843"/>
      <c r="H22" s="3150"/>
      <c r="I22" s="3151"/>
      <c r="J22" s="3158"/>
      <c r="K22" s="2536"/>
      <c r="L22" s="3159"/>
      <c r="M22" s="3162"/>
      <c r="N22" s="3134"/>
      <c r="O22" s="2843"/>
      <c r="P22" s="3159"/>
      <c r="Q22" s="3180"/>
      <c r="R22" s="3207"/>
      <c r="S22" s="3159"/>
      <c r="T22" s="3205"/>
      <c r="U22" s="3139"/>
      <c r="V22" s="1848">
        <f>0+602580100</f>
        <v>602580100</v>
      </c>
      <c r="W22" s="1288">
        <v>83</v>
      </c>
      <c r="X22" s="1284" t="s">
        <v>567</v>
      </c>
      <c r="Y22" s="3210"/>
      <c r="Z22" s="2843"/>
      <c r="AA22" s="3144"/>
      <c r="AB22" s="3144"/>
      <c r="AC22" s="3144"/>
      <c r="AD22" s="3144"/>
      <c r="AE22" s="3144"/>
      <c r="AF22" s="3144"/>
      <c r="AG22" s="3144"/>
      <c r="AH22" s="3144"/>
      <c r="AI22" s="3144"/>
      <c r="AJ22" s="3144"/>
      <c r="AK22" s="1515"/>
      <c r="AL22" s="1515"/>
      <c r="AM22" s="1515"/>
      <c r="AN22" s="3144"/>
      <c r="AO22" s="3167"/>
      <c r="AP22" s="3167"/>
      <c r="AQ22" s="3144"/>
    </row>
    <row r="23" spans="1:43" s="404" customFormat="1" ht="49.5" customHeight="1" x14ac:dyDescent="0.2">
      <c r="A23" s="889"/>
      <c r="B23" s="1047"/>
      <c r="C23" s="1048"/>
      <c r="D23" s="889"/>
      <c r="E23" s="1047"/>
      <c r="F23" s="1048"/>
      <c r="G23" s="2843"/>
      <c r="H23" s="3150"/>
      <c r="I23" s="3151"/>
      <c r="J23" s="3156">
        <v>116</v>
      </c>
      <c r="K23" s="3203" t="s">
        <v>568</v>
      </c>
      <c r="L23" s="3212" t="s">
        <v>552</v>
      </c>
      <c r="M23" s="3160">
        <v>10</v>
      </c>
      <c r="N23" s="2842" t="s">
        <v>569</v>
      </c>
      <c r="O23" s="2843"/>
      <c r="P23" s="3159"/>
      <c r="Q23" s="3178">
        <f>SUM(V23:V26)/R15</f>
        <v>7.5053359502968223E-2</v>
      </c>
      <c r="R23" s="3207"/>
      <c r="S23" s="3159"/>
      <c r="T23" s="3203" t="s">
        <v>570</v>
      </c>
      <c r="U23" s="1519" t="s">
        <v>563</v>
      </c>
      <c r="V23" s="1883">
        <f>13887260+34480740-1074900+1194333</f>
        <v>48487433</v>
      </c>
      <c r="W23" s="1672">
        <v>41</v>
      </c>
      <c r="X23" s="889" t="s">
        <v>571</v>
      </c>
      <c r="Y23" s="2843"/>
      <c r="Z23" s="2843"/>
      <c r="AA23" s="3144"/>
      <c r="AB23" s="3144"/>
      <c r="AC23" s="3144"/>
      <c r="AD23" s="3144"/>
      <c r="AE23" s="3144"/>
      <c r="AF23" s="3144"/>
      <c r="AG23" s="3144"/>
      <c r="AH23" s="3144"/>
      <c r="AI23" s="3144"/>
      <c r="AJ23" s="3144"/>
      <c r="AK23" s="1515"/>
      <c r="AL23" s="1515"/>
      <c r="AM23" s="1515"/>
      <c r="AN23" s="3144"/>
      <c r="AO23" s="3167"/>
      <c r="AP23" s="3167"/>
      <c r="AQ23" s="3144"/>
    </row>
    <row r="24" spans="1:43" s="404" customFormat="1" ht="42" customHeight="1" x14ac:dyDescent="0.2">
      <c r="A24" s="889"/>
      <c r="B24" s="1047"/>
      <c r="C24" s="1048"/>
      <c r="D24" s="889"/>
      <c r="E24" s="1047"/>
      <c r="F24" s="1048"/>
      <c r="G24" s="2843"/>
      <c r="H24" s="3150"/>
      <c r="I24" s="3151"/>
      <c r="J24" s="3157"/>
      <c r="K24" s="3204"/>
      <c r="L24" s="3212"/>
      <c r="M24" s="3161"/>
      <c r="N24" s="2843"/>
      <c r="O24" s="2843"/>
      <c r="P24" s="3159"/>
      <c r="Q24" s="3179"/>
      <c r="R24" s="3207"/>
      <c r="S24" s="3159"/>
      <c r="T24" s="3204"/>
      <c r="U24" s="1519" t="s">
        <v>572</v>
      </c>
      <c r="V24" s="1884">
        <f>36454056-19454056+1912127</f>
        <v>18912127</v>
      </c>
      <c r="W24" s="1568">
        <v>41</v>
      </c>
      <c r="X24" s="1661" t="s">
        <v>571</v>
      </c>
      <c r="Y24" s="2843"/>
      <c r="Z24" s="2843"/>
      <c r="AA24" s="3144"/>
      <c r="AB24" s="3144"/>
      <c r="AC24" s="3144"/>
      <c r="AD24" s="3144"/>
      <c r="AE24" s="3144"/>
      <c r="AF24" s="3144"/>
      <c r="AG24" s="3144"/>
      <c r="AH24" s="3144"/>
      <c r="AI24" s="3144"/>
      <c r="AJ24" s="3144"/>
      <c r="AK24" s="1515"/>
      <c r="AL24" s="1515"/>
      <c r="AM24" s="1515"/>
      <c r="AN24" s="3144"/>
      <c r="AO24" s="3167"/>
      <c r="AP24" s="3167"/>
      <c r="AQ24" s="3144"/>
    </row>
    <row r="25" spans="1:43" s="404" customFormat="1" ht="42" customHeight="1" x14ac:dyDescent="0.2">
      <c r="A25" s="889"/>
      <c r="B25" s="1047"/>
      <c r="C25" s="1048"/>
      <c r="D25" s="889"/>
      <c r="E25" s="1047"/>
      <c r="F25" s="1048"/>
      <c r="G25" s="2843"/>
      <c r="H25" s="3150"/>
      <c r="I25" s="3151"/>
      <c r="J25" s="3157"/>
      <c r="K25" s="3204"/>
      <c r="L25" s="3212"/>
      <c r="M25" s="3161"/>
      <c r="N25" s="2843"/>
      <c r="O25" s="2843"/>
      <c r="P25" s="3159"/>
      <c r="Q25" s="3179"/>
      <c r="R25" s="3207"/>
      <c r="S25" s="3159"/>
      <c r="T25" s="3204"/>
      <c r="U25" s="3138" t="s">
        <v>566</v>
      </c>
      <c r="V25" s="1848">
        <f>123249428-15026684-837227-1194333</f>
        <v>106191184</v>
      </c>
      <c r="W25" s="1282">
        <v>41</v>
      </c>
      <c r="X25" s="1283" t="s">
        <v>573</v>
      </c>
      <c r="Y25" s="3210"/>
      <c r="Z25" s="2843"/>
      <c r="AA25" s="3144"/>
      <c r="AB25" s="3144"/>
      <c r="AC25" s="3144"/>
      <c r="AD25" s="3144"/>
      <c r="AE25" s="3144"/>
      <c r="AF25" s="3144"/>
      <c r="AG25" s="3144"/>
      <c r="AH25" s="3144"/>
      <c r="AI25" s="3144"/>
      <c r="AJ25" s="3144"/>
      <c r="AK25" s="1515"/>
      <c r="AL25" s="1515"/>
      <c r="AM25" s="1515"/>
      <c r="AN25" s="3144"/>
      <c r="AO25" s="3167"/>
      <c r="AP25" s="3167"/>
      <c r="AQ25" s="3144"/>
    </row>
    <row r="26" spans="1:43" s="404" customFormat="1" ht="48.75" customHeight="1" x14ac:dyDescent="0.2">
      <c r="A26" s="889"/>
      <c r="B26" s="1047"/>
      <c r="C26" s="1048"/>
      <c r="D26" s="889"/>
      <c r="E26" s="1047"/>
      <c r="F26" s="1048"/>
      <c r="G26" s="3134"/>
      <c r="H26" s="3152"/>
      <c r="I26" s="3153"/>
      <c r="J26" s="3158"/>
      <c r="K26" s="3205"/>
      <c r="L26" s="3212"/>
      <c r="M26" s="3162"/>
      <c r="N26" s="3134"/>
      <c r="O26" s="3134"/>
      <c r="P26" s="3030"/>
      <c r="Q26" s="3180"/>
      <c r="R26" s="3208"/>
      <c r="S26" s="3030"/>
      <c r="T26" s="3205"/>
      <c r="U26" s="3139"/>
      <c r="V26" s="1848">
        <f>0+67614483</f>
        <v>67614483</v>
      </c>
      <c r="W26" s="1288">
        <v>83</v>
      </c>
      <c r="X26" s="1284" t="s">
        <v>567</v>
      </c>
      <c r="Y26" s="3211"/>
      <c r="Z26" s="3134"/>
      <c r="AA26" s="3145"/>
      <c r="AB26" s="3145"/>
      <c r="AC26" s="3145"/>
      <c r="AD26" s="3145"/>
      <c r="AE26" s="3145"/>
      <c r="AF26" s="3145"/>
      <c r="AG26" s="3145"/>
      <c r="AH26" s="3145"/>
      <c r="AI26" s="3145"/>
      <c r="AJ26" s="3145"/>
      <c r="AK26" s="1516"/>
      <c r="AL26" s="1516"/>
      <c r="AM26" s="1516"/>
      <c r="AN26" s="3145"/>
      <c r="AO26" s="3168"/>
      <c r="AP26" s="3168"/>
      <c r="AQ26" s="3145"/>
    </row>
    <row r="27" spans="1:43" s="404" customFormat="1" ht="27.75" customHeight="1" x14ac:dyDescent="0.2">
      <c r="A27" s="889"/>
      <c r="B27" s="1047"/>
      <c r="C27" s="1048"/>
      <c r="D27" s="889"/>
      <c r="E27" s="1047"/>
      <c r="F27" s="1048"/>
      <c r="G27" s="876">
        <v>30</v>
      </c>
      <c r="H27" s="3148" t="s">
        <v>574</v>
      </c>
      <c r="I27" s="3149"/>
      <c r="J27" s="3149"/>
      <c r="K27" s="3149"/>
      <c r="L27" s="1049"/>
      <c r="M27" s="1050"/>
      <c r="N27" s="1896"/>
      <c r="O27" s="1051"/>
      <c r="P27" s="1049"/>
      <c r="Q27" s="1051"/>
      <c r="R27" s="1052"/>
      <c r="S27" s="1049"/>
      <c r="T27" s="1049"/>
      <c r="U27" s="1049"/>
      <c r="V27" s="1886"/>
      <c r="W27" s="1289"/>
      <c r="X27" s="1290"/>
      <c r="Y27" s="1051"/>
      <c r="Z27" s="1051"/>
      <c r="AA27" s="1051"/>
      <c r="AB27" s="1051"/>
      <c r="AC27" s="1051"/>
      <c r="AD27" s="1051"/>
      <c r="AE27" s="1051"/>
      <c r="AF27" s="1051"/>
      <c r="AG27" s="1051"/>
      <c r="AH27" s="1051"/>
      <c r="AI27" s="1051"/>
      <c r="AJ27" s="1051"/>
      <c r="AK27" s="1051"/>
      <c r="AL27" s="1051"/>
      <c r="AM27" s="1051"/>
      <c r="AN27" s="1051"/>
      <c r="AO27" s="1051"/>
      <c r="AP27" s="1051"/>
      <c r="AQ27" s="877"/>
    </row>
    <row r="28" spans="1:43" s="404" customFormat="1" ht="27" customHeight="1" x14ac:dyDescent="0.2">
      <c r="A28" s="889"/>
      <c r="B28" s="1047"/>
      <c r="C28" s="1048"/>
      <c r="D28" s="889"/>
      <c r="E28" s="1047"/>
      <c r="F28" s="1048"/>
      <c r="G28" s="425"/>
      <c r="H28" s="3154"/>
      <c r="I28" s="3155"/>
      <c r="J28" s="3156">
        <v>117</v>
      </c>
      <c r="K28" s="3029" t="s">
        <v>575</v>
      </c>
      <c r="L28" s="3029" t="s">
        <v>552</v>
      </c>
      <c r="M28" s="3160">
        <v>1</v>
      </c>
      <c r="N28" s="2842" t="s">
        <v>576</v>
      </c>
      <c r="O28" s="2842">
        <v>47</v>
      </c>
      <c r="P28" s="3029" t="s">
        <v>577</v>
      </c>
      <c r="Q28" s="3135">
        <f>(V28+V29+V30)/R28</f>
        <v>1</v>
      </c>
      <c r="R28" s="3163">
        <f>V28+V30</f>
        <v>79500000</v>
      </c>
      <c r="S28" s="3029" t="s">
        <v>578</v>
      </c>
      <c r="T28" s="3029" t="s">
        <v>579</v>
      </c>
      <c r="U28" s="3212" t="s">
        <v>580</v>
      </c>
      <c r="V28" s="3214">
        <f>75525000-5525000</f>
        <v>70000000</v>
      </c>
      <c r="W28" s="3213">
        <v>20</v>
      </c>
      <c r="X28" s="2842" t="s">
        <v>275</v>
      </c>
      <c r="Y28" s="2842">
        <v>75</v>
      </c>
      <c r="Z28" s="2842">
        <v>75</v>
      </c>
      <c r="AA28" s="3143">
        <v>0</v>
      </c>
      <c r="AB28" s="3143">
        <v>0</v>
      </c>
      <c r="AC28" s="3143">
        <v>150</v>
      </c>
      <c r="AD28" s="3143">
        <v>0</v>
      </c>
      <c r="AE28" s="3143">
        <v>0</v>
      </c>
      <c r="AF28" s="3143">
        <v>0</v>
      </c>
      <c r="AG28" s="3143">
        <v>0</v>
      </c>
      <c r="AH28" s="3143">
        <v>0</v>
      </c>
      <c r="AI28" s="3143">
        <v>0</v>
      </c>
      <c r="AJ28" s="3143">
        <v>0</v>
      </c>
      <c r="AK28" s="1514"/>
      <c r="AL28" s="1514"/>
      <c r="AM28" s="1514"/>
      <c r="AN28" s="3143">
        <f>Y28+Z28</f>
        <v>150</v>
      </c>
      <c r="AO28" s="3166">
        <v>43466</v>
      </c>
      <c r="AP28" s="3166">
        <v>43830</v>
      </c>
      <c r="AQ28" s="3181" t="s">
        <v>558</v>
      </c>
    </row>
    <row r="29" spans="1:43" s="404" customFormat="1" ht="34.5" customHeight="1" x14ac:dyDescent="0.2">
      <c r="A29" s="889"/>
      <c r="B29" s="1047"/>
      <c r="C29" s="1048"/>
      <c r="D29" s="889"/>
      <c r="E29" s="1047"/>
      <c r="F29" s="1048"/>
      <c r="G29" s="425"/>
      <c r="H29" s="3150"/>
      <c r="I29" s="3151"/>
      <c r="J29" s="3157"/>
      <c r="K29" s="3159"/>
      <c r="L29" s="3159"/>
      <c r="M29" s="3161"/>
      <c r="N29" s="2843"/>
      <c r="O29" s="2843"/>
      <c r="P29" s="3159"/>
      <c r="Q29" s="3136"/>
      <c r="R29" s="3164"/>
      <c r="S29" s="3159"/>
      <c r="T29" s="3159"/>
      <c r="U29" s="3212"/>
      <c r="V29" s="3214"/>
      <c r="W29" s="3213"/>
      <c r="X29" s="3134"/>
      <c r="Y29" s="2843"/>
      <c r="Z29" s="2843"/>
      <c r="AA29" s="3144"/>
      <c r="AB29" s="3144"/>
      <c r="AC29" s="3144"/>
      <c r="AD29" s="3144"/>
      <c r="AE29" s="3144"/>
      <c r="AF29" s="3144"/>
      <c r="AG29" s="3144"/>
      <c r="AH29" s="3144"/>
      <c r="AI29" s="3144"/>
      <c r="AJ29" s="3144"/>
      <c r="AK29" s="1515"/>
      <c r="AL29" s="1515"/>
      <c r="AM29" s="1515"/>
      <c r="AN29" s="3144"/>
      <c r="AO29" s="3167"/>
      <c r="AP29" s="3167"/>
      <c r="AQ29" s="3182"/>
    </row>
    <row r="30" spans="1:43" s="404" customFormat="1" ht="55.5" customHeight="1" x14ac:dyDescent="0.2">
      <c r="A30" s="889"/>
      <c r="B30" s="1047"/>
      <c r="C30" s="1048"/>
      <c r="D30" s="889"/>
      <c r="E30" s="1047"/>
      <c r="F30" s="1048"/>
      <c r="G30" s="425"/>
      <c r="H30" s="3152"/>
      <c r="I30" s="3153"/>
      <c r="J30" s="3158"/>
      <c r="K30" s="3030"/>
      <c r="L30" s="3030"/>
      <c r="M30" s="3162"/>
      <c r="N30" s="3134"/>
      <c r="O30" s="3134"/>
      <c r="P30" s="3030"/>
      <c r="Q30" s="3137"/>
      <c r="R30" s="3165"/>
      <c r="S30" s="3030"/>
      <c r="T30" s="3030"/>
      <c r="U30" s="1527" t="s">
        <v>581</v>
      </c>
      <c r="V30" s="1887">
        <f>3975000+5525000</f>
        <v>9500000</v>
      </c>
      <c r="W30" s="1526">
        <v>20</v>
      </c>
      <c r="X30" s="1661" t="s">
        <v>275</v>
      </c>
      <c r="Y30" s="3134"/>
      <c r="Z30" s="3134"/>
      <c r="AA30" s="3145"/>
      <c r="AB30" s="3145"/>
      <c r="AC30" s="3145"/>
      <c r="AD30" s="3145"/>
      <c r="AE30" s="3145"/>
      <c r="AF30" s="3145"/>
      <c r="AG30" s="3145"/>
      <c r="AH30" s="3145"/>
      <c r="AI30" s="3145"/>
      <c r="AJ30" s="3145"/>
      <c r="AK30" s="1516"/>
      <c r="AL30" s="1516"/>
      <c r="AM30" s="1516"/>
      <c r="AN30" s="3145"/>
      <c r="AO30" s="3168"/>
      <c r="AP30" s="3168"/>
      <c r="AQ30" s="3183"/>
    </row>
    <row r="31" spans="1:43" s="404" customFormat="1" ht="27" customHeight="1" x14ac:dyDescent="0.2">
      <c r="A31" s="889"/>
      <c r="B31" s="1047"/>
      <c r="C31" s="1048"/>
      <c r="D31" s="889"/>
      <c r="E31" s="1047"/>
      <c r="F31" s="1048"/>
      <c r="G31" s="876">
        <v>31</v>
      </c>
      <c r="H31" s="3148" t="s">
        <v>582</v>
      </c>
      <c r="I31" s="3149"/>
      <c r="J31" s="3149"/>
      <c r="K31" s="3149"/>
      <c r="L31" s="1049"/>
      <c r="M31" s="1050"/>
      <c r="N31" s="1896"/>
      <c r="O31" s="1051"/>
      <c r="P31" s="1049"/>
      <c r="Q31" s="1051"/>
      <c r="R31" s="1052"/>
      <c r="S31" s="1049"/>
      <c r="T31" s="1049"/>
      <c r="U31" s="1049"/>
      <c r="V31" s="1888"/>
      <c r="W31" s="1053"/>
      <c r="X31" s="1051"/>
      <c r="Y31" s="1051"/>
      <c r="Z31" s="1051"/>
      <c r="AA31" s="1051"/>
      <c r="AB31" s="1051"/>
      <c r="AC31" s="1051"/>
      <c r="AD31" s="1051"/>
      <c r="AE31" s="1051"/>
      <c r="AF31" s="1051"/>
      <c r="AG31" s="1051"/>
      <c r="AH31" s="1051"/>
      <c r="AI31" s="1051"/>
      <c r="AJ31" s="1051"/>
      <c r="AK31" s="1051"/>
      <c r="AL31" s="1051"/>
      <c r="AM31" s="1051"/>
      <c r="AN31" s="1051"/>
      <c r="AO31" s="1051"/>
      <c r="AP31" s="1051"/>
      <c r="AQ31" s="877"/>
    </row>
    <row r="32" spans="1:43" s="404" customFormat="1" ht="51.75" customHeight="1" x14ac:dyDescent="0.2">
      <c r="A32" s="889"/>
      <c r="B32" s="1047"/>
      <c r="C32" s="1048"/>
      <c r="D32" s="889"/>
      <c r="E32" s="1047"/>
      <c r="F32" s="1048"/>
      <c r="G32" s="425"/>
      <c r="H32" s="3154"/>
      <c r="I32" s="3155"/>
      <c r="J32" s="3156">
        <v>118</v>
      </c>
      <c r="K32" s="3203" t="s">
        <v>583</v>
      </c>
      <c r="L32" s="3029" t="s">
        <v>552</v>
      </c>
      <c r="M32" s="3160">
        <v>4</v>
      </c>
      <c r="N32" s="2842" t="s">
        <v>1764</v>
      </c>
      <c r="O32" s="2842">
        <v>48</v>
      </c>
      <c r="P32" s="3203" t="s">
        <v>584</v>
      </c>
      <c r="Q32" s="3135">
        <f>SUM(V32:V39)/R32</f>
        <v>1</v>
      </c>
      <c r="R32" s="3163">
        <f>SUM(V32:V39)</f>
        <v>245423575</v>
      </c>
      <c r="S32" s="3029" t="s">
        <v>585</v>
      </c>
      <c r="T32" s="3203" t="s">
        <v>586</v>
      </c>
      <c r="U32" s="1527" t="s">
        <v>587</v>
      </c>
      <c r="V32" s="1887">
        <f>21698843-2698843</f>
        <v>19000000</v>
      </c>
      <c r="W32" s="1526">
        <v>34</v>
      </c>
      <c r="X32" s="873" t="s">
        <v>588</v>
      </c>
      <c r="Y32" s="2842">
        <v>50476</v>
      </c>
      <c r="Z32" s="2842">
        <v>50476</v>
      </c>
      <c r="AA32" s="3143">
        <v>42400</v>
      </c>
      <c r="AB32" s="3143">
        <v>30286</v>
      </c>
      <c r="AC32" s="3143">
        <v>18171</v>
      </c>
      <c r="AD32" s="3143">
        <v>10095</v>
      </c>
      <c r="AE32" s="3143">
        <v>0</v>
      </c>
      <c r="AF32" s="3143">
        <v>0</v>
      </c>
      <c r="AG32" s="3143">
        <v>0</v>
      </c>
      <c r="AH32" s="3143">
        <v>0</v>
      </c>
      <c r="AI32" s="3143">
        <v>0</v>
      </c>
      <c r="AJ32" s="3143">
        <v>0</v>
      </c>
      <c r="AK32" s="1514"/>
      <c r="AL32" s="1514"/>
      <c r="AM32" s="1514"/>
      <c r="AN32" s="3143">
        <f>Y32+Z32</f>
        <v>100952</v>
      </c>
      <c r="AO32" s="3166">
        <v>43466</v>
      </c>
      <c r="AP32" s="3166">
        <v>43830</v>
      </c>
      <c r="AQ32" s="3181" t="s">
        <v>558</v>
      </c>
    </row>
    <row r="33" spans="1:43" s="404" customFormat="1" ht="61.5" customHeight="1" x14ac:dyDescent="0.2">
      <c r="A33" s="889"/>
      <c r="B33" s="1047"/>
      <c r="C33" s="1048"/>
      <c r="D33" s="889"/>
      <c r="E33" s="1047"/>
      <c r="F33" s="1048"/>
      <c r="G33" s="425"/>
      <c r="H33" s="3150"/>
      <c r="I33" s="3151"/>
      <c r="J33" s="3157"/>
      <c r="K33" s="3204"/>
      <c r="L33" s="3159"/>
      <c r="M33" s="3161"/>
      <c r="N33" s="2843"/>
      <c r="O33" s="2843"/>
      <c r="P33" s="3204"/>
      <c r="Q33" s="3136"/>
      <c r="R33" s="3164"/>
      <c r="S33" s="3159"/>
      <c r="T33" s="3204"/>
      <c r="U33" s="1527" t="s">
        <v>589</v>
      </c>
      <c r="V33" s="1887">
        <f>11283398-1283398</f>
        <v>10000000</v>
      </c>
      <c r="W33" s="1526">
        <v>34</v>
      </c>
      <c r="X33" s="873" t="s">
        <v>588</v>
      </c>
      <c r="Y33" s="2843"/>
      <c r="Z33" s="2843"/>
      <c r="AA33" s="3144"/>
      <c r="AB33" s="3144"/>
      <c r="AC33" s="3144"/>
      <c r="AD33" s="3144"/>
      <c r="AE33" s="3144"/>
      <c r="AF33" s="3144"/>
      <c r="AG33" s="3144"/>
      <c r="AH33" s="3144"/>
      <c r="AI33" s="3144"/>
      <c r="AJ33" s="3144"/>
      <c r="AK33" s="1515"/>
      <c r="AL33" s="1515"/>
      <c r="AM33" s="1515"/>
      <c r="AN33" s="3144"/>
      <c r="AO33" s="3167"/>
      <c r="AP33" s="3167"/>
      <c r="AQ33" s="3182"/>
    </row>
    <row r="34" spans="1:43" s="404" customFormat="1" ht="40.5" customHeight="1" x14ac:dyDescent="0.2">
      <c r="A34" s="889"/>
      <c r="B34" s="1047"/>
      <c r="C34" s="1048"/>
      <c r="D34" s="889"/>
      <c r="E34" s="1047"/>
      <c r="F34" s="1048"/>
      <c r="G34" s="425"/>
      <c r="H34" s="3150"/>
      <c r="I34" s="3151"/>
      <c r="J34" s="3157"/>
      <c r="K34" s="3204"/>
      <c r="L34" s="3159"/>
      <c r="M34" s="3161"/>
      <c r="N34" s="2843"/>
      <c r="O34" s="2843"/>
      <c r="P34" s="3204"/>
      <c r="Q34" s="3136"/>
      <c r="R34" s="3164"/>
      <c r="S34" s="3159"/>
      <c r="T34" s="3204"/>
      <c r="U34" s="1527" t="s">
        <v>590</v>
      </c>
      <c r="V34" s="1887">
        <f>26906565-26906565</f>
        <v>0</v>
      </c>
      <c r="W34" s="1526">
        <v>34</v>
      </c>
      <c r="X34" s="873" t="s">
        <v>588</v>
      </c>
      <c r="Y34" s="2843"/>
      <c r="Z34" s="2843"/>
      <c r="AA34" s="3144"/>
      <c r="AB34" s="3144"/>
      <c r="AC34" s="3144"/>
      <c r="AD34" s="3144"/>
      <c r="AE34" s="3144"/>
      <c r="AF34" s="3144"/>
      <c r="AG34" s="3144"/>
      <c r="AH34" s="3144"/>
      <c r="AI34" s="3144"/>
      <c r="AJ34" s="3144"/>
      <c r="AK34" s="1515"/>
      <c r="AL34" s="1515"/>
      <c r="AM34" s="1515"/>
      <c r="AN34" s="3144"/>
      <c r="AO34" s="3167"/>
      <c r="AP34" s="3167"/>
      <c r="AQ34" s="3182"/>
    </row>
    <row r="35" spans="1:43" s="404" customFormat="1" ht="48" customHeight="1" x14ac:dyDescent="0.2">
      <c r="A35" s="889"/>
      <c r="B35" s="1047"/>
      <c r="C35" s="1048"/>
      <c r="D35" s="889"/>
      <c r="E35" s="1047"/>
      <c r="F35" s="1048"/>
      <c r="G35" s="425"/>
      <c r="H35" s="3150"/>
      <c r="I35" s="3151"/>
      <c r="J35" s="3157"/>
      <c r="K35" s="3204"/>
      <c r="L35" s="3159"/>
      <c r="M35" s="3161"/>
      <c r="N35" s="2843"/>
      <c r="O35" s="2843"/>
      <c r="P35" s="3204"/>
      <c r="Q35" s="3136"/>
      <c r="R35" s="3164"/>
      <c r="S35" s="3159"/>
      <c r="T35" s="3205"/>
      <c r="U35" s="1527" t="s">
        <v>591</v>
      </c>
      <c r="V35" s="1887">
        <f>21698843-7698843</f>
        <v>14000000</v>
      </c>
      <c r="W35" s="1526">
        <v>34</v>
      </c>
      <c r="X35" s="873" t="s">
        <v>588</v>
      </c>
      <c r="Y35" s="2843"/>
      <c r="Z35" s="2843"/>
      <c r="AA35" s="3144"/>
      <c r="AB35" s="3144"/>
      <c r="AC35" s="3144"/>
      <c r="AD35" s="3144"/>
      <c r="AE35" s="3144"/>
      <c r="AF35" s="3144"/>
      <c r="AG35" s="3144"/>
      <c r="AH35" s="3144"/>
      <c r="AI35" s="3144"/>
      <c r="AJ35" s="3144"/>
      <c r="AK35" s="1515"/>
      <c r="AL35" s="1515"/>
      <c r="AM35" s="1515"/>
      <c r="AN35" s="3144"/>
      <c r="AO35" s="3167"/>
      <c r="AP35" s="3167"/>
      <c r="AQ35" s="3182"/>
    </row>
    <row r="36" spans="1:43" s="404" customFormat="1" ht="75.75" customHeight="1" x14ac:dyDescent="0.2">
      <c r="A36" s="889"/>
      <c r="B36" s="1047"/>
      <c r="C36" s="1048"/>
      <c r="D36" s="889"/>
      <c r="E36" s="1047"/>
      <c r="F36" s="1048"/>
      <c r="G36" s="425"/>
      <c r="H36" s="3150"/>
      <c r="I36" s="3151"/>
      <c r="J36" s="3157"/>
      <c r="K36" s="3204"/>
      <c r="L36" s="3159"/>
      <c r="M36" s="3161"/>
      <c r="N36" s="2843"/>
      <c r="O36" s="2843"/>
      <c r="P36" s="3204"/>
      <c r="Q36" s="3136"/>
      <c r="R36" s="3164"/>
      <c r="S36" s="3159"/>
      <c r="T36" s="1524"/>
      <c r="U36" s="1519" t="s">
        <v>592</v>
      </c>
      <c r="V36" s="1883">
        <f>0+28350000</f>
        <v>28350000</v>
      </c>
      <c r="W36" s="1526">
        <v>159</v>
      </c>
      <c r="X36" s="873" t="s">
        <v>593</v>
      </c>
      <c r="Y36" s="2843"/>
      <c r="Z36" s="2843"/>
      <c r="AA36" s="3144"/>
      <c r="AB36" s="3144"/>
      <c r="AC36" s="3144"/>
      <c r="AD36" s="3144"/>
      <c r="AE36" s="3144"/>
      <c r="AF36" s="3144"/>
      <c r="AG36" s="3144"/>
      <c r="AH36" s="3144"/>
      <c r="AI36" s="3144"/>
      <c r="AJ36" s="3144"/>
      <c r="AK36" s="1515"/>
      <c r="AL36" s="1515"/>
      <c r="AM36" s="1515"/>
      <c r="AN36" s="3144"/>
      <c r="AO36" s="3167"/>
      <c r="AP36" s="3167"/>
      <c r="AQ36" s="3182"/>
    </row>
    <row r="37" spans="1:43" s="404" customFormat="1" ht="42" customHeight="1" x14ac:dyDescent="0.2">
      <c r="A37" s="889"/>
      <c r="B37" s="1047"/>
      <c r="C37" s="1048"/>
      <c r="D37" s="889"/>
      <c r="E37" s="1047"/>
      <c r="F37" s="1048"/>
      <c r="G37" s="425"/>
      <c r="H37" s="3150"/>
      <c r="I37" s="3151"/>
      <c r="J37" s="3157"/>
      <c r="K37" s="3204"/>
      <c r="L37" s="3159"/>
      <c r="M37" s="3161"/>
      <c r="N37" s="2843"/>
      <c r="O37" s="2843"/>
      <c r="P37" s="3204"/>
      <c r="Q37" s="3136"/>
      <c r="R37" s="3164"/>
      <c r="S37" s="3159"/>
      <c r="T37" s="3203" t="s">
        <v>594</v>
      </c>
      <c r="U37" s="3029" t="s">
        <v>595</v>
      </c>
      <c r="V37" s="1883">
        <f>26038612-8482831</f>
        <v>17555781</v>
      </c>
      <c r="W37" s="1526">
        <v>34</v>
      </c>
      <c r="X37" s="873" t="s">
        <v>596</v>
      </c>
      <c r="Y37" s="2843"/>
      <c r="Z37" s="2843"/>
      <c r="AA37" s="3144"/>
      <c r="AB37" s="3144"/>
      <c r="AC37" s="3144"/>
      <c r="AD37" s="3144"/>
      <c r="AE37" s="3144"/>
      <c r="AF37" s="3144"/>
      <c r="AG37" s="3144"/>
      <c r="AH37" s="3144"/>
      <c r="AI37" s="3144"/>
      <c r="AJ37" s="3144"/>
      <c r="AK37" s="1515"/>
      <c r="AL37" s="1515"/>
      <c r="AM37" s="1515"/>
      <c r="AN37" s="3144"/>
      <c r="AO37" s="3167"/>
      <c r="AP37" s="3167"/>
      <c r="AQ37" s="3182"/>
    </row>
    <row r="38" spans="1:43" s="404" customFormat="1" ht="42" customHeight="1" x14ac:dyDescent="0.2">
      <c r="A38" s="889"/>
      <c r="B38" s="1047"/>
      <c r="C38" s="1048"/>
      <c r="D38" s="889"/>
      <c r="E38" s="1047"/>
      <c r="F38" s="1048"/>
      <c r="G38" s="425"/>
      <c r="H38" s="3150"/>
      <c r="I38" s="3151"/>
      <c r="J38" s="3157"/>
      <c r="K38" s="3204"/>
      <c r="L38" s="3159"/>
      <c r="M38" s="3161"/>
      <c r="N38" s="2843"/>
      <c r="O38" s="2843"/>
      <c r="P38" s="3204"/>
      <c r="Q38" s="3136"/>
      <c r="R38" s="3164"/>
      <c r="S38" s="3159"/>
      <c r="T38" s="3204"/>
      <c r="U38" s="3030"/>
      <c r="V38" s="1883">
        <f>0+43482831</f>
        <v>43482831</v>
      </c>
      <c r="W38" s="1526">
        <v>83</v>
      </c>
      <c r="X38" s="873" t="s">
        <v>597</v>
      </c>
      <c r="Y38" s="2843"/>
      <c r="Z38" s="2843"/>
      <c r="AA38" s="3144"/>
      <c r="AB38" s="3144"/>
      <c r="AC38" s="3144"/>
      <c r="AD38" s="3144"/>
      <c r="AE38" s="3144"/>
      <c r="AF38" s="3144"/>
      <c r="AG38" s="3144"/>
      <c r="AH38" s="3144"/>
      <c r="AI38" s="3144"/>
      <c r="AJ38" s="3144"/>
      <c r="AK38" s="1515"/>
      <c r="AL38" s="1515"/>
      <c r="AM38" s="1515"/>
      <c r="AN38" s="3144"/>
      <c r="AO38" s="3167"/>
      <c r="AP38" s="3167"/>
      <c r="AQ38" s="3182"/>
    </row>
    <row r="39" spans="1:43" s="404" customFormat="1" ht="59.25" customHeight="1" x14ac:dyDescent="0.2">
      <c r="A39" s="889"/>
      <c r="B39" s="1047"/>
      <c r="C39" s="1048"/>
      <c r="D39" s="889"/>
      <c r="E39" s="1047"/>
      <c r="F39" s="1048"/>
      <c r="G39" s="425"/>
      <c r="H39" s="3152"/>
      <c r="I39" s="3153"/>
      <c r="J39" s="3158"/>
      <c r="K39" s="3205"/>
      <c r="L39" s="3030"/>
      <c r="M39" s="3162"/>
      <c r="N39" s="3134"/>
      <c r="O39" s="3134"/>
      <c r="P39" s="3205"/>
      <c r="Q39" s="3137"/>
      <c r="R39" s="3165"/>
      <c r="S39" s="3030"/>
      <c r="T39" s="3205"/>
      <c r="U39" s="1519" t="s">
        <v>598</v>
      </c>
      <c r="V39" s="1883">
        <f>65964483+47070480</f>
        <v>113034963</v>
      </c>
      <c r="W39" s="1526">
        <v>34</v>
      </c>
      <c r="X39" s="873" t="s">
        <v>588</v>
      </c>
      <c r="Y39" s="3134"/>
      <c r="Z39" s="3134"/>
      <c r="AA39" s="3145"/>
      <c r="AB39" s="3145"/>
      <c r="AC39" s="3145"/>
      <c r="AD39" s="3145"/>
      <c r="AE39" s="3145"/>
      <c r="AF39" s="3145"/>
      <c r="AG39" s="3145"/>
      <c r="AH39" s="3145"/>
      <c r="AI39" s="3145"/>
      <c r="AJ39" s="3145"/>
      <c r="AK39" s="1516"/>
      <c r="AL39" s="1516"/>
      <c r="AM39" s="1516"/>
      <c r="AN39" s="3145"/>
      <c r="AO39" s="3168"/>
      <c r="AP39" s="3168"/>
      <c r="AQ39" s="3183"/>
    </row>
    <row r="40" spans="1:43" s="404" customFormat="1" ht="27" customHeight="1" x14ac:dyDescent="0.25">
      <c r="A40" s="1054"/>
      <c r="B40" s="1570"/>
      <c r="C40" s="1055"/>
      <c r="D40" s="1056">
        <v>10</v>
      </c>
      <c r="E40" s="3146" t="s">
        <v>599</v>
      </c>
      <c r="F40" s="3147"/>
      <c r="G40" s="3147"/>
      <c r="H40" s="3147"/>
      <c r="I40" s="3147"/>
      <c r="J40" s="3147"/>
      <c r="K40" s="3147"/>
      <c r="L40" s="1057"/>
      <c r="M40" s="1058"/>
      <c r="N40" s="1897"/>
      <c r="O40" s="1059"/>
      <c r="P40" s="1057"/>
      <c r="Q40" s="1059"/>
      <c r="R40" s="1060"/>
      <c r="S40" s="1057"/>
      <c r="T40" s="1057"/>
      <c r="U40" s="1057"/>
      <c r="V40" s="1889"/>
      <c r="W40" s="1061"/>
      <c r="X40" s="1059"/>
      <c r="Y40" s="1059"/>
      <c r="Z40" s="1059"/>
      <c r="AA40" s="1059"/>
      <c r="AB40" s="1059"/>
      <c r="AC40" s="1059"/>
      <c r="AD40" s="1059"/>
      <c r="AE40" s="1059"/>
      <c r="AF40" s="1059"/>
      <c r="AG40" s="1059"/>
      <c r="AH40" s="1059"/>
      <c r="AI40" s="1059"/>
      <c r="AJ40" s="1059"/>
      <c r="AK40" s="1059"/>
      <c r="AL40" s="1059"/>
      <c r="AM40" s="1059"/>
      <c r="AN40" s="1059"/>
      <c r="AO40" s="1059"/>
      <c r="AP40" s="1059"/>
      <c r="AQ40" s="1062"/>
    </row>
    <row r="41" spans="1:43" s="404" customFormat="1" ht="27" customHeight="1" x14ac:dyDescent="0.25">
      <c r="A41" s="1063"/>
      <c r="B41" s="1571"/>
      <c r="C41" s="1571"/>
      <c r="D41" s="1054"/>
      <c r="E41" s="1064"/>
      <c r="F41" s="1055"/>
      <c r="G41" s="876">
        <v>32</v>
      </c>
      <c r="H41" s="3148" t="s">
        <v>600</v>
      </c>
      <c r="I41" s="3149"/>
      <c r="J41" s="3149"/>
      <c r="K41" s="3149"/>
      <c r="L41" s="3149"/>
      <c r="M41" s="1065"/>
      <c r="N41" s="1898"/>
      <c r="O41" s="1066"/>
      <c r="P41" s="1046"/>
      <c r="Q41" s="1066"/>
      <c r="R41" s="1067"/>
      <c r="S41" s="1046"/>
      <c r="T41" s="1046"/>
      <c r="U41" s="1046"/>
      <c r="V41" s="1890"/>
      <c r="W41" s="1068"/>
      <c r="X41" s="1066"/>
      <c r="Y41" s="1066"/>
      <c r="Z41" s="1066"/>
      <c r="AA41" s="1066"/>
      <c r="AB41" s="1066"/>
      <c r="AC41" s="1066"/>
      <c r="AD41" s="1066"/>
      <c r="AE41" s="1066"/>
      <c r="AF41" s="1066"/>
      <c r="AG41" s="1066"/>
      <c r="AH41" s="1066"/>
      <c r="AI41" s="1066"/>
      <c r="AJ41" s="1066"/>
      <c r="AK41" s="1066"/>
      <c r="AL41" s="1066"/>
      <c r="AM41" s="1066"/>
      <c r="AN41" s="1066"/>
      <c r="AO41" s="1066"/>
      <c r="AP41" s="1066"/>
      <c r="AQ41" s="1069"/>
    </row>
    <row r="42" spans="1:43" s="404" customFormat="1" ht="48" customHeight="1" x14ac:dyDescent="0.2">
      <c r="A42" s="889"/>
      <c r="B42" s="1047"/>
      <c r="C42" s="1047"/>
      <c r="D42" s="889"/>
      <c r="E42" s="3150"/>
      <c r="F42" s="3151"/>
      <c r="G42" s="425"/>
      <c r="H42" s="3154"/>
      <c r="I42" s="3155"/>
      <c r="J42" s="3156">
        <v>119</v>
      </c>
      <c r="K42" s="3029" t="s">
        <v>601</v>
      </c>
      <c r="L42" s="3029" t="s">
        <v>552</v>
      </c>
      <c r="M42" s="3160">
        <v>7</v>
      </c>
      <c r="N42" s="2842" t="s">
        <v>602</v>
      </c>
      <c r="O42" s="2842">
        <v>49</v>
      </c>
      <c r="P42" s="3029" t="s">
        <v>603</v>
      </c>
      <c r="Q42" s="3135">
        <f>SUM(V42:V48)/R42</f>
        <v>1</v>
      </c>
      <c r="R42" s="3163">
        <f>SUM(V42:V48)</f>
        <v>542559393</v>
      </c>
      <c r="S42" s="3029" t="s">
        <v>604</v>
      </c>
      <c r="T42" s="3029" t="s">
        <v>605</v>
      </c>
      <c r="U42" s="3029" t="s">
        <v>606</v>
      </c>
      <c r="V42" s="1887">
        <f>175000000-8217634</f>
        <v>166782366</v>
      </c>
      <c r="W42" s="1526">
        <v>47</v>
      </c>
      <c r="X42" s="873" t="s">
        <v>607</v>
      </c>
      <c r="Y42" s="2842">
        <v>85278</v>
      </c>
      <c r="Z42" s="2842">
        <v>85277</v>
      </c>
      <c r="AA42" s="3143">
        <v>17056</v>
      </c>
      <c r="AB42" s="3143">
        <v>34111</v>
      </c>
      <c r="AC42" s="3143">
        <v>85278</v>
      </c>
      <c r="AD42" s="3143">
        <v>25582</v>
      </c>
      <c r="AE42" s="3143">
        <v>4263.875</v>
      </c>
      <c r="AF42" s="3143">
        <v>4263.875</v>
      </c>
      <c r="AG42" s="3143">
        <v>0</v>
      </c>
      <c r="AH42" s="3143">
        <v>0</v>
      </c>
      <c r="AI42" s="3143">
        <v>0</v>
      </c>
      <c r="AJ42" s="3143">
        <v>0</v>
      </c>
      <c r="AK42" s="1514"/>
      <c r="AL42" s="1514"/>
      <c r="AM42" s="1514"/>
      <c r="AN42" s="3143">
        <f>Y42+Z42</f>
        <v>170555</v>
      </c>
      <c r="AO42" s="3166">
        <v>43466</v>
      </c>
      <c r="AP42" s="3166">
        <v>43830</v>
      </c>
      <c r="AQ42" s="3181" t="s">
        <v>558</v>
      </c>
    </row>
    <row r="43" spans="1:43" s="404" customFormat="1" ht="48" customHeight="1" x14ac:dyDescent="0.2">
      <c r="A43" s="889"/>
      <c r="B43" s="1047"/>
      <c r="C43" s="1047"/>
      <c r="D43" s="889"/>
      <c r="E43" s="3150"/>
      <c r="F43" s="3151"/>
      <c r="G43" s="425"/>
      <c r="H43" s="3150"/>
      <c r="I43" s="3151"/>
      <c r="J43" s="3157"/>
      <c r="K43" s="3159"/>
      <c r="L43" s="3159"/>
      <c r="M43" s="3161"/>
      <c r="N43" s="2843"/>
      <c r="O43" s="2843"/>
      <c r="P43" s="3159"/>
      <c r="Q43" s="3136"/>
      <c r="R43" s="3164"/>
      <c r="S43" s="3159"/>
      <c r="T43" s="3159"/>
      <c r="U43" s="3159"/>
      <c r="V43" s="1891">
        <v>61380526</v>
      </c>
      <c r="W43" s="1568">
        <v>20</v>
      </c>
      <c r="X43" s="1661" t="s">
        <v>608</v>
      </c>
      <c r="Y43" s="2843"/>
      <c r="Z43" s="2843"/>
      <c r="AA43" s="3144"/>
      <c r="AB43" s="3144"/>
      <c r="AC43" s="3144"/>
      <c r="AD43" s="3144"/>
      <c r="AE43" s="3144"/>
      <c r="AF43" s="3144"/>
      <c r="AG43" s="3144"/>
      <c r="AH43" s="3144"/>
      <c r="AI43" s="3144"/>
      <c r="AJ43" s="3144"/>
      <c r="AK43" s="1515"/>
      <c r="AL43" s="1515"/>
      <c r="AM43" s="1515"/>
      <c r="AN43" s="3144"/>
      <c r="AO43" s="3167"/>
      <c r="AP43" s="3167"/>
      <c r="AQ43" s="3182"/>
    </row>
    <row r="44" spans="1:43" s="404" customFormat="1" ht="51" customHeight="1" x14ac:dyDescent="0.2">
      <c r="A44" s="889"/>
      <c r="B44" s="1047"/>
      <c r="C44" s="1047"/>
      <c r="D44" s="889"/>
      <c r="E44" s="3150"/>
      <c r="F44" s="3151"/>
      <c r="G44" s="425"/>
      <c r="H44" s="3150"/>
      <c r="I44" s="3151"/>
      <c r="J44" s="3157"/>
      <c r="K44" s="3159"/>
      <c r="L44" s="3159"/>
      <c r="M44" s="3161"/>
      <c r="N44" s="2843"/>
      <c r="O44" s="2843"/>
      <c r="P44" s="3159"/>
      <c r="Q44" s="3136"/>
      <c r="R44" s="3164"/>
      <c r="S44" s="3159"/>
      <c r="T44" s="3159"/>
      <c r="U44" s="3169"/>
      <c r="V44" s="1892">
        <f>0+219596501</f>
        <v>219596501</v>
      </c>
      <c r="W44" s="1286">
        <v>93</v>
      </c>
      <c r="X44" s="1662" t="s">
        <v>609</v>
      </c>
      <c r="Y44" s="3210"/>
      <c r="Z44" s="2843"/>
      <c r="AA44" s="3144"/>
      <c r="AB44" s="3144"/>
      <c r="AC44" s="3144"/>
      <c r="AD44" s="3144"/>
      <c r="AE44" s="3144"/>
      <c r="AF44" s="3144"/>
      <c r="AG44" s="3144"/>
      <c r="AH44" s="3144"/>
      <c r="AI44" s="3144"/>
      <c r="AJ44" s="3144"/>
      <c r="AK44" s="1515"/>
      <c r="AL44" s="1515"/>
      <c r="AM44" s="1515"/>
      <c r="AN44" s="3144"/>
      <c r="AO44" s="3167"/>
      <c r="AP44" s="3167"/>
      <c r="AQ44" s="3182"/>
    </row>
    <row r="45" spans="1:43" s="404" customFormat="1" ht="46.5" customHeight="1" x14ac:dyDescent="0.2">
      <c r="A45" s="889"/>
      <c r="B45" s="1047"/>
      <c r="C45" s="1047"/>
      <c r="D45" s="889"/>
      <c r="E45" s="3150"/>
      <c r="F45" s="3151"/>
      <c r="G45" s="425"/>
      <c r="H45" s="3150"/>
      <c r="I45" s="3151"/>
      <c r="J45" s="3157"/>
      <c r="K45" s="3159"/>
      <c r="L45" s="3159"/>
      <c r="M45" s="3161"/>
      <c r="N45" s="2843"/>
      <c r="O45" s="2843"/>
      <c r="P45" s="3159"/>
      <c r="Q45" s="3136"/>
      <c r="R45" s="3164"/>
      <c r="S45" s="3159"/>
      <c r="T45" s="3159"/>
      <c r="U45" s="1009" t="s">
        <v>610</v>
      </c>
      <c r="V45" s="1848">
        <v>1000000</v>
      </c>
      <c r="W45" s="1298">
        <v>47</v>
      </c>
      <c r="X45" s="1662" t="s">
        <v>607</v>
      </c>
      <c r="Y45" s="2843"/>
      <c r="Z45" s="2843"/>
      <c r="AA45" s="3144"/>
      <c r="AB45" s="3144"/>
      <c r="AC45" s="3144"/>
      <c r="AD45" s="3144"/>
      <c r="AE45" s="3144"/>
      <c r="AF45" s="3144"/>
      <c r="AG45" s="3144"/>
      <c r="AH45" s="3144"/>
      <c r="AI45" s="3144"/>
      <c r="AJ45" s="3144"/>
      <c r="AK45" s="1515"/>
      <c r="AL45" s="1515"/>
      <c r="AM45" s="1515"/>
      <c r="AN45" s="3144"/>
      <c r="AO45" s="3167"/>
      <c r="AP45" s="3167"/>
      <c r="AQ45" s="3182"/>
    </row>
    <row r="46" spans="1:43" s="404" customFormat="1" ht="48" customHeight="1" x14ac:dyDescent="0.2">
      <c r="A46" s="889"/>
      <c r="B46" s="1047"/>
      <c r="C46" s="1047"/>
      <c r="D46" s="889"/>
      <c r="E46" s="3150"/>
      <c r="F46" s="3151"/>
      <c r="G46" s="425"/>
      <c r="H46" s="3150"/>
      <c r="I46" s="3151"/>
      <c r="J46" s="3157"/>
      <c r="K46" s="3159"/>
      <c r="L46" s="3159"/>
      <c r="M46" s="3161"/>
      <c r="N46" s="2843"/>
      <c r="O46" s="2843"/>
      <c r="P46" s="3159"/>
      <c r="Q46" s="3136"/>
      <c r="R46" s="3164"/>
      <c r="S46" s="3159"/>
      <c r="T46" s="3030"/>
      <c r="U46" s="413" t="s">
        <v>611</v>
      </c>
      <c r="V46" s="1884">
        <f>33800000+5613000</f>
        <v>39413000</v>
      </c>
      <c r="W46" s="1526">
        <v>20</v>
      </c>
      <c r="X46" s="1662" t="s">
        <v>608</v>
      </c>
      <c r="Y46" s="2843"/>
      <c r="Z46" s="2843"/>
      <c r="AA46" s="3144"/>
      <c r="AB46" s="3144"/>
      <c r="AC46" s="3144"/>
      <c r="AD46" s="3144"/>
      <c r="AE46" s="3144"/>
      <c r="AF46" s="3144"/>
      <c r="AG46" s="3144"/>
      <c r="AH46" s="3144"/>
      <c r="AI46" s="3144"/>
      <c r="AJ46" s="3144"/>
      <c r="AK46" s="1515"/>
      <c r="AL46" s="1515"/>
      <c r="AM46" s="1515"/>
      <c r="AN46" s="3144"/>
      <c r="AO46" s="3167"/>
      <c r="AP46" s="3167"/>
      <c r="AQ46" s="3182"/>
    </row>
    <row r="47" spans="1:43" s="404" customFormat="1" ht="33" customHeight="1" x14ac:dyDescent="0.2">
      <c r="A47" s="889"/>
      <c r="B47" s="1047"/>
      <c r="C47" s="1047"/>
      <c r="D47" s="889"/>
      <c r="E47" s="3150"/>
      <c r="F47" s="3151"/>
      <c r="G47" s="425"/>
      <c r="H47" s="3150"/>
      <c r="I47" s="3151"/>
      <c r="J47" s="3157"/>
      <c r="K47" s="3159"/>
      <c r="L47" s="3159"/>
      <c r="M47" s="3161"/>
      <c r="N47" s="2843"/>
      <c r="O47" s="2843"/>
      <c r="P47" s="3159"/>
      <c r="Q47" s="3136"/>
      <c r="R47" s="3164"/>
      <c r="S47" s="3159"/>
      <c r="T47" s="3029" t="s">
        <v>612</v>
      </c>
      <c r="U47" s="3029" t="s">
        <v>613</v>
      </c>
      <c r="V47" s="1891">
        <f>54000000-5613000</f>
        <v>48387000</v>
      </c>
      <c r="W47" s="1526">
        <v>20</v>
      </c>
      <c r="X47" s="1662" t="s">
        <v>608</v>
      </c>
      <c r="Y47" s="2843"/>
      <c r="Z47" s="2843"/>
      <c r="AA47" s="3144"/>
      <c r="AB47" s="3144"/>
      <c r="AC47" s="3144"/>
      <c r="AD47" s="3144"/>
      <c r="AE47" s="3144"/>
      <c r="AF47" s="3144"/>
      <c r="AG47" s="3144"/>
      <c r="AH47" s="3144"/>
      <c r="AI47" s="3144"/>
      <c r="AJ47" s="3144"/>
      <c r="AK47" s="1515"/>
      <c r="AL47" s="1515"/>
      <c r="AM47" s="1515"/>
      <c r="AN47" s="3144"/>
      <c r="AO47" s="3167"/>
      <c r="AP47" s="3167"/>
      <c r="AQ47" s="3182"/>
    </row>
    <row r="48" spans="1:43" s="404" customFormat="1" ht="37.5" customHeight="1" x14ac:dyDescent="0.2">
      <c r="A48" s="889"/>
      <c r="B48" s="1047"/>
      <c r="C48" s="1047"/>
      <c r="D48" s="889"/>
      <c r="E48" s="3150"/>
      <c r="F48" s="3151"/>
      <c r="G48" s="425"/>
      <c r="H48" s="3152"/>
      <c r="I48" s="3153"/>
      <c r="J48" s="3158"/>
      <c r="K48" s="3030"/>
      <c r="L48" s="3030"/>
      <c r="M48" s="3162"/>
      <c r="N48" s="3134"/>
      <c r="O48" s="3134"/>
      <c r="P48" s="3030"/>
      <c r="Q48" s="3137"/>
      <c r="R48" s="3165"/>
      <c r="S48" s="3030"/>
      <c r="T48" s="3030"/>
      <c r="U48" s="3030"/>
      <c r="V48" s="1891">
        <v>6000000</v>
      </c>
      <c r="W48" s="1526">
        <v>47</v>
      </c>
      <c r="X48" s="1503" t="s">
        <v>614</v>
      </c>
      <c r="Y48" s="3134"/>
      <c r="Z48" s="3134"/>
      <c r="AA48" s="3145"/>
      <c r="AB48" s="3145"/>
      <c r="AC48" s="3145"/>
      <c r="AD48" s="3145"/>
      <c r="AE48" s="3145"/>
      <c r="AF48" s="3145"/>
      <c r="AG48" s="3145"/>
      <c r="AH48" s="3145"/>
      <c r="AI48" s="3145"/>
      <c r="AJ48" s="3145"/>
      <c r="AK48" s="1516"/>
      <c r="AL48" s="1516"/>
      <c r="AM48" s="1516"/>
      <c r="AN48" s="3145"/>
      <c r="AO48" s="3168"/>
      <c r="AP48" s="3168"/>
      <c r="AQ48" s="3183"/>
    </row>
    <row r="49" spans="1:43" s="404" customFormat="1" ht="27" customHeight="1" x14ac:dyDescent="0.2">
      <c r="A49" s="1521"/>
      <c r="B49" s="1656"/>
      <c r="C49" s="1656"/>
      <c r="D49" s="1521"/>
      <c r="E49" s="3150"/>
      <c r="F49" s="3151"/>
      <c r="G49" s="876">
        <v>32</v>
      </c>
      <c r="H49" s="3148" t="s">
        <v>600</v>
      </c>
      <c r="I49" s="3149"/>
      <c r="J49" s="3149"/>
      <c r="K49" s="3149"/>
      <c r="L49" s="3149"/>
      <c r="M49" s="1050"/>
      <c r="N49" s="1896"/>
      <c r="O49" s="1051"/>
      <c r="P49" s="1049"/>
      <c r="Q49" s="1051"/>
      <c r="R49" s="1052"/>
      <c r="S49" s="1049"/>
      <c r="T49" s="1049"/>
      <c r="U49" s="1049"/>
      <c r="V49" s="1893"/>
      <c r="W49" s="1053"/>
      <c r="X49" s="1049"/>
      <c r="Y49" s="1051"/>
      <c r="Z49" s="1051"/>
      <c r="AA49" s="1051"/>
      <c r="AB49" s="1051"/>
      <c r="AC49" s="1051"/>
      <c r="AD49" s="1051"/>
      <c r="AE49" s="1051"/>
      <c r="AF49" s="1051"/>
      <c r="AG49" s="1051"/>
      <c r="AH49" s="1051"/>
      <c r="AI49" s="1051"/>
      <c r="AJ49" s="1051"/>
      <c r="AK49" s="1051"/>
      <c r="AL49" s="1051"/>
      <c r="AM49" s="1051"/>
      <c r="AN49" s="1051"/>
      <c r="AO49" s="1051"/>
      <c r="AP49" s="1051"/>
      <c r="AQ49" s="877"/>
    </row>
    <row r="50" spans="1:43" s="404" customFormat="1" ht="38.25" customHeight="1" x14ac:dyDescent="0.2">
      <c r="A50" s="889"/>
      <c r="B50" s="1047"/>
      <c r="C50" s="1047"/>
      <c r="D50" s="889"/>
      <c r="E50" s="3150"/>
      <c r="F50" s="3151"/>
      <c r="G50" s="425"/>
      <c r="H50" s="3154"/>
      <c r="I50" s="3155"/>
      <c r="J50" s="3156">
        <v>120</v>
      </c>
      <c r="K50" s="2535" t="s">
        <v>615</v>
      </c>
      <c r="L50" s="3029" t="s">
        <v>552</v>
      </c>
      <c r="M50" s="3160">
        <v>2</v>
      </c>
      <c r="N50" s="2842" t="s">
        <v>616</v>
      </c>
      <c r="O50" s="2842">
        <v>50</v>
      </c>
      <c r="P50" s="3029" t="s">
        <v>617</v>
      </c>
      <c r="Q50" s="3135">
        <f>39700000/R50</f>
        <v>0.3324958123953099</v>
      </c>
      <c r="R50" s="3163">
        <f>SUM(V50:V55)</f>
        <v>119400000</v>
      </c>
      <c r="S50" s="3029" t="s">
        <v>618</v>
      </c>
      <c r="T50" s="2674" t="s">
        <v>619</v>
      </c>
      <c r="U50" s="1527" t="s">
        <v>620</v>
      </c>
      <c r="V50" s="1887">
        <f>20000000-7000000</f>
        <v>13000000</v>
      </c>
      <c r="W50" s="1526">
        <v>20</v>
      </c>
      <c r="X50" s="1503" t="s">
        <v>621</v>
      </c>
      <c r="Y50" s="2842">
        <v>142127</v>
      </c>
      <c r="Z50" s="2842">
        <v>142127</v>
      </c>
      <c r="AA50" s="3143">
        <v>85276</v>
      </c>
      <c r="AB50" s="3143">
        <v>85276</v>
      </c>
      <c r="AC50" s="3143">
        <v>99489</v>
      </c>
      <c r="AD50" s="3143">
        <v>14212.7</v>
      </c>
      <c r="AE50" s="3143">
        <v>0</v>
      </c>
      <c r="AF50" s="3143">
        <v>0</v>
      </c>
      <c r="AG50" s="3143">
        <v>0</v>
      </c>
      <c r="AH50" s="3143">
        <v>0</v>
      </c>
      <c r="AI50" s="3143">
        <v>0</v>
      </c>
      <c r="AJ50" s="3143">
        <v>0</v>
      </c>
      <c r="AK50" s="1514"/>
      <c r="AL50" s="1514"/>
      <c r="AM50" s="1514"/>
      <c r="AN50" s="3143">
        <f>Y50+Z50</f>
        <v>284254</v>
      </c>
      <c r="AO50" s="3166">
        <v>43466</v>
      </c>
      <c r="AP50" s="3166">
        <v>43830</v>
      </c>
      <c r="AQ50" s="3181" t="s">
        <v>558</v>
      </c>
    </row>
    <row r="51" spans="1:43" s="404" customFormat="1" ht="38.25" customHeight="1" x14ac:dyDescent="0.2">
      <c r="A51" s="889"/>
      <c r="B51" s="1047"/>
      <c r="C51" s="1047"/>
      <c r="D51" s="889"/>
      <c r="E51" s="3150"/>
      <c r="F51" s="3151"/>
      <c r="G51" s="425"/>
      <c r="H51" s="3150"/>
      <c r="I51" s="3151"/>
      <c r="J51" s="3157"/>
      <c r="K51" s="2530"/>
      <c r="L51" s="3159"/>
      <c r="M51" s="3161"/>
      <c r="N51" s="2843"/>
      <c r="O51" s="2843"/>
      <c r="P51" s="3159"/>
      <c r="Q51" s="3136"/>
      <c r="R51" s="3164"/>
      <c r="S51" s="3159"/>
      <c r="T51" s="2674"/>
      <c r="U51" s="3215" t="s">
        <v>622</v>
      </c>
      <c r="V51" s="1884">
        <v>2484348</v>
      </c>
      <c r="W51" s="1568">
        <v>20</v>
      </c>
      <c r="X51" s="1520" t="s">
        <v>621</v>
      </c>
      <c r="Y51" s="2843"/>
      <c r="Z51" s="2843"/>
      <c r="AA51" s="3144"/>
      <c r="AB51" s="3144"/>
      <c r="AC51" s="3144"/>
      <c r="AD51" s="3144"/>
      <c r="AE51" s="3144"/>
      <c r="AF51" s="3144"/>
      <c r="AG51" s="3144"/>
      <c r="AH51" s="3144"/>
      <c r="AI51" s="3144"/>
      <c r="AJ51" s="3144"/>
      <c r="AK51" s="1515"/>
      <c r="AL51" s="1515"/>
      <c r="AM51" s="1515"/>
      <c r="AN51" s="3144"/>
      <c r="AO51" s="3167"/>
      <c r="AP51" s="3167"/>
      <c r="AQ51" s="3182"/>
    </row>
    <row r="52" spans="1:43" s="404" customFormat="1" ht="45" customHeight="1" x14ac:dyDescent="0.2">
      <c r="A52" s="889"/>
      <c r="B52" s="1047"/>
      <c r="C52" s="1047"/>
      <c r="D52" s="889"/>
      <c r="E52" s="3150"/>
      <c r="F52" s="3151"/>
      <c r="G52" s="425"/>
      <c r="H52" s="3150"/>
      <c r="I52" s="3151"/>
      <c r="J52" s="3157"/>
      <c r="K52" s="2530"/>
      <c r="L52" s="3159"/>
      <c r="M52" s="3161"/>
      <c r="N52" s="2843"/>
      <c r="O52" s="2843"/>
      <c r="P52" s="3159"/>
      <c r="Q52" s="3136"/>
      <c r="R52" s="3164"/>
      <c r="S52" s="3159"/>
      <c r="T52" s="2674"/>
      <c r="U52" s="3139"/>
      <c r="V52" s="1894">
        <f>0+40000000</f>
        <v>40000000</v>
      </c>
      <c r="W52" s="1286">
        <v>88</v>
      </c>
      <c r="X52" s="1628" t="s">
        <v>623</v>
      </c>
      <c r="Y52" s="3210"/>
      <c r="Z52" s="2843"/>
      <c r="AA52" s="3144"/>
      <c r="AB52" s="3144"/>
      <c r="AC52" s="3144"/>
      <c r="AD52" s="3144"/>
      <c r="AE52" s="3144"/>
      <c r="AF52" s="3144"/>
      <c r="AG52" s="3144"/>
      <c r="AH52" s="3144"/>
      <c r="AI52" s="3144"/>
      <c r="AJ52" s="3144"/>
      <c r="AK52" s="1515"/>
      <c r="AL52" s="1515"/>
      <c r="AM52" s="1515"/>
      <c r="AN52" s="3144"/>
      <c r="AO52" s="3167"/>
      <c r="AP52" s="3167"/>
      <c r="AQ52" s="3182"/>
    </row>
    <row r="53" spans="1:43" s="404" customFormat="1" ht="27" customHeight="1" x14ac:dyDescent="0.2">
      <c r="A53" s="889"/>
      <c r="B53" s="1047"/>
      <c r="C53" s="1047"/>
      <c r="D53" s="889"/>
      <c r="E53" s="3150"/>
      <c r="F53" s="3151"/>
      <c r="G53" s="425"/>
      <c r="H53" s="3150"/>
      <c r="I53" s="3151"/>
      <c r="J53" s="3156">
        <v>121</v>
      </c>
      <c r="K53" s="2535" t="s">
        <v>624</v>
      </c>
      <c r="L53" s="3159"/>
      <c r="M53" s="3160">
        <v>4</v>
      </c>
      <c r="N53" s="2843"/>
      <c r="O53" s="2843"/>
      <c r="P53" s="3159"/>
      <c r="Q53" s="3135">
        <f>39700000/R50</f>
        <v>0.3324958123953099</v>
      </c>
      <c r="R53" s="3164"/>
      <c r="S53" s="3159"/>
      <c r="T53" s="3203" t="s">
        <v>625</v>
      </c>
      <c r="U53" s="1519" t="s">
        <v>626</v>
      </c>
      <c r="V53" s="1883">
        <f>5558000-5558000</f>
        <v>0</v>
      </c>
      <c r="W53" s="1569">
        <v>20</v>
      </c>
      <c r="X53" s="1522" t="s">
        <v>621</v>
      </c>
      <c r="Y53" s="2843"/>
      <c r="Z53" s="2843"/>
      <c r="AA53" s="3144"/>
      <c r="AB53" s="3144"/>
      <c r="AC53" s="3144"/>
      <c r="AD53" s="3144"/>
      <c r="AE53" s="3144"/>
      <c r="AF53" s="3144"/>
      <c r="AG53" s="3144"/>
      <c r="AH53" s="3144"/>
      <c r="AI53" s="3144"/>
      <c r="AJ53" s="3144"/>
      <c r="AK53" s="1515"/>
      <c r="AL53" s="1515"/>
      <c r="AM53" s="1515"/>
      <c r="AN53" s="3144"/>
      <c r="AO53" s="3167"/>
      <c r="AP53" s="3167"/>
      <c r="AQ53" s="3182"/>
    </row>
    <row r="54" spans="1:43" s="404" customFormat="1" ht="36.75" customHeight="1" x14ac:dyDescent="0.2">
      <c r="A54" s="889"/>
      <c r="B54" s="1047"/>
      <c r="C54" s="1047"/>
      <c r="D54" s="889"/>
      <c r="E54" s="3150"/>
      <c r="F54" s="3151"/>
      <c r="G54" s="425"/>
      <c r="H54" s="3150"/>
      <c r="I54" s="3151"/>
      <c r="J54" s="3157"/>
      <c r="K54" s="2530"/>
      <c r="L54" s="3159"/>
      <c r="M54" s="3161"/>
      <c r="N54" s="2843"/>
      <c r="O54" s="2843"/>
      <c r="P54" s="3159"/>
      <c r="Q54" s="3136"/>
      <c r="R54" s="3164"/>
      <c r="S54" s="3159"/>
      <c r="T54" s="3204"/>
      <c r="U54" s="1519" t="s">
        <v>627</v>
      </c>
      <c r="V54" s="1883">
        <f>31760000+23772000-2484348</f>
        <v>53047652</v>
      </c>
      <c r="W54" s="1526">
        <v>20</v>
      </c>
      <c r="X54" s="1503" t="s">
        <v>621</v>
      </c>
      <c r="Y54" s="2843"/>
      <c r="Z54" s="2843"/>
      <c r="AA54" s="3144"/>
      <c r="AB54" s="3144"/>
      <c r="AC54" s="3144"/>
      <c r="AD54" s="3144"/>
      <c r="AE54" s="3144"/>
      <c r="AF54" s="3144"/>
      <c r="AG54" s="3144"/>
      <c r="AH54" s="3144"/>
      <c r="AI54" s="3144"/>
      <c r="AJ54" s="3144"/>
      <c r="AK54" s="1515"/>
      <c r="AL54" s="1515"/>
      <c r="AM54" s="1515"/>
      <c r="AN54" s="3144"/>
      <c r="AO54" s="3167"/>
      <c r="AP54" s="3167"/>
      <c r="AQ54" s="3182"/>
    </row>
    <row r="55" spans="1:43" s="404" customFormat="1" ht="36" customHeight="1" x14ac:dyDescent="0.2">
      <c r="A55" s="1662"/>
      <c r="B55" s="1070"/>
      <c r="C55" s="1070"/>
      <c r="D55" s="1662"/>
      <c r="E55" s="3152"/>
      <c r="F55" s="3153"/>
      <c r="G55" s="436"/>
      <c r="H55" s="3152"/>
      <c r="I55" s="3153"/>
      <c r="J55" s="3158"/>
      <c r="K55" s="2536"/>
      <c r="L55" s="3030"/>
      <c r="M55" s="3162"/>
      <c r="N55" s="3134"/>
      <c r="O55" s="3134"/>
      <c r="P55" s="3030"/>
      <c r="Q55" s="3137"/>
      <c r="R55" s="3165"/>
      <c r="S55" s="3030"/>
      <c r="T55" s="3205"/>
      <c r="U55" s="1519" t="s">
        <v>628</v>
      </c>
      <c r="V55" s="1883">
        <f>2382000+8486000</f>
        <v>10868000</v>
      </c>
      <c r="W55" s="1526">
        <v>20</v>
      </c>
      <c r="X55" s="1503" t="s">
        <v>621</v>
      </c>
      <c r="Y55" s="3134"/>
      <c r="Z55" s="3134"/>
      <c r="AA55" s="3145"/>
      <c r="AB55" s="3145"/>
      <c r="AC55" s="3145"/>
      <c r="AD55" s="3145"/>
      <c r="AE55" s="3145"/>
      <c r="AF55" s="3145"/>
      <c r="AG55" s="3145"/>
      <c r="AH55" s="3145"/>
      <c r="AI55" s="3145"/>
      <c r="AJ55" s="3145"/>
      <c r="AK55" s="1516"/>
      <c r="AL55" s="1516"/>
      <c r="AM55" s="1516"/>
      <c r="AN55" s="3145"/>
      <c r="AO55" s="3168"/>
      <c r="AP55" s="3168"/>
      <c r="AQ55" s="3183"/>
    </row>
    <row r="56" spans="1:43" s="404" customFormat="1" ht="27" customHeight="1" x14ac:dyDescent="0.2">
      <c r="A56" s="1071"/>
      <c r="B56" s="1629"/>
      <c r="C56" s="1631"/>
      <c r="D56" s="1071"/>
      <c r="E56" s="3140" t="s">
        <v>343</v>
      </c>
      <c r="F56" s="3141"/>
      <c r="G56" s="1071"/>
      <c r="H56" s="1629"/>
      <c r="I56" s="1631"/>
      <c r="J56" s="1072"/>
      <c r="K56" s="1073"/>
      <c r="L56" s="1525"/>
      <c r="M56" s="1561"/>
      <c r="N56" s="1074"/>
      <c r="O56" s="1183"/>
      <c r="P56" s="1194"/>
      <c r="Q56" s="1075"/>
      <c r="R56" s="1076">
        <f>SUM(R12:R55)</f>
        <v>5449943900</v>
      </c>
      <c r="S56" s="1073"/>
      <c r="T56" s="1443"/>
      <c r="U56" s="1525"/>
      <c r="V56" s="1895">
        <f>SUM(V12:V55)</f>
        <v>5449943900</v>
      </c>
      <c r="W56" s="1077"/>
      <c r="X56" s="1561"/>
      <c r="Y56" s="1629"/>
      <c r="Z56" s="1629"/>
      <c r="AA56" s="1078"/>
      <c r="AB56" s="1079"/>
      <c r="AC56" s="1078"/>
      <c r="AD56" s="1078"/>
      <c r="AE56" s="1078"/>
      <c r="AF56" s="1078"/>
      <c r="AG56" s="1078"/>
      <c r="AH56" s="1078"/>
      <c r="AI56" s="1078"/>
      <c r="AJ56" s="1078"/>
      <c r="AK56" s="1078"/>
      <c r="AL56" s="1078"/>
      <c r="AM56" s="1078"/>
      <c r="AN56" s="1078"/>
      <c r="AO56" s="1080"/>
      <c r="AP56" s="1080"/>
      <c r="AQ56" s="1081"/>
    </row>
    <row r="57" spans="1:43" s="404" customFormat="1" ht="27" customHeight="1" x14ac:dyDescent="0.2">
      <c r="A57" s="437"/>
      <c r="K57" s="438"/>
      <c r="L57" s="412"/>
      <c r="M57" s="412"/>
      <c r="N57" s="412"/>
      <c r="O57" s="439"/>
      <c r="P57" s="438"/>
      <c r="Q57" s="440"/>
      <c r="R57" s="444"/>
      <c r="S57" s="438"/>
      <c r="T57" s="438"/>
      <c r="U57" s="438"/>
      <c r="V57" s="445"/>
      <c r="W57" s="441"/>
      <c r="X57" s="1534"/>
      <c r="AO57" s="834"/>
      <c r="AP57" s="443"/>
      <c r="AQ57" s="835"/>
    </row>
    <row r="58" spans="1:43" s="404" customFormat="1" ht="27" customHeight="1" x14ac:dyDescent="0.2">
      <c r="A58" s="437"/>
      <c r="K58" s="438"/>
      <c r="L58" s="412"/>
      <c r="M58" s="412"/>
      <c r="N58" s="412"/>
      <c r="O58" s="439"/>
      <c r="P58" s="438"/>
      <c r="Q58" s="440"/>
      <c r="R58" s="444"/>
      <c r="S58" s="438"/>
      <c r="T58" s="438"/>
      <c r="U58" s="438"/>
      <c r="V58" s="445"/>
      <c r="W58" s="441"/>
      <c r="X58" s="1534"/>
      <c r="AO58" s="834"/>
      <c r="AP58" s="443"/>
      <c r="AQ58" s="835"/>
    </row>
    <row r="59" spans="1:43" s="404" customFormat="1" ht="27" customHeight="1" x14ac:dyDescent="0.2">
      <c r="A59" s="437"/>
      <c r="K59" s="438"/>
      <c r="L59" s="412"/>
      <c r="M59" s="412"/>
      <c r="N59" s="412"/>
      <c r="O59" s="439"/>
      <c r="P59" s="438"/>
      <c r="Q59" s="440"/>
      <c r="R59" s="444"/>
      <c r="S59" s="438"/>
      <c r="T59" s="438"/>
      <c r="U59" s="438"/>
      <c r="V59" s="445"/>
      <c r="W59" s="441"/>
      <c r="X59" s="1534"/>
      <c r="AO59" s="834"/>
      <c r="AP59" s="443"/>
      <c r="AQ59" s="835"/>
    </row>
    <row r="60" spans="1:43" s="404" customFormat="1" ht="27" customHeight="1" x14ac:dyDescent="0.2">
      <c r="A60" s="437"/>
      <c r="K60" s="438"/>
      <c r="L60" s="412"/>
      <c r="M60" s="412"/>
      <c r="N60" s="412"/>
      <c r="O60" s="439"/>
      <c r="P60" s="438"/>
      <c r="Q60" s="440"/>
      <c r="R60" s="444"/>
      <c r="S60" s="438"/>
      <c r="T60" s="438"/>
      <c r="U60" s="438"/>
      <c r="V60" s="445"/>
      <c r="W60" s="441"/>
      <c r="X60" s="1534"/>
      <c r="AO60" s="834"/>
      <c r="AP60" s="443"/>
      <c r="AQ60" s="835"/>
    </row>
    <row r="61" spans="1:43" s="404" customFormat="1" ht="27" customHeight="1" x14ac:dyDescent="0.2">
      <c r="A61" s="437"/>
      <c r="K61" s="3142" t="s">
        <v>629</v>
      </c>
      <c r="L61" s="3142"/>
      <c r="M61" s="412"/>
      <c r="N61" s="412"/>
      <c r="O61" s="439"/>
      <c r="P61" s="438"/>
      <c r="Q61" s="440"/>
      <c r="R61" s="444"/>
      <c r="S61" s="438"/>
      <c r="T61" s="438"/>
      <c r="U61" s="438"/>
      <c r="V61" s="445"/>
      <c r="W61" s="441"/>
      <c r="X61" s="1534"/>
      <c r="AO61" s="834"/>
      <c r="AP61" s="443"/>
      <c r="AQ61" s="835"/>
    </row>
    <row r="62" spans="1:43" s="404" customFormat="1" ht="27" customHeight="1" x14ac:dyDescent="0.2">
      <c r="A62" s="437"/>
      <c r="K62" s="3142" t="s">
        <v>630</v>
      </c>
      <c r="L62" s="3142"/>
      <c r="M62" s="412"/>
      <c r="N62" s="412"/>
      <c r="O62" s="439"/>
      <c r="P62" s="438"/>
      <c r="Q62" s="440"/>
      <c r="R62" s="444"/>
      <c r="S62" s="438"/>
      <c r="T62" s="438"/>
      <c r="U62" s="438"/>
      <c r="V62" s="445"/>
      <c r="W62" s="441"/>
      <c r="X62" s="1534"/>
      <c r="AO62" s="834"/>
      <c r="AP62" s="443"/>
      <c r="AQ62" s="835"/>
    </row>
    <row r="63" spans="1:43" s="404" customFormat="1" ht="27" customHeight="1" x14ac:dyDescent="0.2">
      <c r="A63" s="437"/>
      <c r="K63" s="438"/>
      <c r="L63" s="412"/>
      <c r="M63" s="412"/>
      <c r="N63" s="412"/>
      <c r="O63" s="439"/>
      <c r="P63" s="438"/>
      <c r="Q63" s="440"/>
      <c r="R63" s="444"/>
      <c r="S63" s="438"/>
      <c r="T63" s="438"/>
      <c r="U63" s="438"/>
      <c r="V63" s="445"/>
      <c r="W63" s="441"/>
      <c r="X63" s="1534"/>
      <c r="AO63" s="834"/>
      <c r="AP63" s="443"/>
      <c r="AQ63" s="835"/>
    </row>
    <row r="64" spans="1:43" s="404" customFormat="1" ht="27" customHeight="1" x14ac:dyDescent="0.2">
      <c r="A64" s="437"/>
      <c r="K64" s="438"/>
      <c r="L64" s="412"/>
      <c r="M64" s="412"/>
      <c r="N64" s="412"/>
      <c r="O64" s="439"/>
      <c r="P64" s="438"/>
      <c r="Q64" s="440"/>
      <c r="R64" s="444"/>
      <c r="S64" s="438"/>
      <c r="T64" s="438"/>
      <c r="U64" s="438"/>
      <c r="V64" s="445"/>
      <c r="W64" s="441"/>
      <c r="X64" s="1534"/>
      <c r="AO64" s="834"/>
      <c r="AP64" s="443"/>
      <c r="AQ64" s="835"/>
    </row>
    <row r="65" spans="1:43" s="404" customFormat="1" ht="27" customHeight="1" x14ac:dyDescent="0.2">
      <c r="A65" s="437"/>
      <c r="K65" s="438"/>
      <c r="L65" s="412"/>
      <c r="M65" s="412"/>
      <c r="N65" s="412"/>
      <c r="O65" s="439"/>
      <c r="P65" s="438"/>
      <c r="Q65" s="440"/>
      <c r="R65" s="444"/>
      <c r="S65" s="438"/>
      <c r="T65" s="438"/>
      <c r="U65" s="438"/>
      <c r="V65" s="445"/>
      <c r="W65" s="441"/>
      <c r="X65" s="1534"/>
      <c r="AO65" s="834"/>
      <c r="AP65" s="443"/>
      <c r="AQ65" s="835"/>
    </row>
    <row r="66" spans="1:43" s="404" customFormat="1" ht="27" customHeight="1" x14ac:dyDescent="0.2">
      <c r="A66" s="437"/>
      <c r="K66" s="438"/>
      <c r="L66" s="412"/>
      <c r="M66" s="412"/>
      <c r="N66" s="412"/>
      <c r="O66" s="439"/>
      <c r="P66" s="438"/>
      <c r="Q66" s="440"/>
      <c r="R66" s="444"/>
      <c r="S66" s="438"/>
      <c r="T66" s="438"/>
      <c r="U66" s="438"/>
      <c r="V66" s="445"/>
      <c r="W66" s="441"/>
      <c r="X66" s="1534"/>
      <c r="AO66" s="834"/>
      <c r="AP66" s="443"/>
      <c r="AQ66" s="835"/>
    </row>
    <row r="67" spans="1:43" s="404" customFormat="1" ht="27" customHeight="1" x14ac:dyDescent="0.2">
      <c r="A67" s="437"/>
      <c r="K67" s="438"/>
      <c r="L67" s="412"/>
      <c r="M67" s="412"/>
      <c r="N67" s="412"/>
      <c r="O67" s="439"/>
      <c r="P67" s="438"/>
      <c r="Q67" s="440"/>
      <c r="R67" s="444"/>
      <c r="S67" s="438"/>
      <c r="T67" s="438"/>
      <c r="U67" s="438"/>
      <c r="V67" s="445"/>
      <c r="W67" s="441"/>
      <c r="X67" s="1534"/>
      <c r="AO67" s="834"/>
      <c r="AP67" s="443"/>
      <c r="AQ67" s="835"/>
    </row>
    <row r="68" spans="1:43" s="404" customFormat="1" ht="27" customHeight="1" x14ac:dyDescent="0.2">
      <c r="A68" s="437"/>
      <c r="K68" s="438"/>
      <c r="L68" s="412"/>
      <c r="M68" s="412"/>
      <c r="N68" s="412"/>
      <c r="O68" s="439"/>
      <c r="P68" s="438"/>
      <c r="Q68" s="440"/>
      <c r="R68" s="444"/>
      <c r="S68" s="438"/>
      <c r="T68" s="438"/>
      <c r="U68" s="438"/>
      <c r="V68" s="445"/>
      <c r="W68" s="441"/>
      <c r="X68" s="1534"/>
      <c r="AO68" s="834"/>
      <c r="AP68" s="443"/>
      <c r="AQ68" s="835"/>
    </row>
    <row r="69" spans="1:43" s="404" customFormat="1" ht="27" customHeight="1" x14ac:dyDescent="0.2">
      <c r="A69" s="437"/>
      <c r="K69" s="438"/>
      <c r="L69" s="412"/>
      <c r="M69" s="412"/>
      <c r="N69" s="412"/>
      <c r="O69" s="439"/>
      <c r="P69" s="438"/>
      <c r="Q69" s="440"/>
      <c r="R69" s="444"/>
      <c r="S69" s="438"/>
      <c r="T69" s="438"/>
      <c r="U69" s="438"/>
      <c r="V69" s="445"/>
      <c r="W69" s="441"/>
      <c r="X69" s="1534"/>
      <c r="AO69" s="834"/>
      <c r="AP69" s="443"/>
      <c r="AQ69" s="835"/>
    </row>
    <row r="70" spans="1:43" s="404" customFormat="1" ht="27" customHeight="1" x14ac:dyDescent="0.2">
      <c r="A70" s="437"/>
      <c r="K70" s="438"/>
      <c r="L70" s="412"/>
      <c r="M70" s="412"/>
      <c r="N70" s="412"/>
      <c r="O70" s="439"/>
      <c r="P70" s="438"/>
      <c r="Q70" s="440"/>
      <c r="R70" s="444"/>
      <c r="S70" s="438"/>
      <c r="T70" s="438"/>
      <c r="U70" s="438"/>
      <c r="V70" s="445"/>
      <c r="W70" s="441"/>
      <c r="X70" s="1534"/>
      <c r="AO70" s="834"/>
      <c r="AP70" s="443"/>
      <c r="AQ70" s="835"/>
    </row>
    <row r="71" spans="1:43" s="404" customFormat="1" ht="27" customHeight="1" x14ac:dyDescent="0.2">
      <c r="A71" s="437"/>
      <c r="K71" s="438"/>
      <c r="L71" s="412"/>
      <c r="M71" s="412"/>
      <c r="N71" s="412"/>
      <c r="O71" s="439"/>
      <c r="P71" s="438"/>
      <c r="Q71" s="440"/>
      <c r="R71" s="444"/>
      <c r="S71" s="438"/>
      <c r="T71" s="438"/>
      <c r="U71" s="438"/>
      <c r="V71" s="445"/>
      <c r="W71" s="441"/>
      <c r="X71" s="1534"/>
      <c r="AO71" s="834"/>
      <c r="AP71" s="443"/>
      <c r="AQ71" s="835"/>
    </row>
    <row r="72" spans="1:43" s="404" customFormat="1" ht="27" customHeight="1" x14ac:dyDescent="0.2">
      <c r="A72" s="437"/>
      <c r="K72" s="438"/>
      <c r="L72" s="412"/>
      <c r="M72" s="412"/>
      <c r="N72" s="412"/>
      <c r="O72" s="439"/>
      <c r="P72" s="438"/>
      <c r="Q72" s="440"/>
      <c r="R72" s="444"/>
      <c r="S72" s="438"/>
      <c r="T72" s="438"/>
      <c r="U72" s="438"/>
      <c r="V72" s="445"/>
      <c r="W72" s="441"/>
      <c r="X72" s="1534"/>
      <c r="AO72" s="834"/>
      <c r="AP72" s="443"/>
      <c r="AQ72" s="835"/>
    </row>
    <row r="73" spans="1:43" s="404" customFormat="1" ht="27" customHeight="1" x14ac:dyDescent="0.2">
      <c r="A73" s="437"/>
      <c r="K73" s="438"/>
      <c r="L73" s="412"/>
      <c r="M73" s="412"/>
      <c r="N73" s="412"/>
      <c r="O73" s="439"/>
      <c r="P73" s="438"/>
      <c r="Q73" s="440"/>
      <c r="R73" s="444"/>
      <c r="S73" s="438"/>
      <c r="T73" s="438"/>
      <c r="U73" s="438"/>
      <c r="V73" s="445"/>
      <c r="W73" s="441"/>
      <c r="X73" s="1534"/>
      <c r="AO73" s="834"/>
      <c r="AP73" s="443"/>
      <c r="AQ73" s="835"/>
    </row>
    <row r="74" spans="1:43" s="404" customFormat="1" ht="27" customHeight="1" x14ac:dyDescent="0.2">
      <c r="A74" s="437"/>
      <c r="K74" s="438"/>
      <c r="L74" s="412"/>
      <c r="M74" s="412"/>
      <c r="N74" s="412"/>
      <c r="O74" s="439"/>
      <c r="P74" s="438"/>
      <c r="Q74" s="440"/>
      <c r="R74" s="444"/>
      <c r="S74" s="438"/>
      <c r="T74" s="438"/>
      <c r="U74" s="438"/>
      <c r="V74" s="445"/>
      <c r="W74" s="441"/>
      <c r="X74" s="1534"/>
      <c r="AO74" s="834"/>
      <c r="AP74" s="443"/>
      <c r="AQ74" s="835"/>
    </row>
    <row r="75" spans="1:43" s="404" customFormat="1" ht="27" customHeight="1" x14ac:dyDescent="0.2">
      <c r="A75" s="437"/>
      <c r="K75" s="438"/>
      <c r="L75" s="412"/>
      <c r="M75" s="412"/>
      <c r="N75" s="412"/>
      <c r="O75" s="439"/>
      <c r="P75" s="438"/>
      <c r="Q75" s="440"/>
      <c r="R75" s="444"/>
      <c r="S75" s="438"/>
      <c r="T75" s="438"/>
      <c r="U75" s="438"/>
      <c r="V75" s="445"/>
      <c r="W75" s="441"/>
      <c r="X75" s="1534"/>
      <c r="AO75" s="834"/>
      <c r="AP75" s="443"/>
      <c r="AQ75" s="835"/>
    </row>
    <row r="76" spans="1:43" s="404" customFormat="1" ht="27" customHeight="1" x14ac:dyDescent="0.2">
      <c r="A76" s="437"/>
      <c r="K76" s="438"/>
      <c r="L76" s="412"/>
      <c r="M76" s="412"/>
      <c r="N76" s="412"/>
      <c r="O76" s="439"/>
      <c r="P76" s="438"/>
      <c r="Q76" s="440"/>
      <c r="R76" s="444"/>
      <c r="S76" s="438"/>
      <c r="T76" s="438"/>
      <c r="U76" s="438"/>
      <c r="V76" s="445"/>
      <c r="W76" s="441"/>
      <c r="X76" s="1534"/>
      <c r="AO76" s="834"/>
      <c r="AP76" s="443"/>
      <c r="AQ76" s="835"/>
    </row>
    <row r="77" spans="1:43" s="404" customFormat="1" ht="27" customHeight="1" x14ac:dyDescent="0.2">
      <c r="A77" s="437"/>
      <c r="K77" s="438"/>
      <c r="L77" s="412"/>
      <c r="M77" s="412"/>
      <c r="N77" s="412"/>
      <c r="O77" s="439"/>
      <c r="P77" s="438"/>
      <c r="Q77" s="440"/>
      <c r="R77" s="444"/>
      <c r="S77" s="438"/>
      <c r="T77" s="438"/>
      <c r="U77" s="438"/>
      <c r="V77" s="445"/>
      <c r="W77" s="441"/>
      <c r="X77" s="1534"/>
      <c r="AO77" s="834"/>
      <c r="AP77" s="443"/>
      <c r="AQ77" s="835"/>
    </row>
    <row r="78" spans="1:43" s="404" customFormat="1" ht="27" customHeight="1" x14ac:dyDescent="0.2">
      <c r="A78" s="437"/>
      <c r="K78" s="438"/>
      <c r="L78" s="412"/>
      <c r="M78" s="412"/>
      <c r="N78" s="412"/>
      <c r="O78" s="439"/>
      <c r="P78" s="438"/>
      <c r="Q78" s="440"/>
      <c r="R78" s="444"/>
      <c r="S78" s="438"/>
      <c r="T78" s="438"/>
      <c r="U78" s="438"/>
      <c r="V78" s="445"/>
      <c r="W78" s="441"/>
      <c r="X78" s="1534"/>
      <c r="AO78" s="834"/>
      <c r="AP78" s="443"/>
      <c r="AQ78" s="835"/>
    </row>
    <row r="79" spans="1:43" s="404" customFormat="1" ht="27" customHeight="1" x14ac:dyDescent="0.2">
      <c r="A79" s="437"/>
      <c r="K79" s="438"/>
      <c r="L79" s="412"/>
      <c r="M79" s="412"/>
      <c r="N79" s="412"/>
      <c r="O79" s="439"/>
      <c r="P79" s="438"/>
      <c r="Q79" s="440"/>
      <c r="R79" s="444"/>
      <c r="S79" s="438"/>
      <c r="T79" s="438"/>
      <c r="U79" s="438"/>
      <c r="V79" s="445"/>
      <c r="W79" s="441"/>
      <c r="X79" s="1534"/>
      <c r="AO79" s="834"/>
      <c r="AP79" s="443"/>
      <c r="AQ79" s="835"/>
    </row>
    <row r="80" spans="1:43" s="404" customFormat="1" ht="27" customHeight="1" x14ac:dyDescent="0.2">
      <c r="A80" s="437"/>
      <c r="K80" s="438"/>
      <c r="L80" s="412"/>
      <c r="M80" s="412"/>
      <c r="N80" s="412"/>
      <c r="O80" s="439"/>
      <c r="P80" s="438"/>
      <c r="Q80" s="440"/>
      <c r="R80" s="444"/>
      <c r="S80" s="438"/>
      <c r="T80" s="438"/>
      <c r="U80" s="438"/>
      <c r="V80" s="445"/>
      <c r="W80" s="441"/>
      <c r="X80" s="1534"/>
      <c r="AO80" s="834"/>
      <c r="AP80" s="443"/>
      <c r="AQ80" s="835"/>
    </row>
    <row r="81" spans="1:43" s="404" customFormat="1" ht="27" customHeight="1" x14ac:dyDescent="0.2">
      <c r="A81" s="437"/>
      <c r="K81" s="438"/>
      <c r="L81" s="412"/>
      <c r="M81" s="412"/>
      <c r="N81" s="412"/>
      <c r="O81" s="439"/>
      <c r="P81" s="438"/>
      <c r="Q81" s="440"/>
      <c r="R81" s="444"/>
      <c r="S81" s="438"/>
      <c r="T81" s="438"/>
      <c r="U81" s="438"/>
      <c r="V81" s="445"/>
      <c r="W81" s="441"/>
      <c r="X81" s="1534"/>
      <c r="AO81" s="834"/>
      <c r="AP81" s="443"/>
      <c r="AQ81" s="835"/>
    </row>
    <row r="82" spans="1:43" s="404" customFormat="1" ht="27" customHeight="1" x14ac:dyDescent="0.2">
      <c r="A82" s="437"/>
      <c r="K82" s="438"/>
      <c r="L82" s="412"/>
      <c r="M82" s="412"/>
      <c r="N82" s="412"/>
      <c r="O82" s="439"/>
      <c r="P82" s="438"/>
      <c r="Q82" s="440"/>
      <c r="R82" s="444"/>
      <c r="S82" s="438"/>
      <c r="T82" s="438"/>
      <c r="U82" s="438"/>
      <c r="V82" s="445"/>
      <c r="W82" s="441"/>
      <c r="X82" s="1534"/>
      <c r="AO82" s="834"/>
      <c r="AP82" s="443"/>
      <c r="AQ82" s="835"/>
    </row>
    <row r="83" spans="1:43" s="404" customFormat="1" ht="27" customHeight="1" x14ac:dyDescent="0.2">
      <c r="A83" s="437"/>
      <c r="K83" s="438"/>
      <c r="L83" s="412"/>
      <c r="M83" s="412"/>
      <c r="N83" s="412"/>
      <c r="O83" s="439"/>
      <c r="P83" s="438"/>
      <c r="Q83" s="440"/>
      <c r="R83" s="444"/>
      <c r="S83" s="438"/>
      <c r="T83" s="438"/>
      <c r="U83" s="438"/>
      <c r="V83" s="445"/>
      <c r="W83" s="441"/>
      <c r="X83" s="1534"/>
      <c r="AO83" s="834"/>
      <c r="AP83" s="443"/>
      <c r="AQ83" s="835"/>
    </row>
    <row r="84" spans="1:43" s="404" customFormat="1" ht="27" customHeight="1" x14ac:dyDescent="0.2">
      <c r="A84" s="437"/>
      <c r="K84" s="438"/>
      <c r="L84" s="412"/>
      <c r="M84" s="412"/>
      <c r="N84" s="412"/>
      <c r="O84" s="439"/>
      <c r="P84" s="438"/>
      <c r="Q84" s="440"/>
      <c r="R84" s="444"/>
      <c r="S84" s="438"/>
      <c r="T84" s="438"/>
      <c r="U84" s="438"/>
      <c r="V84" s="445"/>
      <c r="W84" s="441"/>
      <c r="X84" s="1534"/>
      <c r="AO84" s="834"/>
      <c r="AP84" s="443"/>
      <c r="AQ84" s="835"/>
    </row>
    <row r="85" spans="1:43" s="404" customFormat="1" ht="27" customHeight="1" x14ac:dyDescent="0.2">
      <c r="A85" s="437"/>
      <c r="K85" s="438"/>
      <c r="L85" s="412"/>
      <c r="M85" s="412"/>
      <c r="N85" s="412"/>
      <c r="O85" s="439"/>
      <c r="P85" s="438"/>
      <c r="Q85" s="440"/>
      <c r="R85" s="444"/>
      <c r="S85" s="438"/>
      <c r="T85" s="438"/>
      <c r="U85" s="438"/>
      <c r="V85" s="445"/>
      <c r="W85" s="441"/>
      <c r="X85" s="1534"/>
      <c r="AO85" s="834"/>
      <c r="AP85" s="443"/>
      <c r="AQ85" s="835"/>
    </row>
    <row r="86" spans="1:43" s="404" customFormat="1" ht="27" customHeight="1" x14ac:dyDescent="0.2">
      <c r="A86" s="437"/>
      <c r="K86" s="438"/>
      <c r="L86" s="412"/>
      <c r="M86" s="412"/>
      <c r="N86" s="412"/>
      <c r="O86" s="439"/>
      <c r="P86" s="438"/>
      <c r="Q86" s="440"/>
      <c r="R86" s="444"/>
      <c r="S86" s="438"/>
      <c r="T86" s="438"/>
      <c r="U86" s="438"/>
      <c r="V86" s="445"/>
      <c r="W86" s="441"/>
      <c r="X86" s="1534"/>
      <c r="AO86" s="834"/>
      <c r="AP86" s="443"/>
      <c r="AQ86" s="835"/>
    </row>
    <row r="87" spans="1:43" s="404" customFormat="1" ht="27" customHeight="1" x14ac:dyDescent="0.2">
      <c r="A87" s="437"/>
      <c r="K87" s="438"/>
      <c r="L87" s="412"/>
      <c r="M87" s="412"/>
      <c r="N87" s="412"/>
      <c r="O87" s="439"/>
      <c r="P87" s="438"/>
      <c r="Q87" s="440"/>
      <c r="R87" s="444"/>
      <c r="S87" s="438"/>
      <c r="T87" s="438"/>
      <c r="U87" s="438"/>
      <c r="V87" s="445"/>
      <c r="W87" s="441"/>
      <c r="X87" s="1534"/>
      <c r="AO87" s="834"/>
      <c r="AP87" s="443"/>
      <c r="AQ87" s="835"/>
    </row>
    <row r="88" spans="1:43" s="404" customFormat="1" ht="27" customHeight="1" x14ac:dyDescent="0.2">
      <c r="A88" s="437"/>
      <c r="K88" s="438"/>
      <c r="L88" s="412"/>
      <c r="M88" s="412"/>
      <c r="N88" s="412"/>
      <c r="O88" s="439"/>
      <c r="P88" s="438"/>
      <c r="Q88" s="440"/>
      <c r="R88" s="444"/>
      <c r="S88" s="438"/>
      <c r="T88" s="438"/>
      <c r="U88" s="438"/>
      <c r="V88" s="445"/>
      <c r="W88" s="441"/>
      <c r="X88" s="1534"/>
      <c r="AO88" s="834"/>
      <c r="AP88" s="443"/>
      <c r="AQ88" s="835"/>
    </row>
    <row r="89" spans="1:43" s="404" customFormat="1" ht="27" customHeight="1" x14ac:dyDescent="0.2">
      <c r="A89" s="437"/>
      <c r="K89" s="438"/>
      <c r="L89" s="412"/>
      <c r="M89" s="412"/>
      <c r="N89" s="412"/>
      <c r="O89" s="439"/>
      <c r="P89" s="438"/>
      <c r="Q89" s="440"/>
      <c r="R89" s="444"/>
      <c r="S89" s="438"/>
      <c r="T89" s="438"/>
      <c r="U89" s="438"/>
      <c r="V89" s="445"/>
      <c r="W89" s="441"/>
      <c r="X89" s="1534"/>
      <c r="AO89" s="834"/>
      <c r="AP89" s="443"/>
      <c r="AQ89" s="835"/>
    </row>
    <row r="90" spans="1:43" s="404" customFormat="1" ht="27" customHeight="1" x14ac:dyDescent="0.2">
      <c r="A90" s="437"/>
      <c r="K90" s="438"/>
      <c r="L90" s="412"/>
      <c r="M90" s="412"/>
      <c r="N90" s="412"/>
      <c r="O90" s="439"/>
      <c r="P90" s="438"/>
      <c r="Q90" s="440"/>
      <c r="R90" s="444"/>
      <c r="S90" s="438"/>
      <c r="T90" s="438"/>
      <c r="U90" s="438"/>
      <c r="V90" s="445"/>
      <c r="W90" s="441"/>
      <c r="X90" s="1534"/>
      <c r="AO90" s="834"/>
      <c r="AP90" s="443"/>
      <c r="AQ90" s="835"/>
    </row>
    <row r="91" spans="1:43" s="404" customFormat="1" ht="27" customHeight="1" x14ac:dyDescent="0.2">
      <c r="A91" s="437"/>
      <c r="K91" s="438"/>
      <c r="L91" s="412"/>
      <c r="M91" s="412"/>
      <c r="N91" s="412"/>
      <c r="O91" s="439"/>
      <c r="P91" s="438"/>
      <c r="Q91" s="440"/>
      <c r="R91" s="444"/>
      <c r="S91" s="438"/>
      <c r="T91" s="438"/>
      <c r="U91" s="438"/>
      <c r="V91" s="445"/>
      <c r="W91" s="441"/>
      <c r="X91" s="1534"/>
      <c r="AO91" s="834"/>
      <c r="AP91" s="443"/>
      <c r="AQ91" s="835"/>
    </row>
    <row r="92" spans="1:43" s="404" customFormat="1" ht="27" customHeight="1" x14ac:dyDescent="0.2">
      <c r="A92" s="437"/>
      <c r="K92" s="438"/>
      <c r="L92" s="412"/>
      <c r="M92" s="412"/>
      <c r="N92" s="412"/>
      <c r="O92" s="439"/>
      <c r="P92" s="438"/>
      <c r="Q92" s="440"/>
      <c r="R92" s="444"/>
      <c r="S92" s="438"/>
      <c r="T92" s="438"/>
      <c r="U92" s="438"/>
      <c r="V92" s="445"/>
      <c r="W92" s="441"/>
      <c r="X92" s="1534"/>
      <c r="AO92" s="834"/>
      <c r="AP92" s="443"/>
      <c r="AQ92" s="835"/>
    </row>
    <row r="93" spans="1:43" s="404" customFormat="1" ht="27" customHeight="1" x14ac:dyDescent="0.2">
      <c r="A93" s="437"/>
      <c r="K93" s="438"/>
      <c r="L93" s="412"/>
      <c r="M93" s="412"/>
      <c r="N93" s="412"/>
      <c r="O93" s="439"/>
      <c r="P93" s="438"/>
      <c r="Q93" s="440"/>
      <c r="R93" s="444"/>
      <c r="S93" s="438"/>
      <c r="T93" s="438"/>
      <c r="U93" s="438"/>
      <c r="V93" s="445"/>
      <c r="W93" s="441"/>
      <c r="X93" s="1534"/>
      <c r="AO93" s="834"/>
      <c r="AP93" s="443"/>
      <c r="AQ93" s="835"/>
    </row>
    <row r="94" spans="1:43" s="404" customFormat="1" ht="27" customHeight="1" x14ac:dyDescent="0.2">
      <c r="A94" s="437"/>
      <c r="K94" s="438"/>
      <c r="L94" s="412"/>
      <c r="M94" s="412"/>
      <c r="N94" s="412"/>
      <c r="O94" s="439"/>
      <c r="P94" s="438"/>
      <c r="Q94" s="440"/>
      <c r="R94" s="444"/>
      <c r="S94" s="438"/>
      <c r="T94" s="438"/>
      <c r="U94" s="438"/>
      <c r="V94" s="445"/>
      <c r="W94" s="441"/>
      <c r="X94" s="1534"/>
      <c r="AO94" s="834"/>
      <c r="AP94" s="443"/>
      <c r="AQ94" s="835"/>
    </row>
    <row r="95" spans="1:43" s="404" customFormat="1" ht="27" customHeight="1" x14ac:dyDescent="0.2">
      <c r="A95" s="437"/>
      <c r="K95" s="438"/>
      <c r="L95" s="412"/>
      <c r="M95" s="412"/>
      <c r="N95" s="412"/>
      <c r="O95" s="439"/>
      <c r="P95" s="438"/>
      <c r="Q95" s="440"/>
      <c r="R95" s="444"/>
      <c r="S95" s="438"/>
      <c r="T95" s="438"/>
      <c r="U95" s="438"/>
      <c r="V95" s="445"/>
      <c r="W95" s="441"/>
      <c r="X95" s="1534"/>
      <c r="AO95" s="834"/>
      <c r="AP95" s="443"/>
      <c r="AQ95" s="835"/>
    </row>
    <row r="96" spans="1:43" s="404" customFormat="1" ht="27" customHeight="1" x14ac:dyDescent="0.2">
      <c r="A96" s="437"/>
      <c r="K96" s="438"/>
      <c r="L96" s="412"/>
      <c r="M96" s="412"/>
      <c r="N96" s="412"/>
      <c r="O96" s="439"/>
      <c r="P96" s="438"/>
      <c r="Q96" s="440"/>
      <c r="R96" s="444"/>
      <c r="S96" s="438"/>
      <c r="T96" s="438"/>
      <c r="U96" s="438"/>
      <c r="V96" s="445"/>
      <c r="W96" s="441"/>
      <c r="X96" s="1534"/>
      <c r="AO96" s="834"/>
      <c r="AP96" s="443"/>
      <c r="AQ96" s="835"/>
    </row>
    <row r="97" spans="1:43" s="404" customFormat="1" ht="27" customHeight="1" x14ac:dyDescent="0.2">
      <c r="A97" s="437"/>
      <c r="K97" s="438"/>
      <c r="L97" s="412"/>
      <c r="M97" s="412"/>
      <c r="N97" s="412"/>
      <c r="O97" s="439"/>
      <c r="P97" s="438"/>
      <c r="Q97" s="440"/>
      <c r="R97" s="444"/>
      <c r="S97" s="438"/>
      <c r="T97" s="438"/>
      <c r="U97" s="438"/>
      <c r="V97" s="445"/>
      <c r="W97" s="441"/>
      <c r="X97" s="1534"/>
      <c r="AO97" s="834"/>
      <c r="AP97" s="443"/>
      <c r="AQ97" s="835"/>
    </row>
    <row r="98" spans="1:43" s="404" customFormat="1" ht="27" customHeight="1" x14ac:dyDescent="0.2">
      <c r="A98" s="437"/>
      <c r="K98" s="438"/>
      <c r="L98" s="412"/>
      <c r="M98" s="412"/>
      <c r="N98" s="412"/>
      <c r="O98" s="439"/>
      <c r="P98" s="438"/>
      <c r="Q98" s="440"/>
      <c r="R98" s="444"/>
      <c r="S98" s="438"/>
      <c r="T98" s="438"/>
      <c r="U98" s="438"/>
      <c r="V98" s="445"/>
      <c r="W98" s="441"/>
      <c r="X98" s="1534"/>
      <c r="AO98" s="834"/>
      <c r="AP98" s="443"/>
      <c r="AQ98" s="835"/>
    </row>
    <row r="99" spans="1:43" s="404" customFormat="1" ht="27" customHeight="1" x14ac:dyDescent="0.2">
      <c r="A99" s="437"/>
      <c r="K99" s="438"/>
      <c r="L99" s="412"/>
      <c r="M99" s="412"/>
      <c r="N99" s="412"/>
      <c r="O99" s="439"/>
      <c r="P99" s="438"/>
      <c r="Q99" s="440"/>
      <c r="R99" s="444"/>
      <c r="S99" s="438"/>
      <c r="T99" s="438"/>
      <c r="U99" s="438"/>
      <c r="V99" s="445"/>
      <c r="W99" s="441"/>
      <c r="X99" s="1534"/>
      <c r="AO99" s="834"/>
      <c r="AP99" s="443"/>
      <c r="AQ99" s="835"/>
    </row>
    <row r="100" spans="1:43" s="404" customFormat="1" ht="27" customHeight="1" x14ac:dyDescent="0.2">
      <c r="A100" s="437"/>
      <c r="K100" s="438"/>
      <c r="L100" s="412"/>
      <c r="M100" s="412"/>
      <c r="N100" s="412"/>
      <c r="O100" s="439"/>
      <c r="P100" s="438"/>
      <c r="Q100" s="440"/>
      <c r="R100" s="444"/>
      <c r="S100" s="438"/>
      <c r="T100" s="438"/>
      <c r="U100" s="438"/>
      <c r="V100" s="445"/>
      <c r="W100" s="441"/>
      <c r="X100" s="1534"/>
      <c r="AO100" s="834"/>
      <c r="AP100" s="443"/>
      <c r="AQ100" s="835"/>
    </row>
    <row r="101" spans="1:43" s="404" customFormat="1" ht="27" customHeight="1" x14ac:dyDescent="0.2">
      <c r="A101" s="437"/>
      <c r="K101" s="438"/>
      <c r="L101" s="412"/>
      <c r="M101" s="412"/>
      <c r="N101" s="412"/>
      <c r="O101" s="439"/>
      <c r="P101" s="438"/>
      <c r="Q101" s="440"/>
      <c r="R101" s="444"/>
      <c r="S101" s="438"/>
      <c r="T101" s="438"/>
      <c r="U101" s="438"/>
      <c r="V101" s="445"/>
      <c r="W101" s="441"/>
      <c r="X101" s="1534"/>
      <c r="AO101" s="834"/>
      <c r="AP101" s="443"/>
      <c r="AQ101" s="835"/>
    </row>
    <row r="102" spans="1:43" s="404" customFormat="1" ht="27" customHeight="1" x14ac:dyDescent="0.2">
      <c r="A102" s="437"/>
      <c r="K102" s="438"/>
      <c r="L102" s="412"/>
      <c r="M102" s="412"/>
      <c r="N102" s="412"/>
      <c r="O102" s="439"/>
      <c r="P102" s="438"/>
      <c r="Q102" s="440"/>
      <c r="R102" s="444"/>
      <c r="S102" s="438"/>
      <c r="T102" s="438"/>
      <c r="U102" s="438"/>
      <c r="V102" s="445"/>
      <c r="W102" s="441"/>
      <c r="X102" s="1534"/>
      <c r="AO102" s="834"/>
      <c r="AP102" s="443"/>
      <c r="AQ102" s="835"/>
    </row>
    <row r="103" spans="1:43" s="404" customFormat="1" ht="27" customHeight="1" x14ac:dyDescent="0.2">
      <c r="A103" s="437"/>
      <c r="K103" s="438"/>
      <c r="L103" s="412"/>
      <c r="M103" s="412"/>
      <c r="N103" s="412"/>
      <c r="O103" s="439"/>
      <c r="P103" s="438"/>
      <c r="Q103" s="440"/>
      <c r="R103" s="444"/>
      <c r="S103" s="438"/>
      <c r="T103" s="438"/>
      <c r="U103" s="438"/>
      <c r="V103" s="445"/>
      <c r="W103" s="441"/>
      <c r="X103" s="1534"/>
      <c r="AO103" s="834"/>
      <c r="AP103" s="443"/>
      <c r="AQ103" s="835"/>
    </row>
    <row r="104" spans="1:43" s="404" customFormat="1" ht="27" customHeight="1" x14ac:dyDescent="0.2">
      <c r="A104" s="437"/>
      <c r="K104" s="438"/>
      <c r="L104" s="412"/>
      <c r="M104" s="412"/>
      <c r="N104" s="412"/>
      <c r="O104" s="439"/>
      <c r="P104" s="438"/>
      <c r="Q104" s="440"/>
      <c r="R104" s="444"/>
      <c r="S104" s="438"/>
      <c r="T104" s="438"/>
      <c r="U104" s="438"/>
      <c r="V104" s="445"/>
      <c r="W104" s="441"/>
      <c r="X104" s="1534"/>
      <c r="AO104" s="834"/>
      <c r="AP104" s="443"/>
      <c r="AQ104" s="835"/>
    </row>
    <row r="105" spans="1:43" s="404" customFormat="1" ht="27" customHeight="1" x14ac:dyDescent="0.2">
      <c r="A105" s="437"/>
      <c r="K105" s="438"/>
      <c r="L105" s="412"/>
      <c r="M105" s="412"/>
      <c r="N105" s="412"/>
      <c r="O105" s="439"/>
      <c r="P105" s="438"/>
      <c r="Q105" s="440"/>
      <c r="R105" s="444"/>
      <c r="S105" s="438"/>
      <c r="T105" s="438"/>
      <c r="U105" s="438"/>
      <c r="V105" s="445"/>
      <c r="W105" s="441"/>
      <c r="X105" s="1534"/>
      <c r="AO105" s="834"/>
      <c r="AP105" s="443"/>
      <c r="AQ105" s="835"/>
    </row>
    <row r="106" spans="1:43" s="404" customFormat="1" ht="27" customHeight="1" x14ac:dyDescent="0.2">
      <c r="A106" s="437"/>
      <c r="K106" s="438"/>
      <c r="L106" s="412"/>
      <c r="M106" s="412"/>
      <c r="N106" s="412"/>
      <c r="O106" s="439"/>
      <c r="P106" s="438"/>
      <c r="Q106" s="440"/>
      <c r="R106" s="444"/>
      <c r="S106" s="438"/>
      <c r="T106" s="438"/>
      <c r="U106" s="438"/>
      <c r="V106" s="445"/>
      <c r="W106" s="441"/>
      <c r="X106" s="1534"/>
      <c r="AO106" s="834"/>
      <c r="AP106" s="443"/>
      <c r="AQ106" s="835"/>
    </row>
    <row r="107" spans="1:43" s="404" customFormat="1" ht="27" customHeight="1" x14ac:dyDescent="0.2">
      <c r="A107" s="437"/>
      <c r="K107" s="438"/>
      <c r="L107" s="412"/>
      <c r="M107" s="412"/>
      <c r="N107" s="412"/>
      <c r="O107" s="439"/>
      <c r="P107" s="438"/>
      <c r="Q107" s="440"/>
      <c r="R107" s="444"/>
      <c r="S107" s="438"/>
      <c r="T107" s="438"/>
      <c r="U107" s="438"/>
      <c r="V107" s="445"/>
      <c r="W107" s="441"/>
      <c r="X107" s="1534"/>
      <c r="AO107" s="834"/>
      <c r="AP107" s="443"/>
      <c r="AQ107" s="835"/>
    </row>
    <row r="108" spans="1:43" s="404" customFormat="1" ht="27" customHeight="1" x14ac:dyDescent="0.2">
      <c r="A108" s="437"/>
      <c r="K108" s="438"/>
      <c r="L108" s="412"/>
      <c r="M108" s="412"/>
      <c r="N108" s="412"/>
      <c r="O108" s="439"/>
      <c r="P108" s="438"/>
      <c r="Q108" s="440"/>
      <c r="R108" s="444"/>
      <c r="S108" s="438"/>
      <c r="T108" s="438"/>
      <c r="U108" s="438"/>
      <c r="V108" s="445"/>
      <c r="W108" s="441"/>
      <c r="X108" s="1534"/>
      <c r="AO108" s="834"/>
      <c r="AP108" s="443"/>
      <c r="AQ108" s="835"/>
    </row>
    <row r="109" spans="1:43" s="404" customFormat="1" ht="27" customHeight="1" x14ac:dyDescent="0.2">
      <c r="A109" s="437"/>
      <c r="K109" s="438"/>
      <c r="L109" s="412"/>
      <c r="M109" s="412"/>
      <c r="N109" s="412"/>
      <c r="O109" s="439"/>
      <c r="P109" s="438"/>
      <c r="Q109" s="440"/>
      <c r="R109" s="444"/>
      <c r="S109" s="438"/>
      <c r="T109" s="438"/>
      <c r="U109" s="438"/>
      <c r="V109" s="445"/>
      <c r="W109" s="441"/>
      <c r="X109" s="1534"/>
      <c r="AO109" s="834"/>
      <c r="AP109" s="443"/>
      <c r="AQ109" s="835"/>
    </row>
    <row r="110" spans="1:43" s="404" customFormat="1" ht="27" customHeight="1" x14ac:dyDescent="0.2">
      <c r="A110" s="437"/>
      <c r="K110" s="438"/>
      <c r="L110" s="412"/>
      <c r="M110" s="412"/>
      <c r="N110" s="412"/>
      <c r="O110" s="439"/>
      <c r="P110" s="438"/>
      <c r="Q110" s="440"/>
      <c r="R110" s="444"/>
      <c r="S110" s="438"/>
      <c r="T110" s="438"/>
      <c r="U110" s="438"/>
      <c r="V110" s="445"/>
      <c r="W110" s="441"/>
      <c r="X110" s="1534"/>
      <c r="AO110" s="834"/>
      <c r="AP110" s="443"/>
      <c r="AQ110" s="835"/>
    </row>
    <row r="111" spans="1:43" s="404" customFormat="1" ht="27" customHeight="1" x14ac:dyDescent="0.2">
      <c r="A111" s="437"/>
      <c r="K111" s="438"/>
      <c r="L111" s="412"/>
      <c r="M111" s="412"/>
      <c r="N111" s="412"/>
      <c r="O111" s="439"/>
      <c r="P111" s="438"/>
      <c r="Q111" s="440"/>
      <c r="R111" s="444"/>
      <c r="S111" s="438"/>
      <c r="T111" s="438"/>
      <c r="U111" s="438"/>
      <c r="V111" s="445"/>
      <c r="W111" s="441"/>
      <c r="X111" s="1534"/>
      <c r="AO111" s="834"/>
      <c r="AP111" s="443"/>
      <c r="AQ111" s="835"/>
    </row>
    <row r="112" spans="1:43" s="404" customFormat="1" ht="27" customHeight="1" x14ac:dyDescent="0.2">
      <c r="A112" s="437"/>
      <c r="K112" s="438"/>
      <c r="L112" s="412"/>
      <c r="M112" s="412"/>
      <c r="N112" s="412"/>
      <c r="O112" s="439"/>
      <c r="P112" s="438"/>
      <c r="Q112" s="440"/>
      <c r="R112" s="444"/>
      <c r="S112" s="438"/>
      <c r="T112" s="438"/>
      <c r="U112" s="438"/>
      <c r="V112" s="445"/>
      <c r="W112" s="441"/>
      <c r="X112" s="1534"/>
      <c r="AO112" s="834"/>
      <c r="AP112" s="443"/>
      <c r="AQ112" s="835"/>
    </row>
    <row r="113" spans="1:43" s="404" customFormat="1" ht="27" customHeight="1" x14ac:dyDescent="0.2">
      <c r="A113" s="437"/>
      <c r="K113" s="438"/>
      <c r="L113" s="412"/>
      <c r="M113" s="412"/>
      <c r="N113" s="412"/>
      <c r="O113" s="439"/>
      <c r="P113" s="438"/>
      <c r="Q113" s="440"/>
      <c r="R113" s="444"/>
      <c r="S113" s="438"/>
      <c r="T113" s="438"/>
      <c r="U113" s="438"/>
      <c r="V113" s="445"/>
      <c r="W113" s="441"/>
      <c r="X113" s="1534"/>
      <c r="AO113" s="834"/>
      <c r="AP113" s="443"/>
      <c r="AQ113" s="835"/>
    </row>
    <row r="114" spans="1:43" s="404" customFormat="1" ht="27" customHeight="1" x14ac:dyDescent="0.2">
      <c r="A114" s="437"/>
      <c r="K114" s="438"/>
      <c r="L114" s="412"/>
      <c r="M114" s="412"/>
      <c r="N114" s="412"/>
      <c r="O114" s="439"/>
      <c r="P114" s="438"/>
      <c r="Q114" s="440"/>
      <c r="R114" s="444"/>
      <c r="S114" s="438"/>
      <c r="T114" s="438"/>
      <c r="U114" s="438"/>
      <c r="V114" s="445"/>
      <c r="W114" s="441"/>
      <c r="X114" s="1534"/>
      <c r="AO114" s="834"/>
      <c r="AP114" s="443"/>
      <c r="AQ114" s="835"/>
    </row>
    <row r="115" spans="1:43" s="404" customFormat="1" ht="27" customHeight="1" x14ac:dyDescent="0.2">
      <c r="A115" s="437"/>
      <c r="K115" s="438"/>
      <c r="L115" s="412"/>
      <c r="M115" s="412"/>
      <c r="N115" s="412"/>
      <c r="O115" s="439"/>
      <c r="P115" s="438"/>
      <c r="Q115" s="440"/>
      <c r="R115" s="444"/>
      <c r="S115" s="438"/>
      <c r="T115" s="438"/>
      <c r="U115" s="438"/>
      <c r="V115" s="445"/>
      <c r="W115" s="441"/>
      <c r="X115" s="1534"/>
      <c r="AO115" s="834"/>
      <c r="AP115" s="443"/>
      <c r="AQ115" s="835"/>
    </row>
    <row r="116" spans="1:43" s="404" customFormat="1" ht="27" customHeight="1" x14ac:dyDescent="0.2">
      <c r="A116" s="437"/>
      <c r="K116" s="438"/>
      <c r="L116" s="412"/>
      <c r="M116" s="412"/>
      <c r="N116" s="412"/>
      <c r="O116" s="439"/>
      <c r="P116" s="438"/>
      <c r="Q116" s="440"/>
      <c r="R116" s="444"/>
      <c r="S116" s="438"/>
      <c r="T116" s="438"/>
      <c r="U116" s="438"/>
      <c r="V116" s="445"/>
      <c r="W116" s="441"/>
      <c r="X116" s="1534"/>
      <c r="AO116" s="834"/>
      <c r="AP116" s="443"/>
      <c r="AQ116" s="835"/>
    </row>
    <row r="117" spans="1:43" s="404" customFormat="1" ht="27" customHeight="1" x14ac:dyDescent="0.2">
      <c r="A117" s="437"/>
      <c r="K117" s="438"/>
      <c r="L117" s="412"/>
      <c r="M117" s="412"/>
      <c r="N117" s="412"/>
      <c r="O117" s="439"/>
      <c r="P117" s="438"/>
      <c r="Q117" s="440"/>
      <c r="R117" s="444"/>
      <c r="S117" s="438"/>
      <c r="T117" s="438"/>
      <c r="U117" s="438"/>
      <c r="V117" s="445"/>
      <c r="W117" s="441"/>
      <c r="X117" s="1534"/>
      <c r="AO117" s="834"/>
      <c r="AP117" s="443"/>
      <c r="AQ117" s="835"/>
    </row>
    <row r="118" spans="1:43" s="404" customFormat="1" ht="27" customHeight="1" x14ac:dyDescent="0.2">
      <c r="A118" s="437"/>
      <c r="K118" s="438"/>
      <c r="L118" s="412"/>
      <c r="M118" s="412"/>
      <c r="N118" s="412"/>
      <c r="O118" s="439"/>
      <c r="P118" s="438"/>
      <c r="Q118" s="440"/>
      <c r="R118" s="444"/>
      <c r="S118" s="438"/>
      <c r="T118" s="438"/>
      <c r="U118" s="438"/>
      <c r="V118" s="445"/>
      <c r="W118" s="441"/>
      <c r="X118" s="1534"/>
      <c r="AO118" s="834"/>
      <c r="AP118" s="443"/>
      <c r="AQ118" s="835"/>
    </row>
    <row r="119" spans="1:43" s="404" customFormat="1" ht="27" customHeight="1" x14ac:dyDescent="0.2">
      <c r="A119" s="437"/>
      <c r="K119" s="438"/>
      <c r="L119" s="412"/>
      <c r="M119" s="412"/>
      <c r="N119" s="412"/>
      <c r="O119" s="439"/>
      <c r="P119" s="438"/>
      <c r="Q119" s="440"/>
      <c r="R119" s="444"/>
      <c r="S119" s="438"/>
      <c r="T119" s="438"/>
      <c r="U119" s="438"/>
      <c r="V119" s="445"/>
      <c r="W119" s="441"/>
      <c r="X119" s="1534"/>
      <c r="AO119" s="834"/>
      <c r="AP119" s="443"/>
      <c r="AQ119" s="835"/>
    </row>
    <row r="120" spans="1:43" s="404" customFormat="1" ht="27" customHeight="1" x14ac:dyDescent="0.2">
      <c r="A120" s="437"/>
      <c r="K120" s="438"/>
      <c r="L120" s="412"/>
      <c r="M120" s="412"/>
      <c r="N120" s="412"/>
      <c r="O120" s="439"/>
      <c r="P120" s="438"/>
      <c r="Q120" s="440"/>
      <c r="R120" s="444"/>
      <c r="S120" s="438"/>
      <c r="T120" s="438"/>
      <c r="U120" s="438"/>
      <c r="V120" s="445"/>
      <c r="W120" s="441"/>
      <c r="X120" s="1534"/>
      <c r="AO120" s="834"/>
      <c r="AP120" s="443"/>
      <c r="AQ120" s="835"/>
    </row>
    <row r="121" spans="1:43" s="404" customFormat="1" ht="27" customHeight="1" x14ac:dyDescent="0.2">
      <c r="A121" s="437"/>
      <c r="K121" s="438"/>
      <c r="L121" s="412"/>
      <c r="M121" s="412"/>
      <c r="N121" s="412"/>
      <c r="O121" s="439"/>
      <c r="P121" s="438"/>
      <c r="Q121" s="440"/>
      <c r="R121" s="444"/>
      <c r="S121" s="438"/>
      <c r="T121" s="438"/>
      <c r="U121" s="438"/>
      <c r="V121" s="445"/>
      <c r="W121" s="441"/>
      <c r="X121" s="1534"/>
      <c r="AO121" s="834"/>
      <c r="AP121" s="443"/>
      <c r="AQ121" s="835"/>
    </row>
    <row r="122" spans="1:43" s="404" customFormat="1" ht="27" customHeight="1" x14ac:dyDescent="0.2">
      <c r="A122" s="437"/>
      <c r="K122" s="438"/>
      <c r="L122" s="412"/>
      <c r="M122" s="412"/>
      <c r="N122" s="412"/>
      <c r="O122" s="439"/>
      <c r="P122" s="438"/>
      <c r="Q122" s="440"/>
      <c r="R122" s="444"/>
      <c r="S122" s="438"/>
      <c r="T122" s="438"/>
      <c r="U122" s="438"/>
      <c r="V122" s="445"/>
      <c r="W122" s="441"/>
      <c r="X122" s="1534"/>
      <c r="AO122" s="834"/>
      <c r="AP122" s="443"/>
      <c r="AQ122" s="835"/>
    </row>
    <row r="123" spans="1:43" s="404" customFormat="1" ht="27" customHeight="1" x14ac:dyDescent="0.2">
      <c r="A123" s="437"/>
      <c r="K123" s="438"/>
      <c r="L123" s="412"/>
      <c r="M123" s="412"/>
      <c r="N123" s="412"/>
      <c r="O123" s="439"/>
      <c r="P123" s="438"/>
      <c r="Q123" s="440"/>
      <c r="R123" s="444"/>
      <c r="S123" s="438"/>
      <c r="T123" s="438"/>
      <c r="U123" s="438"/>
      <c r="V123" s="445"/>
      <c r="W123" s="441"/>
      <c r="X123" s="1534"/>
      <c r="AO123" s="834"/>
      <c r="AP123" s="443"/>
      <c r="AQ123" s="835"/>
    </row>
    <row r="124" spans="1:43" s="404" customFormat="1" ht="27" customHeight="1" x14ac:dyDescent="0.2">
      <c r="A124" s="437"/>
      <c r="K124" s="438"/>
      <c r="L124" s="412"/>
      <c r="M124" s="412"/>
      <c r="N124" s="412"/>
      <c r="O124" s="439"/>
      <c r="P124" s="438"/>
      <c r="Q124" s="440"/>
      <c r="R124" s="444"/>
      <c r="S124" s="438"/>
      <c r="T124" s="438"/>
      <c r="U124" s="438"/>
      <c r="V124" s="445"/>
      <c r="W124" s="441"/>
      <c r="X124" s="1534"/>
      <c r="AO124" s="834"/>
      <c r="AP124" s="443"/>
      <c r="AQ124" s="835"/>
    </row>
    <row r="125" spans="1:43" s="404" customFormat="1" ht="27" customHeight="1" x14ac:dyDescent="0.2">
      <c r="A125" s="437"/>
      <c r="K125" s="438"/>
      <c r="L125" s="412"/>
      <c r="M125" s="412"/>
      <c r="N125" s="412"/>
      <c r="O125" s="439"/>
      <c r="P125" s="438"/>
      <c r="Q125" s="440"/>
      <c r="R125" s="444"/>
      <c r="S125" s="438"/>
      <c r="T125" s="438"/>
      <c r="U125" s="438"/>
      <c r="V125" s="445"/>
      <c r="W125" s="441"/>
      <c r="X125" s="1534"/>
      <c r="AO125" s="834"/>
      <c r="AP125" s="443"/>
      <c r="AQ125" s="835"/>
    </row>
    <row r="126" spans="1:43" s="404" customFormat="1" ht="27" customHeight="1" x14ac:dyDescent="0.2">
      <c r="A126" s="437"/>
      <c r="K126" s="438"/>
      <c r="L126" s="412"/>
      <c r="M126" s="412"/>
      <c r="N126" s="412"/>
      <c r="O126" s="439"/>
      <c r="P126" s="438"/>
      <c r="Q126" s="440"/>
      <c r="R126" s="444"/>
      <c r="S126" s="438"/>
      <c r="T126" s="438"/>
      <c r="U126" s="438"/>
      <c r="V126" s="445"/>
      <c r="W126" s="441"/>
      <c r="X126" s="1534"/>
      <c r="AO126" s="834"/>
      <c r="AP126" s="443"/>
      <c r="AQ126" s="835"/>
    </row>
    <row r="127" spans="1:43" s="404" customFormat="1" ht="27" customHeight="1" x14ac:dyDescent="0.2">
      <c r="A127" s="437"/>
      <c r="K127" s="438"/>
      <c r="L127" s="412"/>
      <c r="M127" s="412"/>
      <c r="N127" s="412"/>
      <c r="O127" s="439"/>
      <c r="P127" s="438"/>
      <c r="Q127" s="440"/>
      <c r="R127" s="444"/>
      <c r="S127" s="438"/>
      <c r="T127" s="438"/>
      <c r="U127" s="438"/>
      <c r="V127" s="445"/>
      <c r="W127" s="441"/>
      <c r="X127" s="1534"/>
      <c r="AO127" s="834"/>
      <c r="AP127" s="443"/>
      <c r="AQ127" s="835"/>
    </row>
    <row r="128" spans="1:43" s="404" customFormat="1" ht="27" customHeight="1" x14ac:dyDescent="0.2">
      <c r="A128" s="437"/>
      <c r="K128" s="438"/>
      <c r="L128" s="412"/>
      <c r="M128" s="412"/>
      <c r="N128" s="412"/>
      <c r="O128" s="439"/>
      <c r="P128" s="438"/>
      <c r="Q128" s="440"/>
      <c r="R128" s="444"/>
      <c r="S128" s="438"/>
      <c r="T128" s="438"/>
      <c r="U128" s="438"/>
      <c r="V128" s="445"/>
      <c r="W128" s="441"/>
      <c r="X128" s="1534"/>
      <c r="AO128" s="834"/>
      <c r="AP128" s="443"/>
      <c r="AQ128" s="835"/>
    </row>
    <row r="129" spans="1:43" s="404" customFormat="1" ht="27" customHeight="1" x14ac:dyDescent="0.2">
      <c r="A129" s="437"/>
      <c r="K129" s="438"/>
      <c r="L129" s="412"/>
      <c r="M129" s="412"/>
      <c r="N129" s="412"/>
      <c r="O129" s="439"/>
      <c r="P129" s="438"/>
      <c r="Q129" s="440"/>
      <c r="R129" s="444"/>
      <c r="S129" s="438"/>
      <c r="T129" s="438"/>
      <c r="U129" s="438"/>
      <c r="V129" s="445"/>
      <c r="W129" s="441"/>
      <c r="X129" s="1534"/>
      <c r="AO129" s="834"/>
      <c r="AP129" s="443"/>
      <c r="AQ129" s="835"/>
    </row>
    <row r="130" spans="1:43" s="404" customFormat="1" ht="27" customHeight="1" x14ac:dyDescent="0.2">
      <c r="A130" s="437"/>
      <c r="K130" s="438"/>
      <c r="L130" s="412"/>
      <c r="M130" s="412"/>
      <c r="N130" s="412"/>
      <c r="O130" s="439"/>
      <c r="P130" s="438"/>
      <c r="Q130" s="440"/>
      <c r="R130" s="444"/>
      <c r="S130" s="438"/>
      <c r="T130" s="438"/>
      <c r="U130" s="438"/>
      <c r="V130" s="445"/>
      <c r="W130" s="441"/>
      <c r="X130" s="1534"/>
      <c r="AO130" s="834"/>
      <c r="AP130" s="443"/>
      <c r="AQ130" s="835"/>
    </row>
    <row r="131" spans="1:43" s="404" customFormat="1" ht="27" customHeight="1" x14ac:dyDescent="0.2">
      <c r="A131" s="437"/>
      <c r="K131" s="438"/>
      <c r="L131" s="412"/>
      <c r="M131" s="412"/>
      <c r="N131" s="412"/>
      <c r="O131" s="439"/>
      <c r="P131" s="438"/>
      <c r="Q131" s="440"/>
      <c r="R131" s="444"/>
      <c r="S131" s="438"/>
      <c r="T131" s="438"/>
      <c r="U131" s="438"/>
      <c r="V131" s="445"/>
      <c r="W131" s="441"/>
      <c r="X131" s="1534"/>
      <c r="AO131" s="834"/>
      <c r="AP131" s="443"/>
      <c r="AQ131" s="835"/>
    </row>
    <row r="132" spans="1:43" s="404" customFormat="1" ht="27" customHeight="1" x14ac:dyDescent="0.2">
      <c r="A132" s="437"/>
      <c r="K132" s="438"/>
      <c r="L132" s="412"/>
      <c r="M132" s="412"/>
      <c r="N132" s="412"/>
      <c r="O132" s="439"/>
      <c r="P132" s="438"/>
      <c r="Q132" s="440"/>
      <c r="R132" s="444"/>
      <c r="S132" s="438"/>
      <c r="T132" s="438"/>
      <c r="U132" s="438"/>
      <c r="V132" s="445"/>
      <c r="W132" s="441"/>
      <c r="X132" s="1534"/>
      <c r="AO132" s="834"/>
      <c r="AP132" s="443"/>
      <c r="AQ132" s="835"/>
    </row>
    <row r="133" spans="1:43" s="404" customFormat="1" ht="27" customHeight="1" x14ac:dyDescent="0.2">
      <c r="A133" s="437"/>
      <c r="K133" s="438"/>
      <c r="L133" s="412"/>
      <c r="M133" s="412"/>
      <c r="N133" s="412"/>
      <c r="O133" s="439"/>
      <c r="P133" s="438"/>
      <c r="Q133" s="440"/>
      <c r="R133" s="444"/>
      <c r="S133" s="438"/>
      <c r="T133" s="438"/>
      <c r="U133" s="438"/>
      <c r="V133" s="445"/>
      <c r="W133" s="441"/>
      <c r="X133" s="1534"/>
      <c r="AO133" s="834"/>
      <c r="AP133" s="443"/>
      <c r="AQ133" s="835"/>
    </row>
    <row r="134" spans="1:43" s="404" customFormat="1" ht="27" customHeight="1" x14ac:dyDescent="0.2">
      <c r="A134" s="437"/>
      <c r="K134" s="438"/>
      <c r="L134" s="412"/>
      <c r="M134" s="412"/>
      <c r="N134" s="412"/>
      <c r="O134" s="439"/>
      <c r="P134" s="438"/>
      <c r="Q134" s="440"/>
      <c r="R134" s="444"/>
      <c r="S134" s="438"/>
      <c r="T134" s="438"/>
      <c r="U134" s="438"/>
      <c r="V134" s="445"/>
      <c r="W134" s="441"/>
      <c r="X134" s="1534"/>
      <c r="AO134" s="834"/>
      <c r="AP134" s="443"/>
      <c r="AQ134" s="835"/>
    </row>
    <row r="135" spans="1:43" s="404" customFormat="1" ht="27" customHeight="1" x14ac:dyDescent="0.2">
      <c r="A135" s="437"/>
      <c r="K135" s="438"/>
      <c r="L135" s="412"/>
      <c r="M135" s="412"/>
      <c r="N135" s="412"/>
      <c r="O135" s="439"/>
      <c r="P135" s="438"/>
      <c r="Q135" s="440"/>
      <c r="R135" s="444"/>
      <c r="S135" s="438"/>
      <c r="T135" s="438"/>
      <c r="U135" s="438"/>
      <c r="V135" s="445"/>
      <c r="W135" s="441"/>
      <c r="X135" s="1534"/>
      <c r="AO135" s="834"/>
      <c r="AP135" s="443"/>
      <c r="AQ135" s="835"/>
    </row>
    <row r="136" spans="1:43" s="404" customFormat="1" ht="27" customHeight="1" x14ac:dyDescent="0.2">
      <c r="A136" s="437"/>
      <c r="K136" s="438"/>
      <c r="L136" s="412"/>
      <c r="M136" s="412"/>
      <c r="N136" s="412"/>
      <c r="O136" s="439"/>
      <c r="P136" s="438"/>
      <c r="Q136" s="440"/>
      <c r="R136" s="444"/>
      <c r="S136" s="438"/>
      <c r="T136" s="438"/>
      <c r="U136" s="438"/>
      <c r="V136" s="445"/>
      <c r="W136" s="441"/>
      <c r="X136" s="1534"/>
      <c r="AO136" s="834"/>
      <c r="AP136" s="443"/>
      <c r="AQ136" s="835"/>
    </row>
    <row r="137" spans="1:43" s="404" customFormat="1" ht="27" customHeight="1" x14ac:dyDescent="0.2">
      <c r="A137" s="437"/>
      <c r="K137" s="438"/>
      <c r="L137" s="412"/>
      <c r="M137" s="412"/>
      <c r="N137" s="412"/>
      <c r="O137" s="439"/>
      <c r="P137" s="438"/>
      <c r="Q137" s="440"/>
      <c r="R137" s="444"/>
      <c r="S137" s="438"/>
      <c r="T137" s="438"/>
      <c r="U137" s="438"/>
      <c r="V137" s="445"/>
      <c r="W137" s="441"/>
      <c r="X137" s="1534"/>
      <c r="AO137" s="834"/>
      <c r="AP137" s="443"/>
      <c r="AQ137" s="835"/>
    </row>
    <row r="138" spans="1:43" s="404" customFormat="1" ht="27" customHeight="1" x14ac:dyDescent="0.2">
      <c r="A138" s="437"/>
      <c r="K138" s="438"/>
      <c r="L138" s="412"/>
      <c r="M138" s="412"/>
      <c r="N138" s="412"/>
      <c r="O138" s="439"/>
      <c r="P138" s="438"/>
      <c r="Q138" s="440"/>
      <c r="R138" s="444"/>
      <c r="S138" s="438"/>
      <c r="T138" s="438"/>
      <c r="U138" s="438"/>
      <c r="V138" s="445"/>
      <c r="W138" s="441"/>
      <c r="X138" s="1534"/>
      <c r="AO138" s="834"/>
      <c r="AP138" s="443"/>
      <c r="AQ138" s="835"/>
    </row>
    <row r="139" spans="1:43" s="404" customFormat="1" ht="27" customHeight="1" x14ac:dyDescent="0.2">
      <c r="A139" s="437"/>
      <c r="K139" s="438"/>
      <c r="L139" s="412"/>
      <c r="M139" s="412"/>
      <c r="N139" s="412"/>
      <c r="O139" s="439"/>
      <c r="P139" s="438"/>
      <c r="Q139" s="440"/>
      <c r="R139" s="444"/>
      <c r="S139" s="438"/>
      <c r="T139" s="438"/>
      <c r="U139" s="438"/>
      <c r="V139" s="445"/>
      <c r="W139" s="441"/>
      <c r="X139" s="1534"/>
      <c r="AO139" s="834"/>
      <c r="AP139" s="443"/>
      <c r="AQ139" s="835"/>
    </row>
    <row r="140" spans="1:43" s="404" customFormat="1" ht="27" customHeight="1" x14ac:dyDescent="0.2">
      <c r="A140" s="437"/>
      <c r="K140" s="438"/>
      <c r="L140" s="412"/>
      <c r="M140" s="412"/>
      <c r="N140" s="412"/>
      <c r="O140" s="439"/>
      <c r="P140" s="438"/>
      <c r="Q140" s="440"/>
      <c r="R140" s="444"/>
      <c r="S140" s="438"/>
      <c r="T140" s="438"/>
      <c r="U140" s="438"/>
      <c r="V140" s="445"/>
      <c r="W140" s="441"/>
      <c r="X140" s="1534"/>
      <c r="AO140" s="834"/>
      <c r="AP140" s="443"/>
      <c r="AQ140" s="835"/>
    </row>
    <row r="141" spans="1:43" s="404" customFormat="1" ht="27" customHeight="1" x14ac:dyDescent="0.2">
      <c r="A141" s="437"/>
      <c r="K141" s="438"/>
      <c r="L141" s="412"/>
      <c r="M141" s="412"/>
      <c r="N141" s="412"/>
      <c r="O141" s="439"/>
      <c r="P141" s="438"/>
      <c r="Q141" s="440"/>
      <c r="R141" s="444"/>
      <c r="S141" s="438"/>
      <c r="T141" s="438"/>
      <c r="U141" s="438"/>
      <c r="V141" s="445"/>
      <c r="W141" s="441"/>
      <c r="X141" s="1534"/>
      <c r="AO141" s="834"/>
      <c r="AP141" s="443"/>
      <c r="AQ141" s="835"/>
    </row>
    <row r="142" spans="1:43" s="404" customFormat="1" ht="27" customHeight="1" x14ac:dyDescent="0.2">
      <c r="A142" s="437"/>
      <c r="K142" s="438"/>
      <c r="L142" s="412"/>
      <c r="M142" s="412"/>
      <c r="N142" s="412"/>
      <c r="O142" s="439"/>
      <c r="P142" s="438"/>
      <c r="Q142" s="440"/>
      <c r="R142" s="444"/>
      <c r="S142" s="438"/>
      <c r="T142" s="438"/>
      <c r="U142" s="438"/>
      <c r="V142" s="445"/>
      <c r="W142" s="441"/>
      <c r="X142" s="1534"/>
      <c r="AO142" s="834"/>
      <c r="AP142" s="443"/>
      <c r="AQ142" s="835"/>
    </row>
    <row r="143" spans="1:43" s="404" customFormat="1" ht="27" customHeight="1" x14ac:dyDescent="0.2">
      <c r="A143" s="437"/>
      <c r="K143" s="438"/>
      <c r="L143" s="412"/>
      <c r="M143" s="412"/>
      <c r="N143" s="412"/>
      <c r="O143" s="439"/>
      <c r="P143" s="438"/>
      <c r="Q143" s="440"/>
      <c r="R143" s="444"/>
      <c r="S143" s="438"/>
      <c r="T143" s="438"/>
      <c r="U143" s="438"/>
      <c r="V143" s="445"/>
      <c r="W143" s="441"/>
      <c r="X143" s="1534"/>
      <c r="AO143" s="834"/>
      <c r="AP143" s="443"/>
      <c r="AQ143" s="835"/>
    </row>
    <row r="144" spans="1:43" s="404" customFormat="1" ht="27" customHeight="1" x14ac:dyDescent="0.2">
      <c r="A144" s="437"/>
      <c r="K144" s="438"/>
      <c r="L144" s="412"/>
      <c r="M144" s="412"/>
      <c r="N144" s="412"/>
      <c r="O144" s="439"/>
      <c r="P144" s="438"/>
      <c r="Q144" s="440"/>
      <c r="R144" s="444"/>
      <c r="S144" s="438"/>
      <c r="T144" s="438"/>
      <c r="U144" s="438"/>
      <c r="V144" s="445"/>
      <c r="W144" s="441"/>
      <c r="X144" s="1534"/>
      <c r="AO144" s="834"/>
      <c r="AP144" s="443"/>
      <c r="AQ144" s="835"/>
    </row>
    <row r="145" spans="1:43" s="404" customFormat="1" ht="27" customHeight="1" x14ac:dyDescent="0.2">
      <c r="A145" s="437"/>
      <c r="K145" s="438"/>
      <c r="L145" s="412"/>
      <c r="M145" s="412"/>
      <c r="N145" s="412"/>
      <c r="O145" s="439"/>
      <c r="P145" s="438"/>
      <c r="Q145" s="440"/>
      <c r="R145" s="444"/>
      <c r="S145" s="438"/>
      <c r="T145" s="438"/>
      <c r="U145" s="438"/>
      <c r="V145" s="445"/>
      <c r="W145" s="441"/>
      <c r="X145" s="1534"/>
      <c r="AO145" s="834"/>
      <c r="AP145" s="443"/>
      <c r="AQ145" s="835"/>
    </row>
    <row r="146" spans="1:43" s="404" customFormat="1" ht="27" customHeight="1" x14ac:dyDescent="0.2">
      <c r="A146" s="437"/>
      <c r="K146" s="438"/>
      <c r="L146" s="412"/>
      <c r="M146" s="412"/>
      <c r="N146" s="412"/>
      <c r="O146" s="439"/>
      <c r="P146" s="438"/>
      <c r="Q146" s="440"/>
      <c r="R146" s="444"/>
      <c r="S146" s="438"/>
      <c r="T146" s="438"/>
      <c r="U146" s="438"/>
      <c r="V146" s="445"/>
      <c r="W146" s="441"/>
      <c r="X146" s="1534"/>
      <c r="AO146" s="834"/>
      <c r="AP146" s="443"/>
      <c r="AQ146" s="835"/>
    </row>
    <row r="147" spans="1:43" s="404" customFormat="1" ht="27" customHeight="1" x14ac:dyDescent="0.2">
      <c r="A147" s="437"/>
      <c r="K147" s="438"/>
      <c r="L147" s="412"/>
      <c r="M147" s="412"/>
      <c r="N147" s="412"/>
      <c r="O147" s="439"/>
      <c r="P147" s="438"/>
      <c r="Q147" s="440"/>
      <c r="R147" s="444"/>
      <c r="S147" s="438"/>
      <c r="T147" s="438"/>
      <c r="U147" s="438"/>
      <c r="V147" s="445"/>
      <c r="W147" s="441"/>
      <c r="X147" s="1534"/>
      <c r="AO147" s="834"/>
      <c r="AP147" s="443"/>
      <c r="AQ147" s="835"/>
    </row>
    <row r="148" spans="1:43" s="404" customFormat="1" ht="27" customHeight="1" x14ac:dyDescent="0.2">
      <c r="A148" s="437"/>
      <c r="K148" s="438"/>
      <c r="L148" s="412"/>
      <c r="M148" s="412"/>
      <c r="N148" s="412"/>
      <c r="O148" s="439"/>
      <c r="P148" s="438"/>
      <c r="Q148" s="440"/>
      <c r="R148" s="444"/>
      <c r="S148" s="438"/>
      <c r="T148" s="438"/>
      <c r="U148" s="438"/>
      <c r="V148" s="445"/>
      <c r="W148" s="441"/>
      <c r="X148" s="1534"/>
      <c r="AO148" s="834"/>
      <c r="AP148" s="443"/>
      <c r="AQ148" s="835"/>
    </row>
    <row r="149" spans="1:43" s="404" customFormat="1" ht="27" customHeight="1" x14ac:dyDescent="0.2">
      <c r="A149" s="437"/>
      <c r="K149" s="438"/>
      <c r="L149" s="412"/>
      <c r="M149" s="412"/>
      <c r="N149" s="412"/>
      <c r="O149" s="439"/>
      <c r="P149" s="438"/>
      <c r="Q149" s="440"/>
      <c r="R149" s="444"/>
      <c r="S149" s="438"/>
      <c r="T149" s="438"/>
      <c r="U149" s="438"/>
      <c r="V149" s="445"/>
      <c r="W149" s="441"/>
      <c r="X149" s="1534"/>
      <c r="AO149" s="834"/>
      <c r="AP149" s="443"/>
      <c r="AQ149" s="835"/>
    </row>
    <row r="150" spans="1:43" s="404" customFormat="1" ht="27" customHeight="1" x14ac:dyDescent="0.2">
      <c r="A150" s="437"/>
      <c r="K150" s="438"/>
      <c r="L150" s="412"/>
      <c r="M150" s="412"/>
      <c r="N150" s="412"/>
      <c r="O150" s="439"/>
      <c r="P150" s="438"/>
      <c r="Q150" s="440"/>
      <c r="R150" s="444"/>
      <c r="S150" s="438"/>
      <c r="T150" s="438"/>
      <c r="U150" s="438"/>
      <c r="V150" s="445"/>
      <c r="W150" s="441"/>
      <c r="X150" s="1534"/>
      <c r="AO150" s="834"/>
      <c r="AP150" s="443"/>
      <c r="AQ150" s="835"/>
    </row>
    <row r="151" spans="1:43" s="404" customFormat="1" ht="27" customHeight="1" x14ac:dyDescent="0.2">
      <c r="A151" s="437"/>
      <c r="K151" s="438"/>
      <c r="L151" s="412"/>
      <c r="M151" s="412"/>
      <c r="N151" s="412"/>
      <c r="O151" s="439"/>
      <c r="P151" s="438"/>
      <c r="Q151" s="440"/>
      <c r="R151" s="444"/>
      <c r="S151" s="438"/>
      <c r="T151" s="438"/>
      <c r="U151" s="438"/>
      <c r="V151" s="445"/>
      <c r="W151" s="441"/>
      <c r="X151" s="1534"/>
      <c r="AO151" s="834"/>
      <c r="AP151" s="443"/>
      <c r="AQ151" s="835"/>
    </row>
    <row r="152" spans="1:43" s="404" customFormat="1" ht="27" customHeight="1" x14ac:dyDescent="0.2">
      <c r="A152" s="437"/>
      <c r="K152" s="438"/>
      <c r="L152" s="412"/>
      <c r="M152" s="412"/>
      <c r="N152" s="412"/>
      <c r="O152" s="439"/>
      <c r="P152" s="438"/>
      <c r="Q152" s="440"/>
      <c r="R152" s="444"/>
      <c r="S152" s="438"/>
      <c r="T152" s="438"/>
      <c r="U152" s="438"/>
      <c r="V152" s="445"/>
      <c r="W152" s="441"/>
      <c r="X152" s="1534"/>
      <c r="AO152" s="834"/>
      <c r="AP152" s="443"/>
      <c r="AQ152" s="835"/>
    </row>
    <row r="153" spans="1:43" s="404" customFormat="1" ht="27" customHeight="1" x14ac:dyDescent="0.2">
      <c r="A153" s="437"/>
      <c r="K153" s="438"/>
      <c r="L153" s="412"/>
      <c r="M153" s="412"/>
      <c r="N153" s="412"/>
      <c r="O153" s="439"/>
      <c r="P153" s="438"/>
      <c r="Q153" s="440"/>
      <c r="R153" s="444"/>
      <c r="S153" s="438"/>
      <c r="T153" s="438"/>
      <c r="U153" s="438"/>
      <c r="V153" s="445"/>
      <c r="W153" s="441"/>
      <c r="X153" s="1534"/>
      <c r="AO153" s="834"/>
      <c r="AP153" s="443"/>
      <c r="AQ153" s="835"/>
    </row>
    <row r="154" spans="1:43" s="404" customFormat="1" ht="27" customHeight="1" x14ac:dyDescent="0.2">
      <c r="A154" s="437"/>
      <c r="K154" s="438"/>
      <c r="L154" s="412"/>
      <c r="M154" s="412"/>
      <c r="N154" s="412"/>
      <c r="O154" s="439"/>
      <c r="P154" s="438"/>
      <c r="Q154" s="440"/>
      <c r="R154" s="444"/>
      <c r="S154" s="438"/>
      <c r="T154" s="438"/>
      <c r="U154" s="438"/>
      <c r="V154" s="445"/>
      <c r="W154" s="441"/>
      <c r="X154" s="1534"/>
      <c r="AO154" s="834"/>
      <c r="AP154" s="443"/>
      <c r="AQ154" s="835"/>
    </row>
    <row r="155" spans="1:43" s="404" customFormat="1" ht="27" customHeight="1" x14ac:dyDescent="0.2">
      <c r="A155" s="437"/>
      <c r="K155" s="438"/>
      <c r="L155" s="412"/>
      <c r="M155" s="412"/>
      <c r="N155" s="412"/>
      <c r="O155" s="439"/>
      <c r="P155" s="438"/>
      <c r="Q155" s="440"/>
      <c r="R155" s="444"/>
      <c r="S155" s="438"/>
      <c r="T155" s="438"/>
      <c r="U155" s="438"/>
      <c r="V155" s="445"/>
      <c r="W155" s="441"/>
      <c r="X155" s="1534"/>
      <c r="AO155" s="834"/>
      <c r="AP155" s="443"/>
      <c r="AQ155" s="835"/>
    </row>
    <row r="156" spans="1:43" s="404" customFormat="1" ht="27" customHeight="1" x14ac:dyDescent="0.2">
      <c r="A156" s="437"/>
      <c r="K156" s="438"/>
      <c r="L156" s="412"/>
      <c r="M156" s="412"/>
      <c r="N156" s="412"/>
      <c r="O156" s="439"/>
      <c r="P156" s="438"/>
      <c r="Q156" s="440"/>
      <c r="R156" s="444"/>
      <c r="S156" s="438"/>
      <c r="T156" s="438"/>
      <c r="U156" s="438"/>
      <c r="V156" s="445"/>
      <c r="W156" s="441"/>
      <c r="X156" s="1534"/>
      <c r="AO156" s="834"/>
      <c r="AP156" s="443"/>
      <c r="AQ156" s="835"/>
    </row>
    <row r="157" spans="1:43" s="404" customFormat="1" ht="27" customHeight="1" x14ac:dyDescent="0.2">
      <c r="A157" s="437"/>
      <c r="K157" s="438"/>
      <c r="L157" s="412"/>
      <c r="M157" s="412"/>
      <c r="N157" s="412"/>
      <c r="O157" s="439"/>
      <c r="P157" s="438"/>
      <c r="Q157" s="440"/>
      <c r="R157" s="444"/>
      <c r="S157" s="438"/>
      <c r="T157" s="438"/>
      <c r="U157" s="438"/>
      <c r="V157" s="445"/>
      <c r="W157" s="441"/>
      <c r="X157" s="1534"/>
      <c r="AO157" s="834"/>
      <c r="AP157" s="443"/>
      <c r="AQ157" s="835"/>
    </row>
    <row r="158" spans="1:43" s="404" customFormat="1" ht="27" customHeight="1" x14ac:dyDescent="0.2">
      <c r="A158" s="437"/>
      <c r="K158" s="438"/>
      <c r="L158" s="412"/>
      <c r="M158" s="412"/>
      <c r="N158" s="412"/>
      <c r="O158" s="439"/>
      <c r="P158" s="438"/>
      <c r="Q158" s="440"/>
      <c r="R158" s="444"/>
      <c r="S158" s="438"/>
      <c r="T158" s="438"/>
      <c r="U158" s="438"/>
      <c r="V158" s="445"/>
      <c r="W158" s="441"/>
      <c r="X158" s="1534"/>
      <c r="AO158" s="834"/>
      <c r="AP158" s="443"/>
      <c r="AQ158" s="835"/>
    </row>
    <row r="159" spans="1:43" s="404" customFormat="1" ht="27" customHeight="1" x14ac:dyDescent="0.2">
      <c r="A159" s="437"/>
      <c r="K159" s="438"/>
      <c r="L159" s="412"/>
      <c r="M159" s="412"/>
      <c r="N159" s="412"/>
      <c r="O159" s="439"/>
      <c r="P159" s="438"/>
      <c r="Q159" s="440"/>
      <c r="R159" s="444"/>
      <c r="S159" s="438"/>
      <c r="T159" s="438"/>
      <c r="U159" s="438"/>
      <c r="V159" s="445"/>
      <c r="W159" s="441"/>
      <c r="X159" s="1534"/>
      <c r="AO159" s="834"/>
      <c r="AP159" s="443"/>
      <c r="AQ159" s="835"/>
    </row>
    <row r="160" spans="1:43" s="404" customFormat="1" ht="27" customHeight="1" x14ac:dyDescent="0.2">
      <c r="A160" s="437"/>
      <c r="K160" s="438"/>
      <c r="L160" s="412"/>
      <c r="M160" s="412"/>
      <c r="N160" s="412"/>
      <c r="O160" s="439"/>
      <c r="P160" s="438"/>
      <c r="Q160" s="440"/>
      <c r="R160" s="444"/>
      <c r="S160" s="438"/>
      <c r="T160" s="438"/>
      <c r="U160" s="438"/>
      <c r="V160" s="445"/>
      <c r="W160" s="441"/>
      <c r="X160" s="1534"/>
      <c r="AO160" s="834"/>
      <c r="AP160" s="443"/>
      <c r="AQ160" s="835"/>
    </row>
  </sheetData>
  <sheetProtection password="D9CF" sheet="1" objects="1" scenarios="1"/>
  <mergeCells count="253">
    <mergeCell ref="AP42:AP48"/>
    <mergeCell ref="AQ42:AQ48"/>
    <mergeCell ref="H49:L49"/>
    <mergeCell ref="H50:I55"/>
    <mergeCell ref="AQ50:AQ55"/>
    <mergeCell ref="AF50:AF55"/>
    <mergeCell ref="AG50:AG55"/>
    <mergeCell ref="AH50:AH55"/>
    <mergeCell ref="AI50:AI55"/>
    <mergeCell ref="AJ50:AJ55"/>
    <mergeCell ref="AN50:AN55"/>
    <mergeCell ref="AO50:AO55"/>
    <mergeCell ref="AP50:AP55"/>
    <mergeCell ref="J50:J52"/>
    <mergeCell ref="K50:K52"/>
    <mergeCell ref="L50:L55"/>
    <mergeCell ref="M50:M52"/>
    <mergeCell ref="O50:O55"/>
    <mergeCell ref="P50:P55"/>
    <mergeCell ref="Q50:Q52"/>
    <mergeCell ref="R50:R55"/>
    <mergeCell ref="Y50:Y55"/>
    <mergeCell ref="Z50:Z55"/>
    <mergeCell ref="N42:N48"/>
    <mergeCell ref="U12:U13"/>
    <mergeCell ref="J53:J55"/>
    <mergeCell ref="K53:K55"/>
    <mergeCell ref="M53:M55"/>
    <mergeCell ref="Q53:Q55"/>
    <mergeCell ref="T53:T55"/>
    <mergeCell ref="S42:S48"/>
    <mergeCell ref="T42:T46"/>
    <mergeCell ref="S50:S55"/>
    <mergeCell ref="T50:T52"/>
    <mergeCell ref="H27:K27"/>
    <mergeCell ref="H28:I30"/>
    <mergeCell ref="J28:J30"/>
    <mergeCell ref="K28:K30"/>
    <mergeCell ref="L28:L30"/>
    <mergeCell ref="H31:K31"/>
    <mergeCell ref="H32:I39"/>
    <mergeCell ref="J32:J39"/>
    <mergeCell ref="K32:K39"/>
    <mergeCell ref="L32:L39"/>
    <mergeCell ref="M32:M39"/>
    <mergeCell ref="N32:N39"/>
    <mergeCell ref="O28:O30"/>
    <mergeCell ref="U51:U52"/>
    <mergeCell ref="P28:P30"/>
    <mergeCell ref="AB50:AB55"/>
    <mergeCell ref="AC50:AC55"/>
    <mergeCell ref="AD50:AD55"/>
    <mergeCell ref="AH28:AH30"/>
    <mergeCell ref="AE28:AE30"/>
    <mergeCell ref="X28:X29"/>
    <mergeCell ref="W28:W29"/>
    <mergeCell ref="AE50:AE55"/>
    <mergeCell ref="Y42:Y48"/>
    <mergeCell ref="Q28:Q30"/>
    <mergeCell ref="V28:V29"/>
    <mergeCell ref="S28:S30"/>
    <mergeCell ref="T28:T30"/>
    <mergeCell ref="U28:U29"/>
    <mergeCell ref="AA28:AA30"/>
    <mergeCell ref="AB28:AB30"/>
    <mergeCell ref="AC28:AC30"/>
    <mergeCell ref="AA50:AA55"/>
    <mergeCell ref="AI28:AI30"/>
    <mergeCell ref="AJ28:AJ30"/>
    <mergeCell ref="AN28:AN30"/>
    <mergeCell ref="AO28:AO30"/>
    <mergeCell ref="AP28:AP30"/>
    <mergeCell ref="AQ28:AQ30"/>
    <mergeCell ref="O32:O39"/>
    <mergeCell ref="P32:P39"/>
    <mergeCell ref="R32:R39"/>
    <mergeCell ref="S32:S39"/>
    <mergeCell ref="T32:T35"/>
    <mergeCell ref="Y32:Y39"/>
    <mergeCell ref="AP32:AP39"/>
    <mergeCell ref="AQ32:AQ39"/>
    <mergeCell ref="T37:T39"/>
    <mergeCell ref="Y28:Y30"/>
    <mergeCell ref="Z28:Z30"/>
    <mergeCell ref="AN32:AN39"/>
    <mergeCell ref="AO32:AO39"/>
    <mergeCell ref="R28:R30"/>
    <mergeCell ref="AH32:AH39"/>
    <mergeCell ref="AD28:AD30"/>
    <mergeCell ref="AC32:AC39"/>
    <mergeCell ref="AD32:AD39"/>
    <mergeCell ref="AJ15:AJ26"/>
    <mergeCell ref="AN15:AN26"/>
    <mergeCell ref="AO15:AO26"/>
    <mergeCell ref="AP15:AP26"/>
    <mergeCell ref="AQ15:AQ26"/>
    <mergeCell ref="J19:J22"/>
    <mergeCell ref="K19:K22"/>
    <mergeCell ref="L19:L22"/>
    <mergeCell ref="M19:M22"/>
    <mergeCell ref="N19:N22"/>
    <mergeCell ref="Q19:Q22"/>
    <mergeCell ref="T19:T22"/>
    <mergeCell ref="J23:J26"/>
    <mergeCell ref="K23:K26"/>
    <mergeCell ref="L23:L26"/>
    <mergeCell ref="M23:M26"/>
    <mergeCell ref="N23:N26"/>
    <mergeCell ref="Q23:Q26"/>
    <mergeCell ref="T23:T26"/>
    <mergeCell ref="AA15:AA26"/>
    <mergeCell ref="AB15:AB26"/>
    <mergeCell ref="AC15:AC26"/>
    <mergeCell ref="AD15:AD26"/>
    <mergeCell ref="AE15:AE26"/>
    <mergeCell ref="AF15:AF26"/>
    <mergeCell ref="AG15:AG26"/>
    <mergeCell ref="AH15:AH26"/>
    <mergeCell ref="AI15:AI26"/>
    <mergeCell ref="B9:D9"/>
    <mergeCell ref="G12:G26"/>
    <mergeCell ref="H12:I26"/>
    <mergeCell ref="J15:J18"/>
    <mergeCell ref="K15:K18"/>
    <mergeCell ref="L15:L18"/>
    <mergeCell ref="M15:M18"/>
    <mergeCell ref="N15:N18"/>
    <mergeCell ref="O15:O26"/>
    <mergeCell ref="P15:P26"/>
    <mergeCell ref="Q15:Q18"/>
    <mergeCell ref="R15:R26"/>
    <mergeCell ref="S15:S26"/>
    <mergeCell ref="T15:T18"/>
    <mergeCell ref="Y12:Y14"/>
    <mergeCell ref="Z12:Z14"/>
    <mergeCell ref="Y15:Y26"/>
    <mergeCell ref="Z15:Z26"/>
    <mergeCell ref="U16:U17"/>
    <mergeCell ref="U21:U22"/>
    <mergeCell ref="A1:AO4"/>
    <mergeCell ref="A5:M6"/>
    <mergeCell ref="P5:AQ5"/>
    <mergeCell ref="P6:X6"/>
    <mergeCell ref="AO6:AQ6"/>
    <mergeCell ref="A7:A8"/>
    <mergeCell ref="B7:C8"/>
    <mergeCell ref="D7:D8"/>
    <mergeCell ref="E7:F8"/>
    <mergeCell ref="G7:G8"/>
    <mergeCell ref="O7:O8"/>
    <mergeCell ref="P7:P8"/>
    <mergeCell ref="Q7:Q8"/>
    <mergeCell ref="R7:R8"/>
    <mergeCell ref="S7:S8"/>
    <mergeCell ref="T7:T8"/>
    <mergeCell ref="H7:I8"/>
    <mergeCell ref="J7:J8"/>
    <mergeCell ref="K7:K8"/>
    <mergeCell ref="L7:L8"/>
    <mergeCell ref="M7:M8"/>
    <mergeCell ref="N7:N8"/>
    <mergeCell ref="AE7:AJ7"/>
    <mergeCell ref="AN7:AN8"/>
    <mergeCell ref="AP12:AP14"/>
    <mergeCell ref="AE12:AE14"/>
    <mergeCell ref="AF12:AF14"/>
    <mergeCell ref="AG12:AG14"/>
    <mergeCell ref="AH12:AH14"/>
    <mergeCell ref="AI12:AI14"/>
    <mergeCell ref="AJ12:AJ14"/>
    <mergeCell ref="AA12:AA14"/>
    <mergeCell ref="AO9:AQ9"/>
    <mergeCell ref="AO7:AO8"/>
    <mergeCell ref="AP7:AP8"/>
    <mergeCell ref="AQ7:AQ8"/>
    <mergeCell ref="U7:U8"/>
    <mergeCell ref="V7:V8"/>
    <mergeCell ref="W7:W8"/>
    <mergeCell ref="X7:X8"/>
    <mergeCell ref="Y7:Z7"/>
    <mergeCell ref="AA7:AD7"/>
    <mergeCell ref="AK7:AM7"/>
    <mergeCell ref="E10:K10"/>
    <mergeCell ref="AO10:AQ10"/>
    <mergeCell ref="H11:K11"/>
    <mergeCell ref="AO11:AQ11"/>
    <mergeCell ref="J12:J14"/>
    <mergeCell ref="K12:K14"/>
    <mergeCell ref="L12:L14"/>
    <mergeCell ref="AB12:AB14"/>
    <mergeCell ref="AC12:AC14"/>
    <mergeCell ref="AD12:AD14"/>
    <mergeCell ref="S12:S14"/>
    <mergeCell ref="T12:T14"/>
    <mergeCell ref="M12:M14"/>
    <mergeCell ref="N12:N14"/>
    <mergeCell ref="O12:O14"/>
    <mergeCell ref="P12:P14"/>
    <mergeCell ref="Q12:Q14"/>
    <mergeCell ref="R12:R14"/>
    <mergeCell ref="AQ12:AQ14"/>
    <mergeCell ref="AK12:AK14"/>
    <mergeCell ref="AL12:AL14"/>
    <mergeCell ref="AM12:AM14"/>
    <mergeCell ref="AN12:AN14"/>
    <mergeCell ref="AO12:AO14"/>
    <mergeCell ref="AI42:AI48"/>
    <mergeCell ref="AJ42:AJ48"/>
    <mergeCell ref="AN42:AN48"/>
    <mergeCell ref="AO42:AO48"/>
    <mergeCell ref="Z32:Z39"/>
    <mergeCell ref="AA32:AA39"/>
    <mergeCell ref="AB32:AB39"/>
    <mergeCell ref="U42:U44"/>
    <mergeCell ref="T47:T48"/>
    <mergeCell ref="U47:U48"/>
    <mergeCell ref="Z42:Z48"/>
    <mergeCell ref="AA42:AA48"/>
    <mergeCell ref="AB42:AB48"/>
    <mergeCell ref="AC42:AC48"/>
    <mergeCell ref="AD42:AD48"/>
    <mergeCell ref="AE42:AE48"/>
    <mergeCell ref="AF42:AF48"/>
    <mergeCell ref="AG42:AG48"/>
    <mergeCell ref="AH42:AH48"/>
    <mergeCell ref="AI32:AI39"/>
    <mergeCell ref="AJ32:AJ39"/>
    <mergeCell ref="AE32:AE39"/>
    <mergeCell ref="U37:U38"/>
    <mergeCell ref="N50:N55"/>
    <mergeCell ref="Q32:Q39"/>
    <mergeCell ref="U25:U26"/>
    <mergeCell ref="E56:F56"/>
    <mergeCell ref="K61:L61"/>
    <mergeCell ref="K62:L62"/>
    <mergeCell ref="AF32:AF39"/>
    <mergeCell ref="AG32:AG39"/>
    <mergeCell ref="AF28:AF30"/>
    <mergeCell ref="AG28:AG30"/>
    <mergeCell ref="E40:K40"/>
    <mergeCell ref="H41:L41"/>
    <mergeCell ref="E42:F55"/>
    <mergeCell ref="H42:I48"/>
    <mergeCell ref="J42:J48"/>
    <mergeCell ref="K42:K48"/>
    <mergeCell ref="L42:L48"/>
    <mergeCell ref="M42:M48"/>
    <mergeCell ref="O42:O48"/>
    <mergeCell ref="P42:P48"/>
    <mergeCell ref="Q42:Q48"/>
    <mergeCell ref="R42:R48"/>
    <mergeCell ref="M28:M30"/>
    <mergeCell ref="N28:N3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9"/>
  <sheetViews>
    <sheetView showGridLines="0" zoomScale="60" zoomScaleNormal="60" workbookViewId="0">
      <selection sqref="A1:AP4"/>
    </sheetView>
  </sheetViews>
  <sheetFormatPr baseColWidth="10" defaultColWidth="11.42578125" defaultRowHeight="15" x14ac:dyDescent="0.2"/>
  <cols>
    <col min="1" max="1" width="13.140625" style="21" customWidth="1"/>
    <col min="2" max="2" width="4" style="3" customWidth="1"/>
    <col min="3" max="3" width="20.140625" style="3" customWidth="1"/>
    <col min="4" max="4" width="17.85546875" style="3" customWidth="1"/>
    <col min="5" max="5" width="10" style="3" customWidth="1"/>
    <col min="6" max="6" width="8.140625" style="3" customWidth="1"/>
    <col min="7" max="7" width="16" style="3" customWidth="1"/>
    <col min="8" max="8" width="8.5703125" style="3" customWidth="1"/>
    <col min="9" max="9" width="16" style="3" customWidth="1"/>
    <col min="10" max="10" width="17.7109375" style="3" customWidth="1"/>
    <col min="11" max="11" width="42.42578125" style="249" customWidth="1"/>
    <col min="12" max="12" width="32.7109375" style="178" customWidth="1"/>
    <col min="13" max="13" width="12.7109375" style="131" customWidth="1"/>
    <col min="14" max="14" width="34.140625" style="131" customWidth="1"/>
    <col min="15" max="15" width="22.28515625" style="1928" customWidth="1"/>
    <col min="16" max="16" width="26.85546875" style="249" customWidth="1"/>
    <col min="17" max="17" width="16.5703125" style="310" customWidth="1"/>
    <col min="18" max="18" width="30.85546875" style="504" customWidth="1"/>
    <col min="19" max="19" width="23.5703125" style="249" customWidth="1"/>
    <col min="20" max="20" width="30.5703125" style="249" customWidth="1"/>
    <col min="21" max="21" width="38.5703125" style="249" customWidth="1"/>
    <col min="22" max="22" width="29.5703125" style="252" customWidth="1"/>
    <col min="23" max="23" width="12.5703125" style="253" customWidth="1"/>
    <col min="24" max="24" width="18" style="1933" customWidth="1"/>
    <col min="25" max="25" width="11" style="506" customWidth="1"/>
    <col min="26" max="26" width="11.85546875" style="506" customWidth="1"/>
    <col min="27" max="27" width="12.7109375" style="3" customWidth="1"/>
    <col min="28" max="28" width="11.28515625" style="3" customWidth="1"/>
    <col min="29" max="29" width="12.5703125" style="3" customWidth="1"/>
    <col min="30" max="30" width="10.140625" style="3" customWidth="1"/>
    <col min="31" max="39" width="7.5703125" style="3" customWidth="1"/>
    <col min="40" max="40" width="14.85546875" style="506" customWidth="1"/>
    <col min="41" max="41" width="18.85546875" style="507" customWidth="1"/>
    <col min="42" max="42" width="21.28515625" style="507" customWidth="1"/>
    <col min="43" max="43" width="24" style="205" customWidth="1"/>
    <col min="44" max="255" width="11.42578125" style="3"/>
    <col min="256" max="256" width="13.140625" style="3" customWidth="1"/>
    <col min="257" max="257" width="4" style="3" customWidth="1"/>
    <col min="258" max="258" width="12.85546875" style="3" customWidth="1"/>
    <col min="259" max="259" width="14.7109375" style="3" customWidth="1"/>
    <col min="260" max="260" width="10" style="3" customWidth="1"/>
    <col min="261" max="261" width="6.28515625" style="3" customWidth="1"/>
    <col min="262" max="262" width="12.28515625" style="3" customWidth="1"/>
    <col min="263" max="263" width="8.5703125" style="3" customWidth="1"/>
    <col min="264" max="264" width="13.7109375" style="3" customWidth="1"/>
    <col min="265" max="265" width="11.5703125" style="3" customWidth="1"/>
    <col min="266" max="266" width="24.7109375" style="3" customWidth="1"/>
    <col min="267" max="267" width="17.42578125" style="3" customWidth="1"/>
    <col min="268" max="268" width="20.85546875" style="3" customWidth="1"/>
    <col min="269" max="269" width="26.85546875" style="3" customWidth="1"/>
    <col min="270" max="270" width="8" style="3" customWidth="1"/>
    <col min="271" max="271" width="25" style="3" customWidth="1"/>
    <col min="272" max="272" width="12.7109375" style="3" customWidth="1"/>
    <col min="273" max="273" width="16.42578125" style="3" customWidth="1"/>
    <col min="274" max="274" width="23.5703125" style="3" customWidth="1"/>
    <col min="275" max="275" width="33.7109375" style="3" customWidth="1"/>
    <col min="276" max="276" width="31.140625" style="3" customWidth="1"/>
    <col min="277" max="277" width="19.28515625" style="3" customWidth="1"/>
    <col min="278" max="278" width="11.7109375" style="3" customWidth="1"/>
    <col min="279" max="279" width="15.42578125" style="3" customWidth="1"/>
    <col min="280" max="280" width="5.5703125" style="3" customWidth="1"/>
    <col min="281" max="281" width="4.7109375" style="3" customWidth="1"/>
    <col min="282" max="283" width="7.28515625" style="3" customWidth="1"/>
    <col min="284" max="284" width="8.42578125" style="3" customWidth="1"/>
    <col min="285" max="285" width="9.5703125" style="3" customWidth="1"/>
    <col min="286" max="286" width="6.28515625" style="3" customWidth="1"/>
    <col min="287" max="287" width="5.85546875" style="3" customWidth="1"/>
    <col min="288" max="289" width="4.42578125" style="3" customWidth="1"/>
    <col min="290" max="290" width="5" style="3" customWidth="1"/>
    <col min="291" max="291" width="5.85546875" style="3" customWidth="1"/>
    <col min="292" max="292" width="6.140625" style="3" customWidth="1"/>
    <col min="293" max="293" width="6.28515625" style="3" customWidth="1"/>
    <col min="294" max="294" width="4.85546875" style="3" customWidth="1"/>
    <col min="295" max="295" width="8.140625" style="3" customWidth="1"/>
    <col min="296" max="296" width="11.5703125" style="3" customWidth="1"/>
    <col min="297" max="297" width="13.7109375" style="3" customWidth="1"/>
    <col min="298" max="298" width="20.85546875" style="3" customWidth="1"/>
    <col min="299" max="511" width="11.42578125" style="3"/>
    <col min="512" max="512" width="13.140625" style="3" customWidth="1"/>
    <col min="513" max="513" width="4" style="3" customWidth="1"/>
    <col min="514" max="514" width="12.85546875" style="3" customWidth="1"/>
    <col min="515" max="515" width="14.7109375" style="3" customWidth="1"/>
    <col min="516" max="516" width="10" style="3" customWidth="1"/>
    <col min="517" max="517" width="6.28515625" style="3" customWidth="1"/>
    <col min="518" max="518" width="12.28515625" style="3" customWidth="1"/>
    <col min="519" max="519" width="8.5703125" style="3" customWidth="1"/>
    <col min="520" max="520" width="13.7109375" style="3" customWidth="1"/>
    <col min="521" max="521" width="11.5703125" style="3" customWidth="1"/>
    <col min="522" max="522" width="24.7109375" style="3" customWidth="1"/>
    <col min="523" max="523" width="17.42578125" style="3" customWidth="1"/>
    <col min="524" max="524" width="20.85546875" style="3" customWidth="1"/>
    <col min="525" max="525" width="26.85546875" style="3" customWidth="1"/>
    <col min="526" max="526" width="8" style="3" customWidth="1"/>
    <col min="527" max="527" width="25" style="3" customWidth="1"/>
    <col min="528" max="528" width="12.7109375" style="3" customWidth="1"/>
    <col min="529" max="529" width="16.42578125" style="3" customWidth="1"/>
    <col min="530" max="530" width="23.5703125" style="3" customWidth="1"/>
    <col min="531" max="531" width="33.7109375" style="3" customWidth="1"/>
    <col min="532" max="532" width="31.140625" style="3" customWidth="1"/>
    <col min="533" max="533" width="19.28515625" style="3" customWidth="1"/>
    <col min="534" max="534" width="11.7109375" style="3" customWidth="1"/>
    <col min="535" max="535" width="15.42578125" style="3" customWidth="1"/>
    <col min="536" max="536" width="5.5703125" style="3" customWidth="1"/>
    <col min="537" max="537" width="4.7109375" style="3" customWidth="1"/>
    <col min="538" max="539" width="7.28515625" style="3" customWidth="1"/>
    <col min="540" max="540" width="8.42578125" style="3" customWidth="1"/>
    <col min="541" max="541" width="9.5703125" style="3" customWidth="1"/>
    <col min="542" max="542" width="6.28515625" style="3" customWidth="1"/>
    <col min="543" max="543" width="5.85546875" style="3" customWidth="1"/>
    <col min="544" max="545" width="4.42578125" style="3" customWidth="1"/>
    <col min="546" max="546" width="5" style="3" customWidth="1"/>
    <col min="547" max="547" width="5.85546875" style="3" customWidth="1"/>
    <col min="548" max="548" width="6.140625" style="3" customWidth="1"/>
    <col min="549" max="549" width="6.28515625" style="3" customWidth="1"/>
    <col min="550" max="550" width="4.85546875" style="3" customWidth="1"/>
    <col min="551" max="551" width="8.140625" style="3" customWidth="1"/>
    <col min="552" max="552" width="11.5703125" style="3" customWidth="1"/>
    <col min="553" max="553" width="13.7109375" style="3" customWidth="1"/>
    <col min="554" max="554" width="20.85546875" style="3" customWidth="1"/>
    <col min="555" max="767" width="11.42578125" style="3"/>
    <col min="768" max="768" width="13.140625" style="3" customWidth="1"/>
    <col min="769" max="769" width="4" style="3" customWidth="1"/>
    <col min="770" max="770" width="12.85546875" style="3" customWidth="1"/>
    <col min="771" max="771" width="14.7109375" style="3" customWidth="1"/>
    <col min="772" max="772" width="10" style="3" customWidth="1"/>
    <col min="773" max="773" width="6.28515625" style="3" customWidth="1"/>
    <col min="774" max="774" width="12.28515625" style="3" customWidth="1"/>
    <col min="775" max="775" width="8.5703125" style="3" customWidth="1"/>
    <col min="776" max="776" width="13.7109375" style="3" customWidth="1"/>
    <col min="777" max="777" width="11.5703125" style="3" customWidth="1"/>
    <col min="778" max="778" width="24.7109375" style="3" customWidth="1"/>
    <col min="779" max="779" width="17.42578125" style="3" customWidth="1"/>
    <col min="780" max="780" width="20.85546875" style="3" customWidth="1"/>
    <col min="781" max="781" width="26.85546875" style="3" customWidth="1"/>
    <col min="782" max="782" width="8" style="3" customWidth="1"/>
    <col min="783" max="783" width="25" style="3" customWidth="1"/>
    <col min="784" max="784" width="12.7109375" style="3" customWidth="1"/>
    <col min="785" max="785" width="16.42578125" style="3" customWidth="1"/>
    <col min="786" max="786" width="23.5703125" style="3" customWidth="1"/>
    <col min="787" max="787" width="33.7109375" style="3" customWidth="1"/>
    <col min="788" max="788" width="31.140625" style="3" customWidth="1"/>
    <col min="789" max="789" width="19.28515625" style="3" customWidth="1"/>
    <col min="790" max="790" width="11.7109375" style="3" customWidth="1"/>
    <col min="791" max="791" width="15.42578125" style="3" customWidth="1"/>
    <col min="792" max="792" width="5.5703125" style="3" customWidth="1"/>
    <col min="793" max="793" width="4.7109375" style="3" customWidth="1"/>
    <col min="794" max="795" width="7.28515625" style="3" customWidth="1"/>
    <col min="796" max="796" width="8.42578125" style="3" customWidth="1"/>
    <col min="797" max="797" width="9.5703125" style="3" customWidth="1"/>
    <col min="798" max="798" width="6.28515625" style="3" customWidth="1"/>
    <col min="799" max="799" width="5.85546875" style="3" customWidth="1"/>
    <col min="800" max="801" width="4.42578125" style="3" customWidth="1"/>
    <col min="802" max="802" width="5" style="3" customWidth="1"/>
    <col min="803" max="803" width="5.85546875" style="3" customWidth="1"/>
    <col min="804" max="804" width="6.140625" style="3" customWidth="1"/>
    <col min="805" max="805" width="6.28515625" style="3" customWidth="1"/>
    <col min="806" max="806" width="4.85546875" style="3" customWidth="1"/>
    <col min="807" max="807" width="8.140625" style="3" customWidth="1"/>
    <col min="808" max="808" width="11.5703125" style="3" customWidth="1"/>
    <col min="809" max="809" width="13.7109375" style="3" customWidth="1"/>
    <col min="810" max="810" width="20.85546875" style="3" customWidth="1"/>
    <col min="811" max="1023" width="11.42578125" style="3"/>
    <col min="1024" max="1024" width="13.140625" style="3" customWidth="1"/>
    <col min="1025" max="1025" width="4" style="3" customWidth="1"/>
    <col min="1026" max="1026" width="12.85546875" style="3" customWidth="1"/>
    <col min="1027" max="1027" width="14.7109375" style="3" customWidth="1"/>
    <col min="1028" max="1028" width="10" style="3" customWidth="1"/>
    <col min="1029" max="1029" width="6.28515625" style="3" customWidth="1"/>
    <col min="1030" max="1030" width="12.28515625" style="3" customWidth="1"/>
    <col min="1031" max="1031" width="8.5703125" style="3" customWidth="1"/>
    <col min="1032" max="1032" width="13.7109375" style="3" customWidth="1"/>
    <col min="1033" max="1033" width="11.5703125" style="3" customWidth="1"/>
    <col min="1034" max="1034" width="24.7109375" style="3" customWidth="1"/>
    <col min="1035" max="1035" width="17.42578125" style="3" customWidth="1"/>
    <col min="1036" max="1036" width="20.85546875" style="3" customWidth="1"/>
    <col min="1037" max="1037" width="26.85546875" style="3" customWidth="1"/>
    <col min="1038" max="1038" width="8" style="3" customWidth="1"/>
    <col min="1039" max="1039" width="25" style="3" customWidth="1"/>
    <col min="1040" max="1040" width="12.7109375" style="3" customWidth="1"/>
    <col min="1041" max="1041" width="16.42578125" style="3" customWidth="1"/>
    <col min="1042" max="1042" width="23.5703125" style="3" customWidth="1"/>
    <col min="1043" max="1043" width="33.7109375" style="3" customWidth="1"/>
    <col min="1044" max="1044" width="31.140625" style="3" customWidth="1"/>
    <col min="1045" max="1045" width="19.28515625" style="3" customWidth="1"/>
    <col min="1046" max="1046" width="11.7109375" style="3" customWidth="1"/>
    <col min="1047" max="1047" width="15.42578125" style="3" customWidth="1"/>
    <col min="1048" max="1048" width="5.5703125" style="3" customWidth="1"/>
    <col min="1049" max="1049" width="4.7109375" style="3" customWidth="1"/>
    <col min="1050" max="1051" width="7.28515625" style="3" customWidth="1"/>
    <col min="1052" max="1052" width="8.42578125" style="3" customWidth="1"/>
    <col min="1053" max="1053" width="9.5703125" style="3" customWidth="1"/>
    <col min="1054" max="1054" width="6.28515625" style="3" customWidth="1"/>
    <col min="1055" max="1055" width="5.85546875" style="3" customWidth="1"/>
    <col min="1056" max="1057" width="4.42578125" style="3" customWidth="1"/>
    <col min="1058" max="1058" width="5" style="3" customWidth="1"/>
    <col min="1059" max="1059" width="5.85546875" style="3" customWidth="1"/>
    <col min="1060" max="1060" width="6.140625" style="3" customWidth="1"/>
    <col min="1061" max="1061" width="6.28515625" style="3" customWidth="1"/>
    <col min="1062" max="1062" width="4.85546875" style="3" customWidth="1"/>
    <col min="1063" max="1063" width="8.140625" style="3" customWidth="1"/>
    <col min="1064" max="1064" width="11.5703125" style="3" customWidth="1"/>
    <col min="1065" max="1065" width="13.7109375" style="3" customWidth="1"/>
    <col min="1066" max="1066" width="20.85546875" style="3" customWidth="1"/>
    <col min="1067" max="1279" width="11.42578125" style="3"/>
    <col min="1280" max="1280" width="13.140625" style="3" customWidth="1"/>
    <col min="1281" max="1281" width="4" style="3" customWidth="1"/>
    <col min="1282" max="1282" width="12.85546875" style="3" customWidth="1"/>
    <col min="1283" max="1283" width="14.7109375" style="3" customWidth="1"/>
    <col min="1284" max="1284" width="10" style="3" customWidth="1"/>
    <col min="1285" max="1285" width="6.28515625" style="3" customWidth="1"/>
    <col min="1286" max="1286" width="12.28515625" style="3" customWidth="1"/>
    <col min="1287" max="1287" width="8.5703125" style="3" customWidth="1"/>
    <col min="1288" max="1288" width="13.7109375" style="3" customWidth="1"/>
    <col min="1289" max="1289" width="11.5703125" style="3" customWidth="1"/>
    <col min="1290" max="1290" width="24.7109375" style="3" customWidth="1"/>
    <col min="1291" max="1291" width="17.42578125" style="3" customWidth="1"/>
    <col min="1292" max="1292" width="20.85546875" style="3" customWidth="1"/>
    <col min="1293" max="1293" width="26.85546875" style="3" customWidth="1"/>
    <col min="1294" max="1294" width="8" style="3" customWidth="1"/>
    <col min="1295" max="1295" width="25" style="3" customWidth="1"/>
    <col min="1296" max="1296" width="12.7109375" style="3" customWidth="1"/>
    <col min="1297" max="1297" width="16.42578125" style="3" customWidth="1"/>
    <col min="1298" max="1298" width="23.5703125" style="3" customWidth="1"/>
    <col min="1299" max="1299" width="33.7109375" style="3" customWidth="1"/>
    <col min="1300" max="1300" width="31.140625" style="3" customWidth="1"/>
    <col min="1301" max="1301" width="19.28515625" style="3" customWidth="1"/>
    <col min="1302" max="1302" width="11.7109375" style="3" customWidth="1"/>
    <col min="1303" max="1303" width="15.42578125" style="3" customWidth="1"/>
    <col min="1304" max="1304" width="5.5703125" style="3" customWidth="1"/>
    <col min="1305" max="1305" width="4.7109375" style="3" customWidth="1"/>
    <col min="1306" max="1307" width="7.28515625" style="3" customWidth="1"/>
    <col min="1308" max="1308" width="8.42578125" style="3" customWidth="1"/>
    <col min="1309" max="1309" width="9.5703125" style="3" customWidth="1"/>
    <col min="1310" max="1310" width="6.28515625" style="3" customWidth="1"/>
    <col min="1311" max="1311" width="5.85546875" style="3" customWidth="1"/>
    <col min="1312" max="1313" width="4.42578125" style="3" customWidth="1"/>
    <col min="1314" max="1314" width="5" style="3" customWidth="1"/>
    <col min="1315" max="1315" width="5.85546875" style="3" customWidth="1"/>
    <col min="1316" max="1316" width="6.140625" style="3" customWidth="1"/>
    <col min="1317" max="1317" width="6.28515625" style="3" customWidth="1"/>
    <col min="1318" max="1318" width="4.85546875" style="3" customWidth="1"/>
    <col min="1319" max="1319" width="8.140625" style="3" customWidth="1"/>
    <col min="1320" max="1320" width="11.5703125" style="3" customWidth="1"/>
    <col min="1321" max="1321" width="13.7109375" style="3" customWidth="1"/>
    <col min="1322" max="1322" width="20.85546875" style="3" customWidth="1"/>
    <col min="1323" max="1535" width="11.42578125" style="3"/>
    <col min="1536" max="1536" width="13.140625" style="3" customWidth="1"/>
    <col min="1537" max="1537" width="4" style="3" customWidth="1"/>
    <col min="1538" max="1538" width="12.85546875" style="3" customWidth="1"/>
    <col min="1539" max="1539" width="14.7109375" style="3" customWidth="1"/>
    <col min="1540" max="1540" width="10" style="3" customWidth="1"/>
    <col min="1541" max="1541" width="6.28515625" style="3" customWidth="1"/>
    <col min="1542" max="1542" width="12.28515625" style="3" customWidth="1"/>
    <col min="1543" max="1543" width="8.5703125" style="3" customWidth="1"/>
    <col min="1544" max="1544" width="13.7109375" style="3" customWidth="1"/>
    <col min="1545" max="1545" width="11.5703125" style="3" customWidth="1"/>
    <col min="1546" max="1546" width="24.7109375" style="3" customWidth="1"/>
    <col min="1547" max="1547" width="17.42578125" style="3" customWidth="1"/>
    <col min="1548" max="1548" width="20.85546875" style="3" customWidth="1"/>
    <col min="1549" max="1549" width="26.85546875" style="3" customWidth="1"/>
    <col min="1550" max="1550" width="8" style="3" customWidth="1"/>
    <col min="1551" max="1551" width="25" style="3" customWidth="1"/>
    <col min="1552" max="1552" width="12.7109375" style="3" customWidth="1"/>
    <col min="1553" max="1553" width="16.42578125" style="3" customWidth="1"/>
    <col min="1554" max="1554" width="23.5703125" style="3" customWidth="1"/>
    <col min="1555" max="1555" width="33.7109375" style="3" customWidth="1"/>
    <col min="1556" max="1556" width="31.140625" style="3" customWidth="1"/>
    <col min="1557" max="1557" width="19.28515625" style="3" customWidth="1"/>
    <col min="1558" max="1558" width="11.7109375" style="3" customWidth="1"/>
    <col min="1559" max="1559" width="15.42578125" style="3" customWidth="1"/>
    <col min="1560" max="1560" width="5.5703125" style="3" customWidth="1"/>
    <col min="1561" max="1561" width="4.7109375" style="3" customWidth="1"/>
    <col min="1562" max="1563" width="7.28515625" style="3" customWidth="1"/>
    <col min="1564" max="1564" width="8.42578125" style="3" customWidth="1"/>
    <col min="1565" max="1565" width="9.5703125" style="3" customWidth="1"/>
    <col min="1566" max="1566" width="6.28515625" style="3" customWidth="1"/>
    <col min="1567" max="1567" width="5.85546875" style="3" customWidth="1"/>
    <col min="1568" max="1569" width="4.42578125" style="3" customWidth="1"/>
    <col min="1570" max="1570" width="5" style="3" customWidth="1"/>
    <col min="1571" max="1571" width="5.85546875" style="3" customWidth="1"/>
    <col min="1572" max="1572" width="6.140625" style="3" customWidth="1"/>
    <col min="1573" max="1573" width="6.28515625" style="3" customWidth="1"/>
    <col min="1574" max="1574" width="4.85546875" style="3" customWidth="1"/>
    <col min="1575" max="1575" width="8.140625" style="3" customWidth="1"/>
    <col min="1576" max="1576" width="11.5703125" style="3" customWidth="1"/>
    <col min="1577" max="1577" width="13.7109375" style="3" customWidth="1"/>
    <col min="1578" max="1578" width="20.85546875" style="3" customWidth="1"/>
    <col min="1579" max="1791" width="11.42578125" style="3"/>
    <col min="1792" max="1792" width="13.140625" style="3" customWidth="1"/>
    <col min="1793" max="1793" width="4" style="3" customWidth="1"/>
    <col min="1794" max="1794" width="12.85546875" style="3" customWidth="1"/>
    <col min="1795" max="1795" width="14.7109375" style="3" customWidth="1"/>
    <col min="1796" max="1796" width="10" style="3" customWidth="1"/>
    <col min="1797" max="1797" width="6.28515625" style="3" customWidth="1"/>
    <col min="1798" max="1798" width="12.28515625" style="3" customWidth="1"/>
    <col min="1799" max="1799" width="8.5703125" style="3" customWidth="1"/>
    <col min="1800" max="1800" width="13.7109375" style="3" customWidth="1"/>
    <col min="1801" max="1801" width="11.5703125" style="3" customWidth="1"/>
    <col min="1802" max="1802" width="24.7109375" style="3" customWidth="1"/>
    <col min="1803" max="1803" width="17.42578125" style="3" customWidth="1"/>
    <col min="1804" max="1804" width="20.85546875" style="3" customWidth="1"/>
    <col min="1805" max="1805" width="26.85546875" style="3" customWidth="1"/>
    <col min="1806" max="1806" width="8" style="3" customWidth="1"/>
    <col min="1807" max="1807" width="25" style="3" customWidth="1"/>
    <col min="1808" max="1808" width="12.7109375" style="3" customWidth="1"/>
    <col min="1809" max="1809" width="16.42578125" style="3" customWidth="1"/>
    <col min="1810" max="1810" width="23.5703125" style="3" customWidth="1"/>
    <col min="1811" max="1811" width="33.7109375" style="3" customWidth="1"/>
    <col min="1812" max="1812" width="31.140625" style="3" customWidth="1"/>
    <col min="1813" max="1813" width="19.28515625" style="3" customWidth="1"/>
    <col min="1814" max="1814" width="11.7109375" style="3" customWidth="1"/>
    <col min="1815" max="1815" width="15.42578125" style="3" customWidth="1"/>
    <col min="1816" max="1816" width="5.5703125" style="3" customWidth="1"/>
    <col min="1817" max="1817" width="4.7109375" style="3" customWidth="1"/>
    <col min="1818" max="1819" width="7.28515625" style="3" customWidth="1"/>
    <col min="1820" max="1820" width="8.42578125" style="3" customWidth="1"/>
    <col min="1821" max="1821" width="9.5703125" style="3" customWidth="1"/>
    <col min="1822" max="1822" width="6.28515625" style="3" customWidth="1"/>
    <col min="1823" max="1823" width="5.85546875" style="3" customWidth="1"/>
    <col min="1824" max="1825" width="4.42578125" style="3" customWidth="1"/>
    <col min="1826" max="1826" width="5" style="3" customWidth="1"/>
    <col min="1827" max="1827" width="5.85546875" style="3" customWidth="1"/>
    <col min="1828" max="1828" width="6.140625" style="3" customWidth="1"/>
    <col min="1829" max="1829" width="6.28515625" style="3" customWidth="1"/>
    <col min="1830" max="1830" width="4.85546875" style="3" customWidth="1"/>
    <col min="1831" max="1831" width="8.140625" style="3" customWidth="1"/>
    <col min="1832" max="1832" width="11.5703125" style="3" customWidth="1"/>
    <col min="1833" max="1833" width="13.7109375" style="3" customWidth="1"/>
    <col min="1834" max="1834" width="20.85546875" style="3" customWidth="1"/>
    <col min="1835" max="2047" width="11.42578125" style="3"/>
    <col min="2048" max="2048" width="13.140625" style="3" customWidth="1"/>
    <col min="2049" max="2049" width="4" style="3" customWidth="1"/>
    <col min="2050" max="2050" width="12.85546875" style="3" customWidth="1"/>
    <col min="2051" max="2051" width="14.7109375" style="3" customWidth="1"/>
    <col min="2052" max="2052" width="10" style="3" customWidth="1"/>
    <col min="2053" max="2053" width="6.28515625" style="3" customWidth="1"/>
    <col min="2054" max="2054" width="12.28515625" style="3" customWidth="1"/>
    <col min="2055" max="2055" width="8.5703125" style="3" customWidth="1"/>
    <col min="2056" max="2056" width="13.7109375" style="3" customWidth="1"/>
    <col min="2057" max="2057" width="11.5703125" style="3" customWidth="1"/>
    <col min="2058" max="2058" width="24.7109375" style="3" customWidth="1"/>
    <col min="2059" max="2059" width="17.42578125" style="3" customWidth="1"/>
    <col min="2060" max="2060" width="20.85546875" style="3" customWidth="1"/>
    <col min="2061" max="2061" width="26.85546875" style="3" customWidth="1"/>
    <col min="2062" max="2062" width="8" style="3" customWidth="1"/>
    <col min="2063" max="2063" width="25" style="3" customWidth="1"/>
    <col min="2064" max="2064" width="12.7109375" style="3" customWidth="1"/>
    <col min="2065" max="2065" width="16.42578125" style="3" customWidth="1"/>
    <col min="2066" max="2066" width="23.5703125" style="3" customWidth="1"/>
    <col min="2067" max="2067" width="33.7109375" style="3" customWidth="1"/>
    <col min="2068" max="2068" width="31.140625" style="3" customWidth="1"/>
    <col min="2069" max="2069" width="19.28515625" style="3" customWidth="1"/>
    <col min="2070" max="2070" width="11.7109375" style="3" customWidth="1"/>
    <col min="2071" max="2071" width="15.42578125" style="3" customWidth="1"/>
    <col min="2072" max="2072" width="5.5703125" style="3" customWidth="1"/>
    <col min="2073" max="2073" width="4.7109375" style="3" customWidth="1"/>
    <col min="2074" max="2075" width="7.28515625" style="3" customWidth="1"/>
    <col min="2076" max="2076" width="8.42578125" style="3" customWidth="1"/>
    <col min="2077" max="2077" width="9.5703125" style="3" customWidth="1"/>
    <col min="2078" max="2078" width="6.28515625" style="3" customWidth="1"/>
    <col min="2079" max="2079" width="5.85546875" style="3" customWidth="1"/>
    <col min="2080" max="2081" width="4.42578125" style="3" customWidth="1"/>
    <col min="2082" max="2082" width="5" style="3" customWidth="1"/>
    <col min="2083" max="2083" width="5.85546875" style="3" customWidth="1"/>
    <col min="2084" max="2084" width="6.140625" style="3" customWidth="1"/>
    <col min="2085" max="2085" width="6.28515625" style="3" customWidth="1"/>
    <col min="2086" max="2086" width="4.85546875" style="3" customWidth="1"/>
    <col min="2087" max="2087" width="8.140625" style="3" customWidth="1"/>
    <col min="2088" max="2088" width="11.5703125" style="3" customWidth="1"/>
    <col min="2089" max="2089" width="13.7109375" style="3" customWidth="1"/>
    <col min="2090" max="2090" width="20.85546875" style="3" customWidth="1"/>
    <col min="2091" max="2303" width="11.42578125" style="3"/>
    <col min="2304" max="2304" width="13.140625" style="3" customWidth="1"/>
    <col min="2305" max="2305" width="4" style="3" customWidth="1"/>
    <col min="2306" max="2306" width="12.85546875" style="3" customWidth="1"/>
    <col min="2307" max="2307" width="14.7109375" style="3" customWidth="1"/>
    <col min="2308" max="2308" width="10" style="3" customWidth="1"/>
    <col min="2309" max="2309" width="6.28515625" style="3" customWidth="1"/>
    <col min="2310" max="2310" width="12.28515625" style="3" customWidth="1"/>
    <col min="2311" max="2311" width="8.5703125" style="3" customWidth="1"/>
    <col min="2312" max="2312" width="13.7109375" style="3" customWidth="1"/>
    <col min="2313" max="2313" width="11.5703125" style="3" customWidth="1"/>
    <col min="2314" max="2314" width="24.7109375" style="3" customWidth="1"/>
    <col min="2315" max="2315" width="17.42578125" style="3" customWidth="1"/>
    <col min="2316" max="2316" width="20.85546875" style="3" customWidth="1"/>
    <col min="2317" max="2317" width="26.85546875" style="3" customWidth="1"/>
    <col min="2318" max="2318" width="8" style="3" customWidth="1"/>
    <col min="2319" max="2319" width="25" style="3" customWidth="1"/>
    <col min="2320" max="2320" width="12.7109375" style="3" customWidth="1"/>
    <col min="2321" max="2321" width="16.42578125" style="3" customWidth="1"/>
    <col min="2322" max="2322" width="23.5703125" style="3" customWidth="1"/>
    <col min="2323" max="2323" width="33.7109375" style="3" customWidth="1"/>
    <col min="2324" max="2324" width="31.140625" style="3" customWidth="1"/>
    <col min="2325" max="2325" width="19.28515625" style="3" customWidth="1"/>
    <col min="2326" max="2326" width="11.7109375" style="3" customWidth="1"/>
    <col min="2327" max="2327" width="15.42578125" style="3" customWidth="1"/>
    <col min="2328" max="2328" width="5.5703125" style="3" customWidth="1"/>
    <col min="2329" max="2329" width="4.7109375" style="3" customWidth="1"/>
    <col min="2330" max="2331" width="7.28515625" style="3" customWidth="1"/>
    <col min="2332" max="2332" width="8.42578125" style="3" customWidth="1"/>
    <col min="2333" max="2333" width="9.5703125" style="3" customWidth="1"/>
    <col min="2334" max="2334" width="6.28515625" style="3" customWidth="1"/>
    <col min="2335" max="2335" width="5.85546875" style="3" customWidth="1"/>
    <col min="2336" max="2337" width="4.42578125" style="3" customWidth="1"/>
    <col min="2338" max="2338" width="5" style="3" customWidth="1"/>
    <col min="2339" max="2339" width="5.85546875" style="3" customWidth="1"/>
    <col min="2340" max="2340" width="6.140625" style="3" customWidth="1"/>
    <col min="2341" max="2341" width="6.28515625" style="3" customWidth="1"/>
    <col min="2342" max="2342" width="4.85546875" style="3" customWidth="1"/>
    <col min="2343" max="2343" width="8.140625" style="3" customWidth="1"/>
    <col min="2344" max="2344" width="11.5703125" style="3" customWidth="1"/>
    <col min="2345" max="2345" width="13.7109375" style="3" customWidth="1"/>
    <col min="2346" max="2346" width="20.85546875" style="3" customWidth="1"/>
    <col min="2347" max="2559" width="11.42578125" style="3"/>
    <col min="2560" max="2560" width="13.140625" style="3" customWidth="1"/>
    <col min="2561" max="2561" width="4" style="3" customWidth="1"/>
    <col min="2562" max="2562" width="12.85546875" style="3" customWidth="1"/>
    <col min="2563" max="2563" width="14.7109375" style="3" customWidth="1"/>
    <col min="2564" max="2564" width="10" style="3" customWidth="1"/>
    <col min="2565" max="2565" width="6.28515625" style="3" customWidth="1"/>
    <col min="2566" max="2566" width="12.28515625" style="3" customWidth="1"/>
    <col min="2567" max="2567" width="8.5703125" style="3" customWidth="1"/>
    <col min="2568" max="2568" width="13.7109375" style="3" customWidth="1"/>
    <col min="2569" max="2569" width="11.5703125" style="3" customWidth="1"/>
    <col min="2570" max="2570" width="24.7109375" style="3" customWidth="1"/>
    <col min="2571" max="2571" width="17.42578125" style="3" customWidth="1"/>
    <col min="2572" max="2572" width="20.85546875" style="3" customWidth="1"/>
    <col min="2573" max="2573" width="26.85546875" style="3" customWidth="1"/>
    <col min="2574" max="2574" width="8" style="3" customWidth="1"/>
    <col min="2575" max="2575" width="25" style="3" customWidth="1"/>
    <col min="2576" max="2576" width="12.7109375" style="3" customWidth="1"/>
    <col min="2577" max="2577" width="16.42578125" style="3" customWidth="1"/>
    <col min="2578" max="2578" width="23.5703125" style="3" customWidth="1"/>
    <col min="2579" max="2579" width="33.7109375" style="3" customWidth="1"/>
    <col min="2580" max="2580" width="31.140625" style="3" customWidth="1"/>
    <col min="2581" max="2581" width="19.28515625" style="3" customWidth="1"/>
    <col min="2582" max="2582" width="11.7109375" style="3" customWidth="1"/>
    <col min="2583" max="2583" width="15.42578125" style="3" customWidth="1"/>
    <col min="2584" max="2584" width="5.5703125" style="3" customWidth="1"/>
    <col min="2585" max="2585" width="4.7109375" style="3" customWidth="1"/>
    <col min="2586" max="2587" width="7.28515625" style="3" customWidth="1"/>
    <col min="2588" max="2588" width="8.42578125" style="3" customWidth="1"/>
    <col min="2589" max="2589" width="9.5703125" style="3" customWidth="1"/>
    <col min="2590" max="2590" width="6.28515625" style="3" customWidth="1"/>
    <col min="2591" max="2591" width="5.85546875" style="3" customWidth="1"/>
    <col min="2592" max="2593" width="4.42578125" style="3" customWidth="1"/>
    <col min="2594" max="2594" width="5" style="3" customWidth="1"/>
    <col min="2595" max="2595" width="5.85546875" style="3" customWidth="1"/>
    <col min="2596" max="2596" width="6.140625" style="3" customWidth="1"/>
    <col min="2597" max="2597" width="6.28515625" style="3" customWidth="1"/>
    <col min="2598" max="2598" width="4.85546875" style="3" customWidth="1"/>
    <col min="2599" max="2599" width="8.140625" style="3" customWidth="1"/>
    <col min="2600" max="2600" width="11.5703125" style="3" customWidth="1"/>
    <col min="2601" max="2601" width="13.7109375" style="3" customWidth="1"/>
    <col min="2602" max="2602" width="20.85546875" style="3" customWidth="1"/>
    <col min="2603" max="2815" width="11.42578125" style="3"/>
    <col min="2816" max="2816" width="13.140625" style="3" customWidth="1"/>
    <col min="2817" max="2817" width="4" style="3" customWidth="1"/>
    <col min="2818" max="2818" width="12.85546875" style="3" customWidth="1"/>
    <col min="2819" max="2819" width="14.7109375" style="3" customWidth="1"/>
    <col min="2820" max="2820" width="10" style="3" customWidth="1"/>
    <col min="2821" max="2821" width="6.28515625" style="3" customWidth="1"/>
    <col min="2822" max="2822" width="12.28515625" style="3" customWidth="1"/>
    <col min="2823" max="2823" width="8.5703125" style="3" customWidth="1"/>
    <col min="2824" max="2824" width="13.7109375" style="3" customWidth="1"/>
    <col min="2825" max="2825" width="11.5703125" style="3" customWidth="1"/>
    <col min="2826" max="2826" width="24.7109375" style="3" customWidth="1"/>
    <col min="2827" max="2827" width="17.42578125" style="3" customWidth="1"/>
    <col min="2828" max="2828" width="20.85546875" style="3" customWidth="1"/>
    <col min="2829" max="2829" width="26.85546875" style="3" customWidth="1"/>
    <col min="2830" max="2830" width="8" style="3" customWidth="1"/>
    <col min="2831" max="2831" width="25" style="3" customWidth="1"/>
    <col min="2832" max="2832" width="12.7109375" style="3" customWidth="1"/>
    <col min="2833" max="2833" width="16.42578125" style="3" customWidth="1"/>
    <col min="2834" max="2834" width="23.5703125" style="3" customWidth="1"/>
    <col min="2835" max="2835" width="33.7109375" style="3" customWidth="1"/>
    <col min="2836" max="2836" width="31.140625" style="3" customWidth="1"/>
    <col min="2837" max="2837" width="19.28515625" style="3" customWidth="1"/>
    <col min="2838" max="2838" width="11.7109375" style="3" customWidth="1"/>
    <col min="2839" max="2839" width="15.42578125" style="3" customWidth="1"/>
    <col min="2840" max="2840" width="5.5703125" style="3" customWidth="1"/>
    <col min="2841" max="2841" width="4.7109375" style="3" customWidth="1"/>
    <col min="2842" max="2843" width="7.28515625" style="3" customWidth="1"/>
    <col min="2844" max="2844" width="8.42578125" style="3" customWidth="1"/>
    <col min="2845" max="2845" width="9.5703125" style="3" customWidth="1"/>
    <col min="2846" max="2846" width="6.28515625" style="3" customWidth="1"/>
    <col min="2847" max="2847" width="5.85546875" style="3" customWidth="1"/>
    <col min="2848" max="2849" width="4.42578125" style="3" customWidth="1"/>
    <col min="2850" max="2850" width="5" style="3" customWidth="1"/>
    <col min="2851" max="2851" width="5.85546875" style="3" customWidth="1"/>
    <col min="2852" max="2852" width="6.140625" style="3" customWidth="1"/>
    <col min="2853" max="2853" width="6.28515625" style="3" customWidth="1"/>
    <col min="2854" max="2854" width="4.85546875" style="3" customWidth="1"/>
    <col min="2855" max="2855" width="8.140625" style="3" customWidth="1"/>
    <col min="2856" max="2856" width="11.5703125" style="3" customWidth="1"/>
    <col min="2857" max="2857" width="13.7109375" style="3" customWidth="1"/>
    <col min="2858" max="2858" width="20.85546875" style="3" customWidth="1"/>
    <col min="2859" max="3071" width="11.42578125" style="3"/>
    <col min="3072" max="3072" width="13.140625" style="3" customWidth="1"/>
    <col min="3073" max="3073" width="4" style="3" customWidth="1"/>
    <col min="3074" max="3074" width="12.85546875" style="3" customWidth="1"/>
    <col min="3075" max="3075" width="14.7109375" style="3" customWidth="1"/>
    <col min="3076" max="3076" width="10" style="3" customWidth="1"/>
    <col min="3077" max="3077" width="6.28515625" style="3" customWidth="1"/>
    <col min="3078" max="3078" width="12.28515625" style="3" customWidth="1"/>
    <col min="3079" max="3079" width="8.5703125" style="3" customWidth="1"/>
    <col min="3080" max="3080" width="13.7109375" style="3" customWidth="1"/>
    <col min="3081" max="3081" width="11.5703125" style="3" customWidth="1"/>
    <col min="3082" max="3082" width="24.7109375" style="3" customWidth="1"/>
    <col min="3083" max="3083" width="17.42578125" style="3" customWidth="1"/>
    <col min="3084" max="3084" width="20.85546875" style="3" customWidth="1"/>
    <col min="3085" max="3085" width="26.85546875" style="3" customWidth="1"/>
    <col min="3086" max="3086" width="8" style="3" customWidth="1"/>
    <col min="3087" max="3087" width="25" style="3" customWidth="1"/>
    <col min="3088" max="3088" width="12.7109375" style="3" customWidth="1"/>
    <col min="3089" max="3089" width="16.42578125" style="3" customWidth="1"/>
    <col min="3090" max="3090" width="23.5703125" style="3" customWidth="1"/>
    <col min="3091" max="3091" width="33.7109375" style="3" customWidth="1"/>
    <col min="3092" max="3092" width="31.140625" style="3" customWidth="1"/>
    <col min="3093" max="3093" width="19.28515625" style="3" customWidth="1"/>
    <col min="3094" max="3094" width="11.7109375" style="3" customWidth="1"/>
    <col min="3095" max="3095" width="15.42578125" style="3" customWidth="1"/>
    <col min="3096" max="3096" width="5.5703125" style="3" customWidth="1"/>
    <col min="3097" max="3097" width="4.7109375" style="3" customWidth="1"/>
    <col min="3098" max="3099" width="7.28515625" style="3" customWidth="1"/>
    <col min="3100" max="3100" width="8.42578125" style="3" customWidth="1"/>
    <col min="3101" max="3101" width="9.5703125" style="3" customWidth="1"/>
    <col min="3102" max="3102" width="6.28515625" style="3" customWidth="1"/>
    <col min="3103" max="3103" width="5.85546875" style="3" customWidth="1"/>
    <col min="3104" max="3105" width="4.42578125" style="3" customWidth="1"/>
    <col min="3106" max="3106" width="5" style="3" customWidth="1"/>
    <col min="3107" max="3107" width="5.85546875" style="3" customWidth="1"/>
    <col min="3108" max="3108" width="6.140625" style="3" customWidth="1"/>
    <col min="3109" max="3109" width="6.28515625" style="3" customWidth="1"/>
    <col min="3110" max="3110" width="4.85546875" style="3" customWidth="1"/>
    <col min="3111" max="3111" width="8.140625" style="3" customWidth="1"/>
    <col min="3112" max="3112" width="11.5703125" style="3" customWidth="1"/>
    <col min="3113" max="3113" width="13.7109375" style="3" customWidth="1"/>
    <col min="3114" max="3114" width="20.85546875" style="3" customWidth="1"/>
    <col min="3115" max="3327" width="11.42578125" style="3"/>
    <col min="3328" max="3328" width="13.140625" style="3" customWidth="1"/>
    <col min="3329" max="3329" width="4" style="3" customWidth="1"/>
    <col min="3330" max="3330" width="12.85546875" style="3" customWidth="1"/>
    <col min="3331" max="3331" width="14.7109375" style="3" customWidth="1"/>
    <col min="3332" max="3332" width="10" style="3" customWidth="1"/>
    <col min="3333" max="3333" width="6.28515625" style="3" customWidth="1"/>
    <col min="3334" max="3334" width="12.28515625" style="3" customWidth="1"/>
    <col min="3335" max="3335" width="8.5703125" style="3" customWidth="1"/>
    <col min="3336" max="3336" width="13.7109375" style="3" customWidth="1"/>
    <col min="3337" max="3337" width="11.5703125" style="3" customWidth="1"/>
    <col min="3338" max="3338" width="24.7109375" style="3" customWidth="1"/>
    <col min="3339" max="3339" width="17.42578125" style="3" customWidth="1"/>
    <col min="3340" max="3340" width="20.85546875" style="3" customWidth="1"/>
    <col min="3341" max="3341" width="26.85546875" style="3" customWidth="1"/>
    <col min="3342" max="3342" width="8" style="3" customWidth="1"/>
    <col min="3343" max="3343" width="25" style="3" customWidth="1"/>
    <col min="3344" max="3344" width="12.7109375" style="3" customWidth="1"/>
    <col min="3345" max="3345" width="16.42578125" style="3" customWidth="1"/>
    <col min="3346" max="3346" width="23.5703125" style="3" customWidth="1"/>
    <col min="3347" max="3347" width="33.7109375" style="3" customWidth="1"/>
    <col min="3348" max="3348" width="31.140625" style="3" customWidth="1"/>
    <col min="3349" max="3349" width="19.28515625" style="3" customWidth="1"/>
    <col min="3350" max="3350" width="11.7109375" style="3" customWidth="1"/>
    <col min="3351" max="3351" width="15.42578125" style="3" customWidth="1"/>
    <col min="3352" max="3352" width="5.5703125" style="3" customWidth="1"/>
    <col min="3353" max="3353" width="4.7109375" style="3" customWidth="1"/>
    <col min="3354" max="3355" width="7.28515625" style="3" customWidth="1"/>
    <col min="3356" max="3356" width="8.42578125" style="3" customWidth="1"/>
    <col min="3357" max="3357" width="9.5703125" style="3" customWidth="1"/>
    <col min="3358" max="3358" width="6.28515625" style="3" customWidth="1"/>
    <col min="3359" max="3359" width="5.85546875" style="3" customWidth="1"/>
    <col min="3360" max="3361" width="4.42578125" style="3" customWidth="1"/>
    <col min="3362" max="3362" width="5" style="3" customWidth="1"/>
    <col min="3363" max="3363" width="5.85546875" style="3" customWidth="1"/>
    <col min="3364" max="3364" width="6.140625" style="3" customWidth="1"/>
    <col min="3365" max="3365" width="6.28515625" style="3" customWidth="1"/>
    <col min="3366" max="3366" width="4.85546875" style="3" customWidth="1"/>
    <col min="3367" max="3367" width="8.140625" style="3" customWidth="1"/>
    <col min="3368" max="3368" width="11.5703125" style="3" customWidth="1"/>
    <col min="3369" max="3369" width="13.7109375" style="3" customWidth="1"/>
    <col min="3370" max="3370" width="20.85546875" style="3" customWidth="1"/>
    <col min="3371" max="3583" width="11.42578125" style="3"/>
    <col min="3584" max="3584" width="13.140625" style="3" customWidth="1"/>
    <col min="3585" max="3585" width="4" style="3" customWidth="1"/>
    <col min="3586" max="3586" width="12.85546875" style="3" customWidth="1"/>
    <col min="3587" max="3587" width="14.7109375" style="3" customWidth="1"/>
    <col min="3588" max="3588" width="10" style="3" customWidth="1"/>
    <col min="3589" max="3589" width="6.28515625" style="3" customWidth="1"/>
    <col min="3590" max="3590" width="12.28515625" style="3" customWidth="1"/>
    <col min="3591" max="3591" width="8.5703125" style="3" customWidth="1"/>
    <col min="3592" max="3592" width="13.7109375" style="3" customWidth="1"/>
    <col min="3593" max="3593" width="11.5703125" style="3" customWidth="1"/>
    <col min="3594" max="3594" width="24.7109375" style="3" customWidth="1"/>
    <col min="3595" max="3595" width="17.42578125" style="3" customWidth="1"/>
    <col min="3596" max="3596" width="20.85546875" style="3" customWidth="1"/>
    <col min="3597" max="3597" width="26.85546875" style="3" customWidth="1"/>
    <col min="3598" max="3598" width="8" style="3" customWidth="1"/>
    <col min="3599" max="3599" width="25" style="3" customWidth="1"/>
    <col min="3600" max="3600" width="12.7109375" style="3" customWidth="1"/>
    <col min="3601" max="3601" width="16.42578125" style="3" customWidth="1"/>
    <col min="3602" max="3602" width="23.5703125" style="3" customWidth="1"/>
    <col min="3603" max="3603" width="33.7109375" style="3" customWidth="1"/>
    <col min="3604" max="3604" width="31.140625" style="3" customWidth="1"/>
    <col min="3605" max="3605" width="19.28515625" style="3" customWidth="1"/>
    <col min="3606" max="3606" width="11.7109375" style="3" customWidth="1"/>
    <col min="3607" max="3607" width="15.42578125" style="3" customWidth="1"/>
    <col min="3608" max="3608" width="5.5703125" style="3" customWidth="1"/>
    <col min="3609" max="3609" width="4.7109375" style="3" customWidth="1"/>
    <col min="3610" max="3611" width="7.28515625" style="3" customWidth="1"/>
    <col min="3612" max="3612" width="8.42578125" style="3" customWidth="1"/>
    <col min="3613" max="3613" width="9.5703125" style="3" customWidth="1"/>
    <col min="3614" max="3614" width="6.28515625" style="3" customWidth="1"/>
    <col min="3615" max="3615" width="5.85546875" style="3" customWidth="1"/>
    <col min="3616" max="3617" width="4.42578125" style="3" customWidth="1"/>
    <col min="3618" max="3618" width="5" style="3" customWidth="1"/>
    <col min="3619" max="3619" width="5.85546875" style="3" customWidth="1"/>
    <col min="3620" max="3620" width="6.140625" style="3" customWidth="1"/>
    <col min="3621" max="3621" width="6.28515625" style="3" customWidth="1"/>
    <col min="3622" max="3622" width="4.85546875" style="3" customWidth="1"/>
    <col min="3623" max="3623" width="8.140625" style="3" customWidth="1"/>
    <col min="3624" max="3624" width="11.5703125" style="3" customWidth="1"/>
    <col min="3625" max="3625" width="13.7109375" style="3" customWidth="1"/>
    <col min="3626" max="3626" width="20.85546875" style="3" customWidth="1"/>
    <col min="3627" max="3839" width="11.42578125" style="3"/>
    <col min="3840" max="3840" width="13.140625" style="3" customWidth="1"/>
    <col min="3841" max="3841" width="4" style="3" customWidth="1"/>
    <col min="3842" max="3842" width="12.85546875" style="3" customWidth="1"/>
    <col min="3843" max="3843" width="14.7109375" style="3" customWidth="1"/>
    <col min="3844" max="3844" width="10" style="3" customWidth="1"/>
    <col min="3845" max="3845" width="6.28515625" style="3" customWidth="1"/>
    <col min="3846" max="3846" width="12.28515625" style="3" customWidth="1"/>
    <col min="3847" max="3847" width="8.5703125" style="3" customWidth="1"/>
    <col min="3848" max="3848" width="13.7109375" style="3" customWidth="1"/>
    <col min="3849" max="3849" width="11.5703125" style="3" customWidth="1"/>
    <col min="3850" max="3850" width="24.7109375" style="3" customWidth="1"/>
    <col min="3851" max="3851" width="17.42578125" style="3" customWidth="1"/>
    <col min="3852" max="3852" width="20.85546875" style="3" customWidth="1"/>
    <col min="3853" max="3853" width="26.85546875" style="3" customWidth="1"/>
    <col min="3854" max="3854" width="8" style="3" customWidth="1"/>
    <col min="3855" max="3855" width="25" style="3" customWidth="1"/>
    <col min="3856" max="3856" width="12.7109375" style="3" customWidth="1"/>
    <col min="3857" max="3857" width="16.42578125" style="3" customWidth="1"/>
    <col min="3858" max="3858" width="23.5703125" style="3" customWidth="1"/>
    <col min="3859" max="3859" width="33.7109375" style="3" customWidth="1"/>
    <col min="3860" max="3860" width="31.140625" style="3" customWidth="1"/>
    <col min="3861" max="3861" width="19.28515625" style="3" customWidth="1"/>
    <col min="3862" max="3862" width="11.7109375" style="3" customWidth="1"/>
    <col min="3863" max="3863" width="15.42578125" style="3" customWidth="1"/>
    <col min="3864" max="3864" width="5.5703125" style="3" customWidth="1"/>
    <col min="3865" max="3865" width="4.7109375" style="3" customWidth="1"/>
    <col min="3866" max="3867" width="7.28515625" style="3" customWidth="1"/>
    <col min="3868" max="3868" width="8.42578125" style="3" customWidth="1"/>
    <col min="3869" max="3869" width="9.5703125" style="3" customWidth="1"/>
    <col min="3870" max="3870" width="6.28515625" style="3" customWidth="1"/>
    <col min="3871" max="3871" width="5.85546875" style="3" customWidth="1"/>
    <col min="3872" max="3873" width="4.42578125" style="3" customWidth="1"/>
    <col min="3874" max="3874" width="5" style="3" customWidth="1"/>
    <col min="3875" max="3875" width="5.85546875" style="3" customWidth="1"/>
    <col min="3876" max="3876" width="6.140625" style="3" customWidth="1"/>
    <col min="3877" max="3877" width="6.28515625" style="3" customWidth="1"/>
    <col min="3878" max="3878" width="4.85546875" style="3" customWidth="1"/>
    <col min="3879" max="3879" width="8.140625" style="3" customWidth="1"/>
    <col min="3880" max="3880" width="11.5703125" style="3" customWidth="1"/>
    <col min="3881" max="3881" width="13.7109375" style="3" customWidth="1"/>
    <col min="3882" max="3882" width="20.85546875" style="3" customWidth="1"/>
    <col min="3883" max="4095" width="11.42578125" style="3"/>
    <col min="4096" max="4096" width="13.140625" style="3" customWidth="1"/>
    <col min="4097" max="4097" width="4" style="3" customWidth="1"/>
    <col min="4098" max="4098" width="12.85546875" style="3" customWidth="1"/>
    <col min="4099" max="4099" width="14.7109375" style="3" customWidth="1"/>
    <col min="4100" max="4100" width="10" style="3" customWidth="1"/>
    <col min="4101" max="4101" width="6.28515625" style="3" customWidth="1"/>
    <col min="4102" max="4102" width="12.28515625" style="3" customWidth="1"/>
    <col min="4103" max="4103" width="8.5703125" style="3" customWidth="1"/>
    <col min="4104" max="4104" width="13.7109375" style="3" customWidth="1"/>
    <col min="4105" max="4105" width="11.5703125" style="3" customWidth="1"/>
    <col min="4106" max="4106" width="24.7109375" style="3" customWidth="1"/>
    <col min="4107" max="4107" width="17.42578125" style="3" customWidth="1"/>
    <col min="4108" max="4108" width="20.85546875" style="3" customWidth="1"/>
    <col min="4109" max="4109" width="26.85546875" style="3" customWidth="1"/>
    <col min="4110" max="4110" width="8" style="3" customWidth="1"/>
    <col min="4111" max="4111" width="25" style="3" customWidth="1"/>
    <col min="4112" max="4112" width="12.7109375" style="3" customWidth="1"/>
    <col min="4113" max="4113" width="16.42578125" style="3" customWidth="1"/>
    <col min="4114" max="4114" width="23.5703125" style="3" customWidth="1"/>
    <col min="4115" max="4115" width="33.7109375" style="3" customWidth="1"/>
    <col min="4116" max="4116" width="31.140625" style="3" customWidth="1"/>
    <col min="4117" max="4117" width="19.28515625" style="3" customWidth="1"/>
    <col min="4118" max="4118" width="11.7109375" style="3" customWidth="1"/>
    <col min="4119" max="4119" width="15.42578125" style="3" customWidth="1"/>
    <col min="4120" max="4120" width="5.5703125" style="3" customWidth="1"/>
    <col min="4121" max="4121" width="4.7109375" style="3" customWidth="1"/>
    <col min="4122" max="4123" width="7.28515625" style="3" customWidth="1"/>
    <col min="4124" max="4124" width="8.42578125" style="3" customWidth="1"/>
    <col min="4125" max="4125" width="9.5703125" style="3" customWidth="1"/>
    <col min="4126" max="4126" width="6.28515625" style="3" customWidth="1"/>
    <col min="4127" max="4127" width="5.85546875" style="3" customWidth="1"/>
    <col min="4128" max="4129" width="4.42578125" style="3" customWidth="1"/>
    <col min="4130" max="4130" width="5" style="3" customWidth="1"/>
    <col min="4131" max="4131" width="5.85546875" style="3" customWidth="1"/>
    <col min="4132" max="4132" width="6.140625" style="3" customWidth="1"/>
    <col min="4133" max="4133" width="6.28515625" style="3" customWidth="1"/>
    <col min="4134" max="4134" width="4.85546875" style="3" customWidth="1"/>
    <col min="4135" max="4135" width="8.140625" style="3" customWidth="1"/>
    <col min="4136" max="4136" width="11.5703125" style="3" customWidth="1"/>
    <col min="4137" max="4137" width="13.7109375" style="3" customWidth="1"/>
    <col min="4138" max="4138" width="20.85546875" style="3" customWidth="1"/>
    <col min="4139" max="4351" width="11.42578125" style="3"/>
    <col min="4352" max="4352" width="13.140625" style="3" customWidth="1"/>
    <col min="4353" max="4353" width="4" style="3" customWidth="1"/>
    <col min="4354" max="4354" width="12.85546875" style="3" customWidth="1"/>
    <col min="4355" max="4355" width="14.7109375" style="3" customWidth="1"/>
    <col min="4356" max="4356" width="10" style="3" customWidth="1"/>
    <col min="4357" max="4357" width="6.28515625" style="3" customWidth="1"/>
    <col min="4358" max="4358" width="12.28515625" style="3" customWidth="1"/>
    <col min="4359" max="4359" width="8.5703125" style="3" customWidth="1"/>
    <col min="4360" max="4360" width="13.7109375" style="3" customWidth="1"/>
    <col min="4361" max="4361" width="11.5703125" style="3" customWidth="1"/>
    <col min="4362" max="4362" width="24.7109375" style="3" customWidth="1"/>
    <col min="4363" max="4363" width="17.42578125" style="3" customWidth="1"/>
    <col min="4364" max="4364" width="20.85546875" style="3" customWidth="1"/>
    <col min="4365" max="4365" width="26.85546875" style="3" customWidth="1"/>
    <col min="4366" max="4366" width="8" style="3" customWidth="1"/>
    <col min="4367" max="4367" width="25" style="3" customWidth="1"/>
    <col min="4368" max="4368" width="12.7109375" style="3" customWidth="1"/>
    <col min="4369" max="4369" width="16.42578125" style="3" customWidth="1"/>
    <col min="4370" max="4370" width="23.5703125" style="3" customWidth="1"/>
    <col min="4371" max="4371" width="33.7109375" style="3" customWidth="1"/>
    <col min="4372" max="4372" width="31.140625" style="3" customWidth="1"/>
    <col min="4373" max="4373" width="19.28515625" style="3" customWidth="1"/>
    <col min="4374" max="4374" width="11.7109375" style="3" customWidth="1"/>
    <col min="4375" max="4375" width="15.42578125" style="3" customWidth="1"/>
    <col min="4376" max="4376" width="5.5703125" style="3" customWidth="1"/>
    <col min="4377" max="4377" width="4.7109375" style="3" customWidth="1"/>
    <col min="4378" max="4379" width="7.28515625" style="3" customWidth="1"/>
    <col min="4380" max="4380" width="8.42578125" style="3" customWidth="1"/>
    <col min="4381" max="4381" width="9.5703125" style="3" customWidth="1"/>
    <col min="4382" max="4382" width="6.28515625" style="3" customWidth="1"/>
    <col min="4383" max="4383" width="5.85546875" style="3" customWidth="1"/>
    <col min="4384" max="4385" width="4.42578125" style="3" customWidth="1"/>
    <col min="4386" max="4386" width="5" style="3" customWidth="1"/>
    <col min="4387" max="4387" width="5.85546875" style="3" customWidth="1"/>
    <col min="4388" max="4388" width="6.140625" style="3" customWidth="1"/>
    <col min="4389" max="4389" width="6.28515625" style="3" customWidth="1"/>
    <col min="4390" max="4390" width="4.85546875" style="3" customWidth="1"/>
    <col min="4391" max="4391" width="8.140625" style="3" customWidth="1"/>
    <col min="4392" max="4392" width="11.5703125" style="3" customWidth="1"/>
    <col min="4393" max="4393" width="13.7109375" style="3" customWidth="1"/>
    <col min="4394" max="4394" width="20.85546875" style="3" customWidth="1"/>
    <col min="4395" max="4607" width="11.42578125" style="3"/>
    <col min="4608" max="4608" width="13.140625" style="3" customWidth="1"/>
    <col min="4609" max="4609" width="4" style="3" customWidth="1"/>
    <col min="4610" max="4610" width="12.85546875" style="3" customWidth="1"/>
    <col min="4611" max="4611" width="14.7109375" style="3" customWidth="1"/>
    <col min="4612" max="4612" width="10" style="3" customWidth="1"/>
    <col min="4613" max="4613" width="6.28515625" style="3" customWidth="1"/>
    <col min="4614" max="4614" width="12.28515625" style="3" customWidth="1"/>
    <col min="4615" max="4615" width="8.5703125" style="3" customWidth="1"/>
    <col min="4616" max="4616" width="13.7109375" style="3" customWidth="1"/>
    <col min="4617" max="4617" width="11.5703125" style="3" customWidth="1"/>
    <col min="4618" max="4618" width="24.7109375" style="3" customWidth="1"/>
    <col min="4619" max="4619" width="17.42578125" style="3" customWidth="1"/>
    <col min="4620" max="4620" width="20.85546875" style="3" customWidth="1"/>
    <col min="4621" max="4621" width="26.85546875" style="3" customWidth="1"/>
    <col min="4622" max="4622" width="8" style="3" customWidth="1"/>
    <col min="4623" max="4623" width="25" style="3" customWidth="1"/>
    <col min="4624" max="4624" width="12.7109375" style="3" customWidth="1"/>
    <col min="4625" max="4625" width="16.42578125" style="3" customWidth="1"/>
    <col min="4626" max="4626" width="23.5703125" style="3" customWidth="1"/>
    <col min="4627" max="4627" width="33.7109375" style="3" customWidth="1"/>
    <col min="4628" max="4628" width="31.140625" style="3" customWidth="1"/>
    <col min="4629" max="4629" width="19.28515625" style="3" customWidth="1"/>
    <col min="4630" max="4630" width="11.7109375" style="3" customWidth="1"/>
    <col min="4631" max="4631" width="15.42578125" style="3" customWidth="1"/>
    <col min="4632" max="4632" width="5.5703125" style="3" customWidth="1"/>
    <col min="4633" max="4633" width="4.7109375" style="3" customWidth="1"/>
    <col min="4634" max="4635" width="7.28515625" style="3" customWidth="1"/>
    <col min="4636" max="4636" width="8.42578125" style="3" customWidth="1"/>
    <col min="4637" max="4637" width="9.5703125" style="3" customWidth="1"/>
    <col min="4638" max="4638" width="6.28515625" style="3" customWidth="1"/>
    <col min="4639" max="4639" width="5.85546875" style="3" customWidth="1"/>
    <col min="4640" max="4641" width="4.42578125" style="3" customWidth="1"/>
    <col min="4642" max="4642" width="5" style="3" customWidth="1"/>
    <col min="4643" max="4643" width="5.85546875" style="3" customWidth="1"/>
    <col min="4644" max="4644" width="6.140625" style="3" customWidth="1"/>
    <col min="4645" max="4645" width="6.28515625" style="3" customWidth="1"/>
    <col min="4646" max="4646" width="4.85546875" style="3" customWidth="1"/>
    <col min="4647" max="4647" width="8.140625" style="3" customWidth="1"/>
    <col min="4648" max="4648" width="11.5703125" style="3" customWidth="1"/>
    <col min="4649" max="4649" width="13.7109375" style="3" customWidth="1"/>
    <col min="4650" max="4650" width="20.85546875" style="3" customWidth="1"/>
    <col min="4651" max="4863" width="11.42578125" style="3"/>
    <col min="4864" max="4864" width="13.140625" style="3" customWidth="1"/>
    <col min="4865" max="4865" width="4" style="3" customWidth="1"/>
    <col min="4866" max="4866" width="12.85546875" style="3" customWidth="1"/>
    <col min="4867" max="4867" width="14.7109375" style="3" customWidth="1"/>
    <col min="4868" max="4868" width="10" style="3" customWidth="1"/>
    <col min="4869" max="4869" width="6.28515625" style="3" customWidth="1"/>
    <col min="4870" max="4870" width="12.28515625" style="3" customWidth="1"/>
    <col min="4871" max="4871" width="8.5703125" style="3" customWidth="1"/>
    <col min="4872" max="4872" width="13.7109375" style="3" customWidth="1"/>
    <col min="4873" max="4873" width="11.5703125" style="3" customWidth="1"/>
    <col min="4874" max="4874" width="24.7109375" style="3" customWidth="1"/>
    <col min="4875" max="4875" width="17.42578125" style="3" customWidth="1"/>
    <col min="4876" max="4876" width="20.85546875" style="3" customWidth="1"/>
    <col min="4877" max="4877" width="26.85546875" style="3" customWidth="1"/>
    <col min="4878" max="4878" width="8" style="3" customWidth="1"/>
    <col min="4879" max="4879" width="25" style="3" customWidth="1"/>
    <col min="4880" max="4880" width="12.7109375" style="3" customWidth="1"/>
    <col min="4881" max="4881" width="16.42578125" style="3" customWidth="1"/>
    <col min="4882" max="4882" width="23.5703125" style="3" customWidth="1"/>
    <col min="4883" max="4883" width="33.7109375" style="3" customWidth="1"/>
    <col min="4884" max="4884" width="31.140625" style="3" customWidth="1"/>
    <col min="4885" max="4885" width="19.28515625" style="3" customWidth="1"/>
    <col min="4886" max="4886" width="11.7109375" style="3" customWidth="1"/>
    <col min="4887" max="4887" width="15.42578125" style="3" customWidth="1"/>
    <col min="4888" max="4888" width="5.5703125" style="3" customWidth="1"/>
    <col min="4889" max="4889" width="4.7109375" style="3" customWidth="1"/>
    <col min="4890" max="4891" width="7.28515625" style="3" customWidth="1"/>
    <col min="4892" max="4892" width="8.42578125" style="3" customWidth="1"/>
    <col min="4893" max="4893" width="9.5703125" style="3" customWidth="1"/>
    <col min="4894" max="4894" width="6.28515625" style="3" customWidth="1"/>
    <col min="4895" max="4895" width="5.85546875" style="3" customWidth="1"/>
    <col min="4896" max="4897" width="4.42578125" style="3" customWidth="1"/>
    <col min="4898" max="4898" width="5" style="3" customWidth="1"/>
    <col min="4899" max="4899" width="5.85546875" style="3" customWidth="1"/>
    <col min="4900" max="4900" width="6.140625" style="3" customWidth="1"/>
    <col min="4901" max="4901" width="6.28515625" style="3" customWidth="1"/>
    <col min="4902" max="4902" width="4.85546875" style="3" customWidth="1"/>
    <col min="4903" max="4903" width="8.140625" style="3" customWidth="1"/>
    <col min="4904" max="4904" width="11.5703125" style="3" customWidth="1"/>
    <col min="4905" max="4905" width="13.7109375" style="3" customWidth="1"/>
    <col min="4906" max="4906" width="20.85546875" style="3" customWidth="1"/>
    <col min="4907" max="5119" width="11.42578125" style="3"/>
    <col min="5120" max="5120" width="13.140625" style="3" customWidth="1"/>
    <col min="5121" max="5121" width="4" style="3" customWidth="1"/>
    <col min="5122" max="5122" width="12.85546875" style="3" customWidth="1"/>
    <col min="5123" max="5123" width="14.7109375" style="3" customWidth="1"/>
    <col min="5124" max="5124" width="10" style="3" customWidth="1"/>
    <col min="5125" max="5125" width="6.28515625" style="3" customWidth="1"/>
    <col min="5126" max="5126" width="12.28515625" style="3" customWidth="1"/>
    <col min="5127" max="5127" width="8.5703125" style="3" customWidth="1"/>
    <col min="5128" max="5128" width="13.7109375" style="3" customWidth="1"/>
    <col min="5129" max="5129" width="11.5703125" style="3" customWidth="1"/>
    <col min="5130" max="5130" width="24.7109375" style="3" customWidth="1"/>
    <col min="5131" max="5131" width="17.42578125" style="3" customWidth="1"/>
    <col min="5132" max="5132" width="20.85546875" style="3" customWidth="1"/>
    <col min="5133" max="5133" width="26.85546875" style="3" customWidth="1"/>
    <col min="5134" max="5134" width="8" style="3" customWidth="1"/>
    <col min="5135" max="5135" width="25" style="3" customWidth="1"/>
    <col min="5136" max="5136" width="12.7109375" style="3" customWidth="1"/>
    <col min="5137" max="5137" width="16.42578125" style="3" customWidth="1"/>
    <col min="5138" max="5138" width="23.5703125" style="3" customWidth="1"/>
    <col min="5139" max="5139" width="33.7109375" style="3" customWidth="1"/>
    <col min="5140" max="5140" width="31.140625" style="3" customWidth="1"/>
    <col min="5141" max="5141" width="19.28515625" style="3" customWidth="1"/>
    <col min="5142" max="5142" width="11.7109375" style="3" customWidth="1"/>
    <col min="5143" max="5143" width="15.42578125" style="3" customWidth="1"/>
    <col min="5144" max="5144" width="5.5703125" style="3" customWidth="1"/>
    <col min="5145" max="5145" width="4.7109375" style="3" customWidth="1"/>
    <col min="5146" max="5147" width="7.28515625" style="3" customWidth="1"/>
    <col min="5148" max="5148" width="8.42578125" style="3" customWidth="1"/>
    <col min="5149" max="5149" width="9.5703125" style="3" customWidth="1"/>
    <col min="5150" max="5150" width="6.28515625" style="3" customWidth="1"/>
    <col min="5151" max="5151" width="5.85546875" style="3" customWidth="1"/>
    <col min="5152" max="5153" width="4.42578125" style="3" customWidth="1"/>
    <col min="5154" max="5154" width="5" style="3" customWidth="1"/>
    <col min="5155" max="5155" width="5.85546875" style="3" customWidth="1"/>
    <col min="5156" max="5156" width="6.140625" style="3" customWidth="1"/>
    <col min="5157" max="5157" width="6.28515625" style="3" customWidth="1"/>
    <col min="5158" max="5158" width="4.85546875" style="3" customWidth="1"/>
    <col min="5159" max="5159" width="8.140625" style="3" customWidth="1"/>
    <col min="5160" max="5160" width="11.5703125" style="3" customWidth="1"/>
    <col min="5161" max="5161" width="13.7109375" style="3" customWidth="1"/>
    <col min="5162" max="5162" width="20.85546875" style="3" customWidth="1"/>
    <col min="5163" max="5375" width="11.42578125" style="3"/>
    <col min="5376" max="5376" width="13.140625" style="3" customWidth="1"/>
    <col min="5377" max="5377" width="4" style="3" customWidth="1"/>
    <col min="5378" max="5378" width="12.85546875" style="3" customWidth="1"/>
    <col min="5379" max="5379" width="14.7109375" style="3" customWidth="1"/>
    <col min="5380" max="5380" width="10" style="3" customWidth="1"/>
    <col min="5381" max="5381" width="6.28515625" style="3" customWidth="1"/>
    <col min="5382" max="5382" width="12.28515625" style="3" customWidth="1"/>
    <col min="5383" max="5383" width="8.5703125" style="3" customWidth="1"/>
    <col min="5384" max="5384" width="13.7109375" style="3" customWidth="1"/>
    <col min="5385" max="5385" width="11.5703125" style="3" customWidth="1"/>
    <col min="5386" max="5386" width="24.7109375" style="3" customWidth="1"/>
    <col min="5387" max="5387" width="17.42578125" style="3" customWidth="1"/>
    <col min="5388" max="5388" width="20.85546875" style="3" customWidth="1"/>
    <col min="5389" max="5389" width="26.85546875" style="3" customWidth="1"/>
    <col min="5390" max="5390" width="8" style="3" customWidth="1"/>
    <col min="5391" max="5391" width="25" style="3" customWidth="1"/>
    <col min="5392" max="5392" width="12.7109375" style="3" customWidth="1"/>
    <col min="5393" max="5393" width="16.42578125" style="3" customWidth="1"/>
    <col min="5394" max="5394" width="23.5703125" style="3" customWidth="1"/>
    <col min="5395" max="5395" width="33.7109375" style="3" customWidth="1"/>
    <col min="5396" max="5396" width="31.140625" style="3" customWidth="1"/>
    <col min="5397" max="5397" width="19.28515625" style="3" customWidth="1"/>
    <col min="5398" max="5398" width="11.7109375" style="3" customWidth="1"/>
    <col min="5399" max="5399" width="15.42578125" style="3" customWidth="1"/>
    <col min="5400" max="5400" width="5.5703125" style="3" customWidth="1"/>
    <col min="5401" max="5401" width="4.7109375" style="3" customWidth="1"/>
    <col min="5402" max="5403" width="7.28515625" style="3" customWidth="1"/>
    <col min="5404" max="5404" width="8.42578125" style="3" customWidth="1"/>
    <col min="5405" max="5405" width="9.5703125" style="3" customWidth="1"/>
    <col min="5406" max="5406" width="6.28515625" style="3" customWidth="1"/>
    <col min="5407" max="5407" width="5.85546875" style="3" customWidth="1"/>
    <col min="5408" max="5409" width="4.42578125" style="3" customWidth="1"/>
    <col min="5410" max="5410" width="5" style="3" customWidth="1"/>
    <col min="5411" max="5411" width="5.85546875" style="3" customWidth="1"/>
    <col min="5412" max="5412" width="6.140625" style="3" customWidth="1"/>
    <col min="5413" max="5413" width="6.28515625" style="3" customWidth="1"/>
    <col min="5414" max="5414" width="4.85546875" style="3" customWidth="1"/>
    <col min="5415" max="5415" width="8.140625" style="3" customWidth="1"/>
    <col min="5416" max="5416" width="11.5703125" style="3" customWidth="1"/>
    <col min="5417" max="5417" width="13.7109375" style="3" customWidth="1"/>
    <col min="5418" max="5418" width="20.85546875" style="3" customWidth="1"/>
    <col min="5419" max="5631" width="11.42578125" style="3"/>
    <col min="5632" max="5632" width="13.140625" style="3" customWidth="1"/>
    <col min="5633" max="5633" width="4" style="3" customWidth="1"/>
    <col min="5634" max="5634" width="12.85546875" style="3" customWidth="1"/>
    <col min="5635" max="5635" width="14.7109375" style="3" customWidth="1"/>
    <col min="5636" max="5636" width="10" style="3" customWidth="1"/>
    <col min="5637" max="5637" width="6.28515625" style="3" customWidth="1"/>
    <col min="5638" max="5638" width="12.28515625" style="3" customWidth="1"/>
    <col min="5639" max="5639" width="8.5703125" style="3" customWidth="1"/>
    <col min="5640" max="5640" width="13.7109375" style="3" customWidth="1"/>
    <col min="5641" max="5641" width="11.5703125" style="3" customWidth="1"/>
    <col min="5642" max="5642" width="24.7109375" style="3" customWidth="1"/>
    <col min="5643" max="5643" width="17.42578125" style="3" customWidth="1"/>
    <col min="5644" max="5644" width="20.85546875" style="3" customWidth="1"/>
    <col min="5645" max="5645" width="26.85546875" style="3" customWidth="1"/>
    <col min="5646" max="5646" width="8" style="3" customWidth="1"/>
    <col min="5647" max="5647" width="25" style="3" customWidth="1"/>
    <col min="5648" max="5648" width="12.7109375" style="3" customWidth="1"/>
    <col min="5649" max="5649" width="16.42578125" style="3" customWidth="1"/>
    <col min="5650" max="5650" width="23.5703125" style="3" customWidth="1"/>
    <col min="5651" max="5651" width="33.7109375" style="3" customWidth="1"/>
    <col min="5652" max="5652" width="31.140625" style="3" customWidth="1"/>
    <col min="5653" max="5653" width="19.28515625" style="3" customWidth="1"/>
    <col min="5654" max="5654" width="11.7109375" style="3" customWidth="1"/>
    <col min="5655" max="5655" width="15.42578125" style="3" customWidth="1"/>
    <col min="5656" max="5656" width="5.5703125" style="3" customWidth="1"/>
    <col min="5657" max="5657" width="4.7109375" style="3" customWidth="1"/>
    <col min="5658" max="5659" width="7.28515625" style="3" customWidth="1"/>
    <col min="5660" max="5660" width="8.42578125" style="3" customWidth="1"/>
    <col min="5661" max="5661" width="9.5703125" style="3" customWidth="1"/>
    <col min="5662" max="5662" width="6.28515625" style="3" customWidth="1"/>
    <col min="5663" max="5663" width="5.85546875" style="3" customWidth="1"/>
    <col min="5664" max="5665" width="4.42578125" style="3" customWidth="1"/>
    <col min="5666" max="5666" width="5" style="3" customWidth="1"/>
    <col min="5667" max="5667" width="5.85546875" style="3" customWidth="1"/>
    <col min="5668" max="5668" width="6.140625" style="3" customWidth="1"/>
    <col min="5669" max="5669" width="6.28515625" style="3" customWidth="1"/>
    <col min="5670" max="5670" width="4.85546875" style="3" customWidth="1"/>
    <col min="5671" max="5671" width="8.140625" style="3" customWidth="1"/>
    <col min="5672" max="5672" width="11.5703125" style="3" customWidth="1"/>
    <col min="5673" max="5673" width="13.7109375" style="3" customWidth="1"/>
    <col min="5674" max="5674" width="20.85546875" style="3" customWidth="1"/>
    <col min="5675" max="5887" width="11.42578125" style="3"/>
    <col min="5888" max="5888" width="13.140625" style="3" customWidth="1"/>
    <col min="5889" max="5889" width="4" style="3" customWidth="1"/>
    <col min="5890" max="5890" width="12.85546875" style="3" customWidth="1"/>
    <col min="5891" max="5891" width="14.7109375" style="3" customWidth="1"/>
    <col min="5892" max="5892" width="10" style="3" customWidth="1"/>
    <col min="5893" max="5893" width="6.28515625" style="3" customWidth="1"/>
    <col min="5894" max="5894" width="12.28515625" style="3" customWidth="1"/>
    <col min="5895" max="5895" width="8.5703125" style="3" customWidth="1"/>
    <col min="5896" max="5896" width="13.7109375" style="3" customWidth="1"/>
    <col min="5897" max="5897" width="11.5703125" style="3" customWidth="1"/>
    <col min="5898" max="5898" width="24.7109375" style="3" customWidth="1"/>
    <col min="5899" max="5899" width="17.42578125" style="3" customWidth="1"/>
    <col min="5900" max="5900" width="20.85546875" style="3" customWidth="1"/>
    <col min="5901" max="5901" width="26.85546875" style="3" customWidth="1"/>
    <col min="5902" max="5902" width="8" style="3" customWidth="1"/>
    <col min="5903" max="5903" width="25" style="3" customWidth="1"/>
    <col min="5904" max="5904" width="12.7109375" style="3" customWidth="1"/>
    <col min="5905" max="5905" width="16.42578125" style="3" customWidth="1"/>
    <col min="5906" max="5906" width="23.5703125" style="3" customWidth="1"/>
    <col min="5907" max="5907" width="33.7109375" style="3" customWidth="1"/>
    <col min="5908" max="5908" width="31.140625" style="3" customWidth="1"/>
    <col min="5909" max="5909" width="19.28515625" style="3" customWidth="1"/>
    <col min="5910" max="5910" width="11.7109375" style="3" customWidth="1"/>
    <col min="5911" max="5911" width="15.42578125" style="3" customWidth="1"/>
    <col min="5912" max="5912" width="5.5703125" style="3" customWidth="1"/>
    <col min="5913" max="5913" width="4.7109375" style="3" customWidth="1"/>
    <col min="5914" max="5915" width="7.28515625" style="3" customWidth="1"/>
    <col min="5916" max="5916" width="8.42578125" style="3" customWidth="1"/>
    <col min="5917" max="5917" width="9.5703125" style="3" customWidth="1"/>
    <col min="5918" max="5918" width="6.28515625" style="3" customWidth="1"/>
    <col min="5919" max="5919" width="5.85546875" style="3" customWidth="1"/>
    <col min="5920" max="5921" width="4.42578125" style="3" customWidth="1"/>
    <col min="5922" max="5922" width="5" style="3" customWidth="1"/>
    <col min="5923" max="5923" width="5.85546875" style="3" customWidth="1"/>
    <col min="5924" max="5924" width="6.140625" style="3" customWidth="1"/>
    <col min="5925" max="5925" width="6.28515625" style="3" customWidth="1"/>
    <col min="5926" max="5926" width="4.85546875" style="3" customWidth="1"/>
    <col min="5927" max="5927" width="8.140625" style="3" customWidth="1"/>
    <col min="5928" max="5928" width="11.5703125" style="3" customWidth="1"/>
    <col min="5929" max="5929" width="13.7109375" style="3" customWidth="1"/>
    <col min="5930" max="5930" width="20.85546875" style="3" customWidth="1"/>
    <col min="5931" max="6143" width="11.42578125" style="3"/>
    <col min="6144" max="6144" width="13.140625" style="3" customWidth="1"/>
    <col min="6145" max="6145" width="4" style="3" customWidth="1"/>
    <col min="6146" max="6146" width="12.85546875" style="3" customWidth="1"/>
    <col min="6147" max="6147" width="14.7109375" style="3" customWidth="1"/>
    <col min="6148" max="6148" width="10" style="3" customWidth="1"/>
    <col min="6149" max="6149" width="6.28515625" style="3" customWidth="1"/>
    <col min="6150" max="6150" width="12.28515625" style="3" customWidth="1"/>
    <col min="6151" max="6151" width="8.5703125" style="3" customWidth="1"/>
    <col min="6152" max="6152" width="13.7109375" style="3" customWidth="1"/>
    <col min="6153" max="6153" width="11.5703125" style="3" customWidth="1"/>
    <col min="6154" max="6154" width="24.7109375" style="3" customWidth="1"/>
    <col min="6155" max="6155" width="17.42578125" style="3" customWidth="1"/>
    <col min="6156" max="6156" width="20.85546875" style="3" customWidth="1"/>
    <col min="6157" max="6157" width="26.85546875" style="3" customWidth="1"/>
    <col min="6158" max="6158" width="8" style="3" customWidth="1"/>
    <col min="6159" max="6159" width="25" style="3" customWidth="1"/>
    <col min="6160" max="6160" width="12.7109375" style="3" customWidth="1"/>
    <col min="6161" max="6161" width="16.42578125" style="3" customWidth="1"/>
    <col min="6162" max="6162" width="23.5703125" style="3" customWidth="1"/>
    <col min="6163" max="6163" width="33.7109375" style="3" customWidth="1"/>
    <col min="6164" max="6164" width="31.140625" style="3" customWidth="1"/>
    <col min="6165" max="6165" width="19.28515625" style="3" customWidth="1"/>
    <col min="6166" max="6166" width="11.7109375" style="3" customWidth="1"/>
    <col min="6167" max="6167" width="15.42578125" style="3" customWidth="1"/>
    <col min="6168" max="6168" width="5.5703125" style="3" customWidth="1"/>
    <col min="6169" max="6169" width="4.7109375" style="3" customWidth="1"/>
    <col min="6170" max="6171" width="7.28515625" style="3" customWidth="1"/>
    <col min="6172" max="6172" width="8.42578125" style="3" customWidth="1"/>
    <col min="6173" max="6173" width="9.5703125" style="3" customWidth="1"/>
    <col min="6174" max="6174" width="6.28515625" style="3" customWidth="1"/>
    <col min="6175" max="6175" width="5.85546875" style="3" customWidth="1"/>
    <col min="6176" max="6177" width="4.42578125" style="3" customWidth="1"/>
    <col min="6178" max="6178" width="5" style="3" customWidth="1"/>
    <col min="6179" max="6179" width="5.85546875" style="3" customWidth="1"/>
    <col min="6180" max="6180" width="6.140625" style="3" customWidth="1"/>
    <col min="6181" max="6181" width="6.28515625" style="3" customWidth="1"/>
    <col min="6182" max="6182" width="4.85546875" style="3" customWidth="1"/>
    <col min="6183" max="6183" width="8.140625" style="3" customWidth="1"/>
    <col min="6184" max="6184" width="11.5703125" style="3" customWidth="1"/>
    <col min="6185" max="6185" width="13.7109375" style="3" customWidth="1"/>
    <col min="6186" max="6186" width="20.85546875" style="3" customWidth="1"/>
    <col min="6187" max="6399" width="11.42578125" style="3"/>
    <col min="6400" max="6400" width="13.140625" style="3" customWidth="1"/>
    <col min="6401" max="6401" width="4" style="3" customWidth="1"/>
    <col min="6402" max="6402" width="12.85546875" style="3" customWidth="1"/>
    <col min="6403" max="6403" width="14.7109375" style="3" customWidth="1"/>
    <col min="6404" max="6404" width="10" style="3" customWidth="1"/>
    <col min="6405" max="6405" width="6.28515625" style="3" customWidth="1"/>
    <col min="6406" max="6406" width="12.28515625" style="3" customWidth="1"/>
    <col min="6407" max="6407" width="8.5703125" style="3" customWidth="1"/>
    <col min="6408" max="6408" width="13.7109375" style="3" customWidth="1"/>
    <col min="6409" max="6409" width="11.5703125" style="3" customWidth="1"/>
    <col min="6410" max="6410" width="24.7109375" style="3" customWidth="1"/>
    <col min="6411" max="6411" width="17.42578125" style="3" customWidth="1"/>
    <col min="6412" max="6412" width="20.85546875" style="3" customWidth="1"/>
    <col min="6413" max="6413" width="26.85546875" style="3" customWidth="1"/>
    <col min="6414" max="6414" width="8" style="3" customWidth="1"/>
    <col min="6415" max="6415" width="25" style="3" customWidth="1"/>
    <col min="6416" max="6416" width="12.7109375" style="3" customWidth="1"/>
    <col min="6417" max="6417" width="16.42578125" style="3" customWidth="1"/>
    <col min="6418" max="6418" width="23.5703125" style="3" customWidth="1"/>
    <col min="6419" max="6419" width="33.7109375" style="3" customWidth="1"/>
    <col min="6420" max="6420" width="31.140625" style="3" customWidth="1"/>
    <col min="6421" max="6421" width="19.28515625" style="3" customWidth="1"/>
    <col min="6422" max="6422" width="11.7109375" style="3" customWidth="1"/>
    <col min="6423" max="6423" width="15.42578125" style="3" customWidth="1"/>
    <col min="6424" max="6424" width="5.5703125" style="3" customWidth="1"/>
    <col min="6425" max="6425" width="4.7109375" style="3" customWidth="1"/>
    <col min="6426" max="6427" width="7.28515625" style="3" customWidth="1"/>
    <col min="6428" max="6428" width="8.42578125" style="3" customWidth="1"/>
    <col min="6429" max="6429" width="9.5703125" style="3" customWidth="1"/>
    <col min="6430" max="6430" width="6.28515625" style="3" customWidth="1"/>
    <col min="6431" max="6431" width="5.85546875" style="3" customWidth="1"/>
    <col min="6432" max="6433" width="4.42578125" style="3" customWidth="1"/>
    <col min="6434" max="6434" width="5" style="3" customWidth="1"/>
    <col min="6435" max="6435" width="5.85546875" style="3" customWidth="1"/>
    <col min="6436" max="6436" width="6.140625" style="3" customWidth="1"/>
    <col min="6437" max="6437" width="6.28515625" style="3" customWidth="1"/>
    <col min="6438" max="6438" width="4.85546875" style="3" customWidth="1"/>
    <col min="6439" max="6439" width="8.140625" style="3" customWidth="1"/>
    <col min="6440" max="6440" width="11.5703125" style="3" customWidth="1"/>
    <col min="6441" max="6441" width="13.7109375" style="3" customWidth="1"/>
    <col min="6442" max="6442" width="20.85546875" style="3" customWidth="1"/>
    <col min="6443" max="6655" width="11.42578125" style="3"/>
    <col min="6656" max="6656" width="13.140625" style="3" customWidth="1"/>
    <col min="6657" max="6657" width="4" style="3" customWidth="1"/>
    <col min="6658" max="6658" width="12.85546875" style="3" customWidth="1"/>
    <col min="6659" max="6659" width="14.7109375" style="3" customWidth="1"/>
    <col min="6660" max="6660" width="10" style="3" customWidth="1"/>
    <col min="6661" max="6661" width="6.28515625" style="3" customWidth="1"/>
    <col min="6662" max="6662" width="12.28515625" style="3" customWidth="1"/>
    <col min="6663" max="6663" width="8.5703125" style="3" customWidth="1"/>
    <col min="6664" max="6664" width="13.7109375" style="3" customWidth="1"/>
    <col min="6665" max="6665" width="11.5703125" style="3" customWidth="1"/>
    <col min="6666" max="6666" width="24.7109375" style="3" customWidth="1"/>
    <col min="6667" max="6667" width="17.42578125" style="3" customWidth="1"/>
    <col min="6668" max="6668" width="20.85546875" style="3" customWidth="1"/>
    <col min="6669" max="6669" width="26.85546875" style="3" customWidth="1"/>
    <col min="6670" max="6670" width="8" style="3" customWidth="1"/>
    <col min="6671" max="6671" width="25" style="3" customWidth="1"/>
    <col min="6672" max="6672" width="12.7109375" style="3" customWidth="1"/>
    <col min="6673" max="6673" width="16.42578125" style="3" customWidth="1"/>
    <col min="6674" max="6674" width="23.5703125" style="3" customWidth="1"/>
    <col min="6675" max="6675" width="33.7109375" style="3" customWidth="1"/>
    <col min="6676" max="6676" width="31.140625" style="3" customWidth="1"/>
    <col min="6677" max="6677" width="19.28515625" style="3" customWidth="1"/>
    <col min="6678" max="6678" width="11.7109375" style="3" customWidth="1"/>
    <col min="6679" max="6679" width="15.42578125" style="3" customWidth="1"/>
    <col min="6680" max="6680" width="5.5703125" style="3" customWidth="1"/>
    <col min="6681" max="6681" width="4.7109375" style="3" customWidth="1"/>
    <col min="6682" max="6683" width="7.28515625" style="3" customWidth="1"/>
    <col min="6684" max="6684" width="8.42578125" style="3" customWidth="1"/>
    <col min="6685" max="6685" width="9.5703125" style="3" customWidth="1"/>
    <col min="6686" max="6686" width="6.28515625" style="3" customWidth="1"/>
    <col min="6687" max="6687" width="5.85546875" style="3" customWidth="1"/>
    <col min="6688" max="6689" width="4.42578125" style="3" customWidth="1"/>
    <col min="6690" max="6690" width="5" style="3" customWidth="1"/>
    <col min="6691" max="6691" width="5.85546875" style="3" customWidth="1"/>
    <col min="6692" max="6692" width="6.140625" style="3" customWidth="1"/>
    <col min="6693" max="6693" width="6.28515625" style="3" customWidth="1"/>
    <col min="6694" max="6694" width="4.85546875" style="3" customWidth="1"/>
    <col min="6695" max="6695" width="8.140625" style="3" customWidth="1"/>
    <col min="6696" max="6696" width="11.5703125" style="3" customWidth="1"/>
    <col min="6697" max="6697" width="13.7109375" style="3" customWidth="1"/>
    <col min="6698" max="6698" width="20.85546875" style="3" customWidth="1"/>
    <col min="6699" max="6911" width="11.42578125" style="3"/>
    <col min="6912" max="6912" width="13.140625" style="3" customWidth="1"/>
    <col min="6913" max="6913" width="4" style="3" customWidth="1"/>
    <col min="6914" max="6914" width="12.85546875" style="3" customWidth="1"/>
    <col min="6915" max="6915" width="14.7109375" style="3" customWidth="1"/>
    <col min="6916" max="6916" width="10" style="3" customWidth="1"/>
    <col min="6917" max="6917" width="6.28515625" style="3" customWidth="1"/>
    <col min="6918" max="6918" width="12.28515625" style="3" customWidth="1"/>
    <col min="6919" max="6919" width="8.5703125" style="3" customWidth="1"/>
    <col min="6920" max="6920" width="13.7109375" style="3" customWidth="1"/>
    <col min="6921" max="6921" width="11.5703125" style="3" customWidth="1"/>
    <col min="6922" max="6922" width="24.7109375" style="3" customWidth="1"/>
    <col min="6923" max="6923" width="17.42578125" style="3" customWidth="1"/>
    <col min="6924" max="6924" width="20.85546875" style="3" customWidth="1"/>
    <col min="6925" max="6925" width="26.85546875" style="3" customWidth="1"/>
    <col min="6926" max="6926" width="8" style="3" customWidth="1"/>
    <col min="6927" max="6927" width="25" style="3" customWidth="1"/>
    <col min="6928" max="6928" width="12.7109375" style="3" customWidth="1"/>
    <col min="6929" max="6929" width="16.42578125" style="3" customWidth="1"/>
    <col min="6930" max="6930" width="23.5703125" style="3" customWidth="1"/>
    <col min="6931" max="6931" width="33.7109375" style="3" customWidth="1"/>
    <col min="6932" max="6932" width="31.140625" style="3" customWidth="1"/>
    <col min="6933" max="6933" width="19.28515625" style="3" customWidth="1"/>
    <col min="6934" max="6934" width="11.7109375" style="3" customWidth="1"/>
    <col min="6935" max="6935" width="15.42578125" style="3" customWidth="1"/>
    <col min="6936" max="6936" width="5.5703125" style="3" customWidth="1"/>
    <col min="6937" max="6937" width="4.7109375" style="3" customWidth="1"/>
    <col min="6938" max="6939" width="7.28515625" style="3" customWidth="1"/>
    <col min="6940" max="6940" width="8.42578125" style="3" customWidth="1"/>
    <col min="6941" max="6941" width="9.5703125" style="3" customWidth="1"/>
    <col min="6942" max="6942" width="6.28515625" style="3" customWidth="1"/>
    <col min="6943" max="6943" width="5.85546875" style="3" customWidth="1"/>
    <col min="6944" max="6945" width="4.42578125" style="3" customWidth="1"/>
    <col min="6946" max="6946" width="5" style="3" customWidth="1"/>
    <col min="6947" max="6947" width="5.85546875" style="3" customWidth="1"/>
    <col min="6948" max="6948" width="6.140625" style="3" customWidth="1"/>
    <col min="6949" max="6949" width="6.28515625" style="3" customWidth="1"/>
    <col min="6950" max="6950" width="4.85546875" style="3" customWidth="1"/>
    <col min="6951" max="6951" width="8.140625" style="3" customWidth="1"/>
    <col min="6952" max="6952" width="11.5703125" style="3" customWidth="1"/>
    <col min="6953" max="6953" width="13.7109375" style="3" customWidth="1"/>
    <col min="6954" max="6954" width="20.85546875" style="3" customWidth="1"/>
    <col min="6955" max="7167" width="11.42578125" style="3"/>
    <col min="7168" max="7168" width="13.140625" style="3" customWidth="1"/>
    <col min="7169" max="7169" width="4" style="3" customWidth="1"/>
    <col min="7170" max="7170" width="12.85546875" style="3" customWidth="1"/>
    <col min="7171" max="7171" width="14.7109375" style="3" customWidth="1"/>
    <col min="7172" max="7172" width="10" style="3" customWidth="1"/>
    <col min="7173" max="7173" width="6.28515625" style="3" customWidth="1"/>
    <col min="7174" max="7174" width="12.28515625" style="3" customWidth="1"/>
    <col min="7175" max="7175" width="8.5703125" style="3" customWidth="1"/>
    <col min="7176" max="7176" width="13.7109375" style="3" customWidth="1"/>
    <col min="7177" max="7177" width="11.5703125" style="3" customWidth="1"/>
    <col min="7178" max="7178" width="24.7109375" style="3" customWidth="1"/>
    <col min="7179" max="7179" width="17.42578125" style="3" customWidth="1"/>
    <col min="7180" max="7180" width="20.85546875" style="3" customWidth="1"/>
    <col min="7181" max="7181" width="26.85546875" style="3" customWidth="1"/>
    <col min="7182" max="7182" width="8" style="3" customWidth="1"/>
    <col min="7183" max="7183" width="25" style="3" customWidth="1"/>
    <col min="7184" max="7184" width="12.7109375" style="3" customWidth="1"/>
    <col min="7185" max="7185" width="16.42578125" style="3" customWidth="1"/>
    <col min="7186" max="7186" width="23.5703125" style="3" customWidth="1"/>
    <col min="7187" max="7187" width="33.7109375" style="3" customWidth="1"/>
    <col min="7188" max="7188" width="31.140625" style="3" customWidth="1"/>
    <col min="7189" max="7189" width="19.28515625" style="3" customWidth="1"/>
    <col min="7190" max="7190" width="11.7109375" style="3" customWidth="1"/>
    <col min="7191" max="7191" width="15.42578125" style="3" customWidth="1"/>
    <col min="7192" max="7192" width="5.5703125" style="3" customWidth="1"/>
    <col min="7193" max="7193" width="4.7109375" style="3" customWidth="1"/>
    <col min="7194" max="7195" width="7.28515625" style="3" customWidth="1"/>
    <col min="7196" max="7196" width="8.42578125" style="3" customWidth="1"/>
    <col min="7197" max="7197" width="9.5703125" style="3" customWidth="1"/>
    <col min="7198" max="7198" width="6.28515625" style="3" customWidth="1"/>
    <col min="7199" max="7199" width="5.85546875" style="3" customWidth="1"/>
    <col min="7200" max="7201" width="4.42578125" style="3" customWidth="1"/>
    <col min="7202" max="7202" width="5" style="3" customWidth="1"/>
    <col min="7203" max="7203" width="5.85546875" style="3" customWidth="1"/>
    <col min="7204" max="7204" width="6.140625" style="3" customWidth="1"/>
    <col min="7205" max="7205" width="6.28515625" style="3" customWidth="1"/>
    <col min="7206" max="7206" width="4.85546875" style="3" customWidth="1"/>
    <col min="7207" max="7207" width="8.140625" style="3" customWidth="1"/>
    <col min="7208" max="7208" width="11.5703125" style="3" customWidth="1"/>
    <col min="7209" max="7209" width="13.7109375" style="3" customWidth="1"/>
    <col min="7210" max="7210" width="20.85546875" style="3" customWidth="1"/>
    <col min="7211" max="7423" width="11.42578125" style="3"/>
    <col min="7424" max="7424" width="13.140625" style="3" customWidth="1"/>
    <col min="7425" max="7425" width="4" style="3" customWidth="1"/>
    <col min="7426" max="7426" width="12.85546875" style="3" customWidth="1"/>
    <col min="7427" max="7427" width="14.7109375" style="3" customWidth="1"/>
    <col min="7428" max="7428" width="10" style="3" customWidth="1"/>
    <col min="7429" max="7429" width="6.28515625" style="3" customWidth="1"/>
    <col min="7430" max="7430" width="12.28515625" style="3" customWidth="1"/>
    <col min="7431" max="7431" width="8.5703125" style="3" customWidth="1"/>
    <col min="7432" max="7432" width="13.7109375" style="3" customWidth="1"/>
    <col min="7433" max="7433" width="11.5703125" style="3" customWidth="1"/>
    <col min="7434" max="7434" width="24.7109375" style="3" customWidth="1"/>
    <col min="7435" max="7435" width="17.42578125" style="3" customWidth="1"/>
    <col min="7436" max="7436" width="20.85546875" style="3" customWidth="1"/>
    <col min="7437" max="7437" width="26.85546875" style="3" customWidth="1"/>
    <col min="7438" max="7438" width="8" style="3" customWidth="1"/>
    <col min="7439" max="7439" width="25" style="3" customWidth="1"/>
    <col min="7440" max="7440" width="12.7109375" style="3" customWidth="1"/>
    <col min="7441" max="7441" width="16.42578125" style="3" customWidth="1"/>
    <col min="7442" max="7442" width="23.5703125" style="3" customWidth="1"/>
    <col min="7443" max="7443" width="33.7109375" style="3" customWidth="1"/>
    <col min="7444" max="7444" width="31.140625" style="3" customWidth="1"/>
    <col min="7445" max="7445" width="19.28515625" style="3" customWidth="1"/>
    <col min="7446" max="7446" width="11.7109375" style="3" customWidth="1"/>
    <col min="7447" max="7447" width="15.42578125" style="3" customWidth="1"/>
    <col min="7448" max="7448" width="5.5703125" style="3" customWidth="1"/>
    <col min="7449" max="7449" width="4.7109375" style="3" customWidth="1"/>
    <col min="7450" max="7451" width="7.28515625" style="3" customWidth="1"/>
    <col min="7452" max="7452" width="8.42578125" style="3" customWidth="1"/>
    <col min="7453" max="7453" width="9.5703125" style="3" customWidth="1"/>
    <col min="7454" max="7454" width="6.28515625" style="3" customWidth="1"/>
    <col min="7455" max="7455" width="5.85546875" style="3" customWidth="1"/>
    <col min="7456" max="7457" width="4.42578125" style="3" customWidth="1"/>
    <col min="7458" max="7458" width="5" style="3" customWidth="1"/>
    <col min="7459" max="7459" width="5.85546875" style="3" customWidth="1"/>
    <col min="7460" max="7460" width="6.140625" style="3" customWidth="1"/>
    <col min="7461" max="7461" width="6.28515625" style="3" customWidth="1"/>
    <col min="7462" max="7462" width="4.85546875" style="3" customWidth="1"/>
    <col min="7463" max="7463" width="8.140625" style="3" customWidth="1"/>
    <col min="7464" max="7464" width="11.5703125" style="3" customWidth="1"/>
    <col min="7465" max="7465" width="13.7109375" style="3" customWidth="1"/>
    <col min="7466" max="7466" width="20.85546875" style="3" customWidth="1"/>
    <col min="7467" max="7679" width="11.42578125" style="3"/>
    <col min="7680" max="7680" width="13.140625" style="3" customWidth="1"/>
    <col min="7681" max="7681" width="4" style="3" customWidth="1"/>
    <col min="7682" max="7682" width="12.85546875" style="3" customWidth="1"/>
    <col min="7683" max="7683" width="14.7109375" style="3" customWidth="1"/>
    <col min="7684" max="7684" width="10" style="3" customWidth="1"/>
    <col min="7685" max="7685" width="6.28515625" style="3" customWidth="1"/>
    <col min="7686" max="7686" width="12.28515625" style="3" customWidth="1"/>
    <col min="7687" max="7687" width="8.5703125" style="3" customWidth="1"/>
    <col min="7688" max="7688" width="13.7109375" style="3" customWidth="1"/>
    <col min="7689" max="7689" width="11.5703125" style="3" customWidth="1"/>
    <col min="7690" max="7690" width="24.7109375" style="3" customWidth="1"/>
    <col min="7691" max="7691" width="17.42578125" style="3" customWidth="1"/>
    <col min="7692" max="7692" width="20.85546875" style="3" customWidth="1"/>
    <col min="7693" max="7693" width="26.85546875" style="3" customWidth="1"/>
    <col min="7694" max="7694" width="8" style="3" customWidth="1"/>
    <col min="7695" max="7695" width="25" style="3" customWidth="1"/>
    <col min="7696" max="7696" width="12.7109375" style="3" customWidth="1"/>
    <col min="7697" max="7697" width="16.42578125" style="3" customWidth="1"/>
    <col min="7698" max="7698" width="23.5703125" style="3" customWidth="1"/>
    <col min="7699" max="7699" width="33.7109375" style="3" customWidth="1"/>
    <col min="7700" max="7700" width="31.140625" style="3" customWidth="1"/>
    <col min="7701" max="7701" width="19.28515625" style="3" customWidth="1"/>
    <col min="7702" max="7702" width="11.7109375" style="3" customWidth="1"/>
    <col min="7703" max="7703" width="15.42578125" style="3" customWidth="1"/>
    <col min="7704" max="7704" width="5.5703125" style="3" customWidth="1"/>
    <col min="7705" max="7705" width="4.7109375" style="3" customWidth="1"/>
    <col min="7706" max="7707" width="7.28515625" style="3" customWidth="1"/>
    <col min="7708" max="7708" width="8.42578125" style="3" customWidth="1"/>
    <col min="7709" max="7709" width="9.5703125" style="3" customWidth="1"/>
    <col min="7710" max="7710" width="6.28515625" style="3" customWidth="1"/>
    <col min="7711" max="7711" width="5.85546875" style="3" customWidth="1"/>
    <col min="7712" max="7713" width="4.42578125" style="3" customWidth="1"/>
    <col min="7714" max="7714" width="5" style="3" customWidth="1"/>
    <col min="7715" max="7715" width="5.85546875" style="3" customWidth="1"/>
    <col min="7716" max="7716" width="6.140625" style="3" customWidth="1"/>
    <col min="7717" max="7717" width="6.28515625" style="3" customWidth="1"/>
    <col min="7718" max="7718" width="4.85546875" style="3" customWidth="1"/>
    <col min="7719" max="7719" width="8.140625" style="3" customWidth="1"/>
    <col min="7720" max="7720" width="11.5703125" style="3" customWidth="1"/>
    <col min="7721" max="7721" width="13.7109375" style="3" customWidth="1"/>
    <col min="7722" max="7722" width="20.85546875" style="3" customWidth="1"/>
    <col min="7723" max="7935" width="11.42578125" style="3"/>
    <col min="7936" max="7936" width="13.140625" style="3" customWidth="1"/>
    <col min="7937" max="7937" width="4" style="3" customWidth="1"/>
    <col min="7938" max="7938" width="12.85546875" style="3" customWidth="1"/>
    <col min="7939" max="7939" width="14.7109375" style="3" customWidth="1"/>
    <col min="7940" max="7940" width="10" style="3" customWidth="1"/>
    <col min="7941" max="7941" width="6.28515625" style="3" customWidth="1"/>
    <col min="7942" max="7942" width="12.28515625" style="3" customWidth="1"/>
    <col min="7943" max="7943" width="8.5703125" style="3" customWidth="1"/>
    <col min="7944" max="7944" width="13.7109375" style="3" customWidth="1"/>
    <col min="7945" max="7945" width="11.5703125" style="3" customWidth="1"/>
    <col min="7946" max="7946" width="24.7109375" style="3" customWidth="1"/>
    <col min="7947" max="7947" width="17.42578125" style="3" customWidth="1"/>
    <col min="7948" max="7948" width="20.85546875" style="3" customWidth="1"/>
    <col min="7949" max="7949" width="26.85546875" style="3" customWidth="1"/>
    <col min="7950" max="7950" width="8" style="3" customWidth="1"/>
    <col min="7951" max="7951" width="25" style="3" customWidth="1"/>
    <col min="7952" max="7952" width="12.7109375" style="3" customWidth="1"/>
    <col min="7953" max="7953" width="16.42578125" style="3" customWidth="1"/>
    <col min="7954" max="7954" width="23.5703125" style="3" customWidth="1"/>
    <col min="7955" max="7955" width="33.7109375" style="3" customWidth="1"/>
    <col min="7956" max="7956" width="31.140625" style="3" customWidth="1"/>
    <col min="7957" max="7957" width="19.28515625" style="3" customWidth="1"/>
    <col min="7958" max="7958" width="11.7109375" style="3" customWidth="1"/>
    <col min="7959" max="7959" width="15.42578125" style="3" customWidth="1"/>
    <col min="7960" max="7960" width="5.5703125" style="3" customWidth="1"/>
    <col min="7961" max="7961" width="4.7109375" style="3" customWidth="1"/>
    <col min="7962" max="7963" width="7.28515625" style="3" customWidth="1"/>
    <col min="7964" max="7964" width="8.42578125" style="3" customWidth="1"/>
    <col min="7965" max="7965" width="9.5703125" style="3" customWidth="1"/>
    <col min="7966" max="7966" width="6.28515625" style="3" customWidth="1"/>
    <col min="7967" max="7967" width="5.85546875" style="3" customWidth="1"/>
    <col min="7968" max="7969" width="4.42578125" style="3" customWidth="1"/>
    <col min="7970" max="7970" width="5" style="3" customWidth="1"/>
    <col min="7971" max="7971" width="5.85546875" style="3" customWidth="1"/>
    <col min="7972" max="7972" width="6.140625" style="3" customWidth="1"/>
    <col min="7973" max="7973" width="6.28515625" style="3" customWidth="1"/>
    <col min="7974" max="7974" width="4.85546875" style="3" customWidth="1"/>
    <col min="7975" max="7975" width="8.140625" style="3" customWidth="1"/>
    <col min="7976" max="7976" width="11.5703125" style="3" customWidth="1"/>
    <col min="7977" max="7977" width="13.7109375" style="3" customWidth="1"/>
    <col min="7978" max="7978" width="20.85546875" style="3" customWidth="1"/>
    <col min="7979" max="8191" width="11.42578125" style="3"/>
    <col min="8192" max="8192" width="13.140625" style="3" customWidth="1"/>
    <col min="8193" max="8193" width="4" style="3" customWidth="1"/>
    <col min="8194" max="8194" width="12.85546875" style="3" customWidth="1"/>
    <col min="8195" max="8195" width="14.7109375" style="3" customWidth="1"/>
    <col min="8196" max="8196" width="10" style="3" customWidth="1"/>
    <col min="8197" max="8197" width="6.28515625" style="3" customWidth="1"/>
    <col min="8198" max="8198" width="12.28515625" style="3" customWidth="1"/>
    <col min="8199" max="8199" width="8.5703125" style="3" customWidth="1"/>
    <col min="8200" max="8200" width="13.7109375" style="3" customWidth="1"/>
    <col min="8201" max="8201" width="11.5703125" style="3" customWidth="1"/>
    <col min="8202" max="8202" width="24.7109375" style="3" customWidth="1"/>
    <col min="8203" max="8203" width="17.42578125" style="3" customWidth="1"/>
    <col min="8204" max="8204" width="20.85546875" style="3" customWidth="1"/>
    <col min="8205" max="8205" width="26.85546875" style="3" customWidth="1"/>
    <col min="8206" max="8206" width="8" style="3" customWidth="1"/>
    <col min="8207" max="8207" width="25" style="3" customWidth="1"/>
    <col min="8208" max="8208" width="12.7109375" style="3" customWidth="1"/>
    <col min="8209" max="8209" width="16.42578125" style="3" customWidth="1"/>
    <col min="8210" max="8210" width="23.5703125" style="3" customWidth="1"/>
    <col min="8211" max="8211" width="33.7109375" style="3" customWidth="1"/>
    <col min="8212" max="8212" width="31.140625" style="3" customWidth="1"/>
    <col min="8213" max="8213" width="19.28515625" style="3" customWidth="1"/>
    <col min="8214" max="8214" width="11.7109375" style="3" customWidth="1"/>
    <col min="8215" max="8215" width="15.42578125" style="3" customWidth="1"/>
    <col min="8216" max="8216" width="5.5703125" style="3" customWidth="1"/>
    <col min="8217" max="8217" width="4.7109375" style="3" customWidth="1"/>
    <col min="8218" max="8219" width="7.28515625" style="3" customWidth="1"/>
    <col min="8220" max="8220" width="8.42578125" style="3" customWidth="1"/>
    <col min="8221" max="8221" width="9.5703125" style="3" customWidth="1"/>
    <col min="8222" max="8222" width="6.28515625" style="3" customWidth="1"/>
    <col min="8223" max="8223" width="5.85546875" style="3" customWidth="1"/>
    <col min="8224" max="8225" width="4.42578125" style="3" customWidth="1"/>
    <col min="8226" max="8226" width="5" style="3" customWidth="1"/>
    <col min="8227" max="8227" width="5.85546875" style="3" customWidth="1"/>
    <col min="8228" max="8228" width="6.140625" style="3" customWidth="1"/>
    <col min="8229" max="8229" width="6.28515625" style="3" customWidth="1"/>
    <col min="8230" max="8230" width="4.85546875" style="3" customWidth="1"/>
    <col min="8231" max="8231" width="8.140625" style="3" customWidth="1"/>
    <col min="8232" max="8232" width="11.5703125" style="3" customWidth="1"/>
    <col min="8233" max="8233" width="13.7109375" style="3" customWidth="1"/>
    <col min="8234" max="8234" width="20.85546875" style="3" customWidth="1"/>
    <col min="8235" max="8447" width="11.42578125" style="3"/>
    <col min="8448" max="8448" width="13.140625" style="3" customWidth="1"/>
    <col min="8449" max="8449" width="4" style="3" customWidth="1"/>
    <col min="8450" max="8450" width="12.85546875" style="3" customWidth="1"/>
    <col min="8451" max="8451" width="14.7109375" style="3" customWidth="1"/>
    <col min="8452" max="8452" width="10" style="3" customWidth="1"/>
    <col min="8453" max="8453" width="6.28515625" style="3" customWidth="1"/>
    <col min="8454" max="8454" width="12.28515625" style="3" customWidth="1"/>
    <col min="8455" max="8455" width="8.5703125" style="3" customWidth="1"/>
    <col min="8456" max="8456" width="13.7109375" style="3" customWidth="1"/>
    <col min="8457" max="8457" width="11.5703125" style="3" customWidth="1"/>
    <col min="8458" max="8458" width="24.7109375" style="3" customWidth="1"/>
    <col min="8459" max="8459" width="17.42578125" style="3" customWidth="1"/>
    <col min="8460" max="8460" width="20.85546875" style="3" customWidth="1"/>
    <col min="8461" max="8461" width="26.85546875" style="3" customWidth="1"/>
    <col min="8462" max="8462" width="8" style="3" customWidth="1"/>
    <col min="8463" max="8463" width="25" style="3" customWidth="1"/>
    <col min="8464" max="8464" width="12.7109375" style="3" customWidth="1"/>
    <col min="8465" max="8465" width="16.42578125" style="3" customWidth="1"/>
    <col min="8466" max="8466" width="23.5703125" style="3" customWidth="1"/>
    <col min="8467" max="8467" width="33.7109375" style="3" customWidth="1"/>
    <col min="8468" max="8468" width="31.140625" style="3" customWidth="1"/>
    <col min="8469" max="8469" width="19.28515625" style="3" customWidth="1"/>
    <col min="8470" max="8470" width="11.7109375" style="3" customWidth="1"/>
    <col min="8471" max="8471" width="15.42578125" style="3" customWidth="1"/>
    <col min="8472" max="8472" width="5.5703125" style="3" customWidth="1"/>
    <col min="8473" max="8473" width="4.7109375" style="3" customWidth="1"/>
    <col min="8474" max="8475" width="7.28515625" style="3" customWidth="1"/>
    <col min="8476" max="8476" width="8.42578125" style="3" customWidth="1"/>
    <col min="8477" max="8477" width="9.5703125" style="3" customWidth="1"/>
    <col min="8478" max="8478" width="6.28515625" style="3" customWidth="1"/>
    <col min="8479" max="8479" width="5.85546875" style="3" customWidth="1"/>
    <col min="8480" max="8481" width="4.42578125" style="3" customWidth="1"/>
    <col min="8482" max="8482" width="5" style="3" customWidth="1"/>
    <col min="8483" max="8483" width="5.85546875" style="3" customWidth="1"/>
    <col min="8484" max="8484" width="6.140625" style="3" customWidth="1"/>
    <col min="8485" max="8485" width="6.28515625" style="3" customWidth="1"/>
    <col min="8486" max="8486" width="4.85546875" style="3" customWidth="1"/>
    <col min="8487" max="8487" width="8.140625" style="3" customWidth="1"/>
    <col min="8488" max="8488" width="11.5703125" style="3" customWidth="1"/>
    <col min="8489" max="8489" width="13.7109375" style="3" customWidth="1"/>
    <col min="8490" max="8490" width="20.85546875" style="3" customWidth="1"/>
    <col min="8491" max="8703" width="11.42578125" style="3"/>
    <col min="8704" max="8704" width="13.140625" style="3" customWidth="1"/>
    <col min="8705" max="8705" width="4" style="3" customWidth="1"/>
    <col min="8706" max="8706" width="12.85546875" style="3" customWidth="1"/>
    <col min="8707" max="8707" width="14.7109375" style="3" customWidth="1"/>
    <col min="8708" max="8708" width="10" style="3" customWidth="1"/>
    <col min="8709" max="8709" width="6.28515625" style="3" customWidth="1"/>
    <col min="8710" max="8710" width="12.28515625" style="3" customWidth="1"/>
    <col min="8711" max="8711" width="8.5703125" style="3" customWidth="1"/>
    <col min="8712" max="8712" width="13.7109375" style="3" customWidth="1"/>
    <col min="8713" max="8713" width="11.5703125" style="3" customWidth="1"/>
    <col min="8714" max="8714" width="24.7109375" style="3" customWidth="1"/>
    <col min="8715" max="8715" width="17.42578125" style="3" customWidth="1"/>
    <col min="8716" max="8716" width="20.85546875" style="3" customWidth="1"/>
    <col min="8717" max="8717" width="26.85546875" style="3" customWidth="1"/>
    <col min="8718" max="8718" width="8" style="3" customWidth="1"/>
    <col min="8719" max="8719" width="25" style="3" customWidth="1"/>
    <col min="8720" max="8720" width="12.7109375" style="3" customWidth="1"/>
    <col min="8721" max="8721" width="16.42578125" style="3" customWidth="1"/>
    <col min="8722" max="8722" width="23.5703125" style="3" customWidth="1"/>
    <col min="8723" max="8723" width="33.7109375" style="3" customWidth="1"/>
    <col min="8724" max="8724" width="31.140625" style="3" customWidth="1"/>
    <col min="8725" max="8725" width="19.28515625" style="3" customWidth="1"/>
    <col min="8726" max="8726" width="11.7109375" style="3" customWidth="1"/>
    <col min="8727" max="8727" width="15.42578125" style="3" customWidth="1"/>
    <col min="8728" max="8728" width="5.5703125" style="3" customWidth="1"/>
    <col min="8729" max="8729" width="4.7109375" style="3" customWidth="1"/>
    <col min="8730" max="8731" width="7.28515625" style="3" customWidth="1"/>
    <col min="8732" max="8732" width="8.42578125" style="3" customWidth="1"/>
    <col min="8733" max="8733" width="9.5703125" style="3" customWidth="1"/>
    <col min="8734" max="8734" width="6.28515625" style="3" customWidth="1"/>
    <col min="8735" max="8735" width="5.85546875" style="3" customWidth="1"/>
    <col min="8736" max="8737" width="4.42578125" style="3" customWidth="1"/>
    <col min="8738" max="8738" width="5" style="3" customWidth="1"/>
    <col min="8739" max="8739" width="5.85546875" style="3" customWidth="1"/>
    <col min="8740" max="8740" width="6.140625" style="3" customWidth="1"/>
    <col min="8741" max="8741" width="6.28515625" style="3" customWidth="1"/>
    <col min="8742" max="8742" width="4.85546875" style="3" customWidth="1"/>
    <col min="8743" max="8743" width="8.140625" style="3" customWidth="1"/>
    <col min="8744" max="8744" width="11.5703125" style="3" customWidth="1"/>
    <col min="8745" max="8745" width="13.7109375" style="3" customWidth="1"/>
    <col min="8746" max="8746" width="20.85546875" style="3" customWidth="1"/>
    <col min="8747" max="8959" width="11.42578125" style="3"/>
    <col min="8960" max="8960" width="13.140625" style="3" customWidth="1"/>
    <col min="8961" max="8961" width="4" style="3" customWidth="1"/>
    <col min="8962" max="8962" width="12.85546875" style="3" customWidth="1"/>
    <col min="8963" max="8963" width="14.7109375" style="3" customWidth="1"/>
    <col min="8964" max="8964" width="10" style="3" customWidth="1"/>
    <col min="8965" max="8965" width="6.28515625" style="3" customWidth="1"/>
    <col min="8966" max="8966" width="12.28515625" style="3" customWidth="1"/>
    <col min="8967" max="8967" width="8.5703125" style="3" customWidth="1"/>
    <col min="8968" max="8968" width="13.7109375" style="3" customWidth="1"/>
    <col min="8969" max="8969" width="11.5703125" style="3" customWidth="1"/>
    <col min="8970" max="8970" width="24.7109375" style="3" customWidth="1"/>
    <col min="8971" max="8971" width="17.42578125" style="3" customWidth="1"/>
    <col min="8972" max="8972" width="20.85546875" style="3" customWidth="1"/>
    <col min="8973" max="8973" width="26.85546875" style="3" customWidth="1"/>
    <col min="8974" max="8974" width="8" style="3" customWidth="1"/>
    <col min="8975" max="8975" width="25" style="3" customWidth="1"/>
    <col min="8976" max="8976" width="12.7109375" style="3" customWidth="1"/>
    <col min="8977" max="8977" width="16.42578125" style="3" customWidth="1"/>
    <col min="8978" max="8978" width="23.5703125" style="3" customWidth="1"/>
    <col min="8979" max="8979" width="33.7109375" style="3" customWidth="1"/>
    <col min="8980" max="8980" width="31.140625" style="3" customWidth="1"/>
    <col min="8981" max="8981" width="19.28515625" style="3" customWidth="1"/>
    <col min="8982" max="8982" width="11.7109375" style="3" customWidth="1"/>
    <col min="8983" max="8983" width="15.42578125" style="3" customWidth="1"/>
    <col min="8984" max="8984" width="5.5703125" style="3" customWidth="1"/>
    <col min="8985" max="8985" width="4.7109375" style="3" customWidth="1"/>
    <col min="8986" max="8987" width="7.28515625" style="3" customWidth="1"/>
    <col min="8988" max="8988" width="8.42578125" style="3" customWidth="1"/>
    <col min="8989" max="8989" width="9.5703125" style="3" customWidth="1"/>
    <col min="8990" max="8990" width="6.28515625" style="3" customWidth="1"/>
    <col min="8991" max="8991" width="5.85546875" style="3" customWidth="1"/>
    <col min="8992" max="8993" width="4.42578125" style="3" customWidth="1"/>
    <col min="8994" max="8994" width="5" style="3" customWidth="1"/>
    <col min="8995" max="8995" width="5.85546875" style="3" customWidth="1"/>
    <col min="8996" max="8996" width="6.140625" style="3" customWidth="1"/>
    <col min="8997" max="8997" width="6.28515625" style="3" customWidth="1"/>
    <col min="8998" max="8998" width="4.85546875" style="3" customWidth="1"/>
    <col min="8999" max="8999" width="8.140625" style="3" customWidth="1"/>
    <col min="9000" max="9000" width="11.5703125" style="3" customWidth="1"/>
    <col min="9001" max="9001" width="13.7109375" style="3" customWidth="1"/>
    <col min="9002" max="9002" width="20.85546875" style="3" customWidth="1"/>
    <col min="9003" max="9215" width="11.42578125" style="3"/>
    <col min="9216" max="9216" width="13.140625" style="3" customWidth="1"/>
    <col min="9217" max="9217" width="4" style="3" customWidth="1"/>
    <col min="9218" max="9218" width="12.85546875" style="3" customWidth="1"/>
    <col min="9219" max="9219" width="14.7109375" style="3" customWidth="1"/>
    <col min="9220" max="9220" width="10" style="3" customWidth="1"/>
    <col min="9221" max="9221" width="6.28515625" style="3" customWidth="1"/>
    <col min="9222" max="9222" width="12.28515625" style="3" customWidth="1"/>
    <col min="9223" max="9223" width="8.5703125" style="3" customWidth="1"/>
    <col min="9224" max="9224" width="13.7109375" style="3" customWidth="1"/>
    <col min="9225" max="9225" width="11.5703125" style="3" customWidth="1"/>
    <col min="9226" max="9226" width="24.7109375" style="3" customWidth="1"/>
    <col min="9227" max="9227" width="17.42578125" style="3" customWidth="1"/>
    <col min="9228" max="9228" width="20.85546875" style="3" customWidth="1"/>
    <col min="9229" max="9229" width="26.85546875" style="3" customWidth="1"/>
    <col min="9230" max="9230" width="8" style="3" customWidth="1"/>
    <col min="9231" max="9231" width="25" style="3" customWidth="1"/>
    <col min="9232" max="9232" width="12.7109375" style="3" customWidth="1"/>
    <col min="9233" max="9233" width="16.42578125" style="3" customWidth="1"/>
    <col min="9234" max="9234" width="23.5703125" style="3" customWidth="1"/>
    <col min="9235" max="9235" width="33.7109375" style="3" customWidth="1"/>
    <col min="9236" max="9236" width="31.140625" style="3" customWidth="1"/>
    <col min="9237" max="9237" width="19.28515625" style="3" customWidth="1"/>
    <col min="9238" max="9238" width="11.7109375" style="3" customWidth="1"/>
    <col min="9239" max="9239" width="15.42578125" style="3" customWidth="1"/>
    <col min="9240" max="9240" width="5.5703125" style="3" customWidth="1"/>
    <col min="9241" max="9241" width="4.7109375" style="3" customWidth="1"/>
    <col min="9242" max="9243" width="7.28515625" style="3" customWidth="1"/>
    <col min="9244" max="9244" width="8.42578125" style="3" customWidth="1"/>
    <col min="9245" max="9245" width="9.5703125" style="3" customWidth="1"/>
    <col min="9246" max="9246" width="6.28515625" style="3" customWidth="1"/>
    <col min="9247" max="9247" width="5.85546875" style="3" customWidth="1"/>
    <col min="9248" max="9249" width="4.42578125" style="3" customWidth="1"/>
    <col min="9250" max="9250" width="5" style="3" customWidth="1"/>
    <col min="9251" max="9251" width="5.85546875" style="3" customWidth="1"/>
    <col min="9252" max="9252" width="6.140625" style="3" customWidth="1"/>
    <col min="9253" max="9253" width="6.28515625" style="3" customWidth="1"/>
    <col min="9254" max="9254" width="4.85546875" style="3" customWidth="1"/>
    <col min="9255" max="9255" width="8.140625" style="3" customWidth="1"/>
    <col min="9256" max="9256" width="11.5703125" style="3" customWidth="1"/>
    <col min="9257" max="9257" width="13.7109375" style="3" customWidth="1"/>
    <col min="9258" max="9258" width="20.85546875" style="3" customWidth="1"/>
    <col min="9259" max="9471" width="11.42578125" style="3"/>
    <col min="9472" max="9472" width="13.140625" style="3" customWidth="1"/>
    <col min="9473" max="9473" width="4" style="3" customWidth="1"/>
    <col min="9474" max="9474" width="12.85546875" style="3" customWidth="1"/>
    <col min="9475" max="9475" width="14.7109375" style="3" customWidth="1"/>
    <col min="9476" max="9476" width="10" style="3" customWidth="1"/>
    <col min="9477" max="9477" width="6.28515625" style="3" customWidth="1"/>
    <col min="9478" max="9478" width="12.28515625" style="3" customWidth="1"/>
    <col min="9479" max="9479" width="8.5703125" style="3" customWidth="1"/>
    <col min="9480" max="9480" width="13.7109375" style="3" customWidth="1"/>
    <col min="9481" max="9481" width="11.5703125" style="3" customWidth="1"/>
    <col min="9482" max="9482" width="24.7109375" style="3" customWidth="1"/>
    <col min="9483" max="9483" width="17.42578125" style="3" customWidth="1"/>
    <col min="9484" max="9484" width="20.85546875" style="3" customWidth="1"/>
    <col min="9485" max="9485" width="26.85546875" style="3" customWidth="1"/>
    <col min="9486" max="9486" width="8" style="3" customWidth="1"/>
    <col min="9487" max="9487" width="25" style="3" customWidth="1"/>
    <col min="9488" max="9488" width="12.7109375" style="3" customWidth="1"/>
    <col min="9489" max="9489" width="16.42578125" style="3" customWidth="1"/>
    <col min="9490" max="9490" width="23.5703125" style="3" customWidth="1"/>
    <col min="9491" max="9491" width="33.7109375" style="3" customWidth="1"/>
    <col min="9492" max="9492" width="31.140625" style="3" customWidth="1"/>
    <col min="9493" max="9493" width="19.28515625" style="3" customWidth="1"/>
    <col min="9494" max="9494" width="11.7109375" style="3" customWidth="1"/>
    <col min="9495" max="9495" width="15.42578125" style="3" customWidth="1"/>
    <col min="9496" max="9496" width="5.5703125" style="3" customWidth="1"/>
    <col min="9497" max="9497" width="4.7109375" style="3" customWidth="1"/>
    <col min="9498" max="9499" width="7.28515625" style="3" customWidth="1"/>
    <col min="9500" max="9500" width="8.42578125" style="3" customWidth="1"/>
    <col min="9501" max="9501" width="9.5703125" style="3" customWidth="1"/>
    <col min="9502" max="9502" width="6.28515625" style="3" customWidth="1"/>
    <col min="9503" max="9503" width="5.85546875" style="3" customWidth="1"/>
    <col min="9504" max="9505" width="4.42578125" style="3" customWidth="1"/>
    <col min="9506" max="9506" width="5" style="3" customWidth="1"/>
    <col min="9507" max="9507" width="5.85546875" style="3" customWidth="1"/>
    <col min="9508" max="9508" width="6.140625" style="3" customWidth="1"/>
    <col min="9509" max="9509" width="6.28515625" style="3" customWidth="1"/>
    <col min="9510" max="9510" width="4.85546875" style="3" customWidth="1"/>
    <col min="9511" max="9511" width="8.140625" style="3" customWidth="1"/>
    <col min="9512" max="9512" width="11.5703125" style="3" customWidth="1"/>
    <col min="9513" max="9513" width="13.7109375" style="3" customWidth="1"/>
    <col min="9514" max="9514" width="20.85546875" style="3" customWidth="1"/>
    <col min="9515" max="9727" width="11.42578125" style="3"/>
    <col min="9728" max="9728" width="13.140625" style="3" customWidth="1"/>
    <col min="9729" max="9729" width="4" style="3" customWidth="1"/>
    <col min="9730" max="9730" width="12.85546875" style="3" customWidth="1"/>
    <col min="9731" max="9731" width="14.7109375" style="3" customWidth="1"/>
    <col min="9732" max="9732" width="10" style="3" customWidth="1"/>
    <col min="9733" max="9733" width="6.28515625" style="3" customWidth="1"/>
    <col min="9734" max="9734" width="12.28515625" style="3" customWidth="1"/>
    <col min="9735" max="9735" width="8.5703125" style="3" customWidth="1"/>
    <col min="9736" max="9736" width="13.7109375" style="3" customWidth="1"/>
    <col min="9737" max="9737" width="11.5703125" style="3" customWidth="1"/>
    <col min="9738" max="9738" width="24.7109375" style="3" customWidth="1"/>
    <col min="9739" max="9739" width="17.42578125" style="3" customWidth="1"/>
    <col min="9740" max="9740" width="20.85546875" style="3" customWidth="1"/>
    <col min="9741" max="9741" width="26.85546875" style="3" customWidth="1"/>
    <col min="9742" max="9742" width="8" style="3" customWidth="1"/>
    <col min="9743" max="9743" width="25" style="3" customWidth="1"/>
    <col min="9744" max="9744" width="12.7109375" style="3" customWidth="1"/>
    <col min="9745" max="9745" width="16.42578125" style="3" customWidth="1"/>
    <col min="9746" max="9746" width="23.5703125" style="3" customWidth="1"/>
    <col min="9747" max="9747" width="33.7109375" style="3" customWidth="1"/>
    <col min="9748" max="9748" width="31.140625" style="3" customWidth="1"/>
    <col min="9749" max="9749" width="19.28515625" style="3" customWidth="1"/>
    <col min="9750" max="9750" width="11.7109375" style="3" customWidth="1"/>
    <col min="9751" max="9751" width="15.42578125" style="3" customWidth="1"/>
    <col min="9752" max="9752" width="5.5703125" style="3" customWidth="1"/>
    <col min="9753" max="9753" width="4.7109375" style="3" customWidth="1"/>
    <col min="9754" max="9755" width="7.28515625" style="3" customWidth="1"/>
    <col min="9756" max="9756" width="8.42578125" style="3" customWidth="1"/>
    <col min="9757" max="9757" width="9.5703125" style="3" customWidth="1"/>
    <col min="9758" max="9758" width="6.28515625" style="3" customWidth="1"/>
    <col min="9759" max="9759" width="5.85546875" style="3" customWidth="1"/>
    <col min="9760" max="9761" width="4.42578125" style="3" customWidth="1"/>
    <col min="9762" max="9762" width="5" style="3" customWidth="1"/>
    <col min="9763" max="9763" width="5.85546875" style="3" customWidth="1"/>
    <col min="9764" max="9764" width="6.140625" style="3" customWidth="1"/>
    <col min="9765" max="9765" width="6.28515625" style="3" customWidth="1"/>
    <col min="9766" max="9766" width="4.85546875" style="3" customWidth="1"/>
    <col min="9767" max="9767" width="8.140625" style="3" customWidth="1"/>
    <col min="9768" max="9768" width="11.5703125" style="3" customWidth="1"/>
    <col min="9769" max="9769" width="13.7109375" style="3" customWidth="1"/>
    <col min="9770" max="9770" width="20.85546875" style="3" customWidth="1"/>
    <col min="9771" max="9983" width="11.42578125" style="3"/>
    <col min="9984" max="9984" width="13.140625" style="3" customWidth="1"/>
    <col min="9985" max="9985" width="4" style="3" customWidth="1"/>
    <col min="9986" max="9986" width="12.85546875" style="3" customWidth="1"/>
    <col min="9987" max="9987" width="14.7109375" style="3" customWidth="1"/>
    <col min="9988" max="9988" width="10" style="3" customWidth="1"/>
    <col min="9989" max="9989" width="6.28515625" style="3" customWidth="1"/>
    <col min="9990" max="9990" width="12.28515625" style="3" customWidth="1"/>
    <col min="9991" max="9991" width="8.5703125" style="3" customWidth="1"/>
    <col min="9992" max="9992" width="13.7109375" style="3" customWidth="1"/>
    <col min="9993" max="9993" width="11.5703125" style="3" customWidth="1"/>
    <col min="9994" max="9994" width="24.7109375" style="3" customWidth="1"/>
    <col min="9995" max="9995" width="17.42578125" style="3" customWidth="1"/>
    <col min="9996" max="9996" width="20.85546875" style="3" customWidth="1"/>
    <col min="9997" max="9997" width="26.85546875" style="3" customWidth="1"/>
    <col min="9998" max="9998" width="8" style="3" customWidth="1"/>
    <col min="9999" max="9999" width="25" style="3" customWidth="1"/>
    <col min="10000" max="10000" width="12.7109375" style="3" customWidth="1"/>
    <col min="10001" max="10001" width="16.42578125" style="3" customWidth="1"/>
    <col min="10002" max="10002" width="23.5703125" style="3" customWidth="1"/>
    <col min="10003" max="10003" width="33.7109375" style="3" customWidth="1"/>
    <col min="10004" max="10004" width="31.140625" style="3" customWidth="1"/>
    <col min="10005" max="10005" width="19.28515625" style="3" customWidth="1"/>
    <col min="10006" max="10006" width="11.7109375" style="3" customWidth="1"/>
    <col min="10007" max="10007" width="15.42578125" style="3" customWidth="1"/>
    <col min="10008" max="10008" width="5.5703125" style="3" customWidth="1"/>
    <col min="10009" max="10009" width="4.7109375" style="3" customWidth="1"/>
    <col min="10010" max="10011" width="7.28515625" style="3" customWidth="1"/>
    <col min="10012" max="10012" width="8.42578125" style="3" customWidth="1"/>
    <col min="10013" max="10013" width="9.5703125" style="3" customWidth="1"/>
    <col min="10014" max="10014" width="6.28515625" style="3" customWidth="1"/>
    <col min="10015" max="10015" width="5.85546875" style="3" customWidth="1"/>
    <col min="10016" max="10017" width="4.42578125" style="3" customWidth="1"/>
    <col min="10018" max="10018" width="5" style="3" customWidth="1"/>
    <col min="10019" max="10019" width="5.85546875" style="3" customWidth="1"/>
    <col min="10020" max="10020" width="6.140625" style="3" customWidth="1"/>
    <col min="10021" max="10021" width="6.28515625" style="3" customWidth="1"/>
    <col min="10022" max="10022" width="4.85546875" style="3" customWidth="1"/>
    <col min="10023" max="10023" width="8.140625" style="3" customWidth="1"/>
    <col min="10024" max="10024" width="11.5703125" style="3" customWidth="1"/>
    <col min="10025" max="10025" width="13.7109375" style="3" customWidth="1"/>
    <col min="10026" max="10026" width="20.85546875" style="3" customWidth="1"/>
    <col min="10027" max="10239" width="11.42578125" style="3"/>
    <col min="10240" max="10240" width="13.140625" style="3" customWidth="1"/>
    <col min="10241" max="10241" width="4" style="3" customWidth="1"/>
    <col min="10242" max="10242" width="12.85546875" style="3" customWidth="1"/>
    <col min="10243" max="10243" width="14.7109375" style="3" customWidth="1"/>
    <col min="10244" max="10244" width="10" style="3" customWidth="1"/>
    <col min="10245" max="10245" width="6.28515625" style="3" customWidth="1"/>
    <col min="10246" max="10246" width="12.28515625" style="3" customWidth="1"/>
    <col min="10247" max="10247" width="8.5703125" style="3" customWidth="1"/>
    <col min="10248" max="10248" width="13.7109375" style="3" customWidth="1"/>
    <col min="10249" max="10249" width="11.5703125" style="3" customWidth="1"/>
    <col min="10250" max="10250" width="24.7109375" style="3" customWidth="1"/>
    <col min="10251" max="10251" width="17.42578125" style="3" customWidth="1"/>
    <col min="10252" max="10252" width="20.85546875" style="3" customWidth="1"/>
    <col min="10253" max="10253" width="26.85546875" style="3" customWidth="1"/>
    <col min="10254" max="10254" width="8" style="3" customWidth="1"/>
    <col min="10255" max="10255" width="25" style="3" customWidth="1"/>
    <col min="10256" max="10256" width="12.7109375" style="3" customWidth="1"/>
    <col min="10257" max="10257" width="16.42578125" style="3" customWidth="1"/>
    <col min="10258" max="10258" width="23.5703125" style="3" customWidth="1"/>
    <col min="10259" max="10259" width="33.7109375" style="3" customWidth="1"/>
    <col min="10260" max="10260" width="31.140625" style="3" customWidth="1"/>
    <col min="10261" max="10261" width="19.28515625" style="3" customWidth="1"/>
    <col min="10262" max="10262" width="11.7109375" style="3" customWidth="1"/>
    <col min="10263" max="10263" width="15.42578125" style="3" customWidth="1"/>
    <col min="10264" max="10264" width="5.5703125" style="3" customWidth="1"/>
    <col min="10265" max="10265" width="4.7109375" style="3" customWidth="1"/>
    <col min="10266" max="10267" width="7.28515625" style="3" customWidth="1"/>
    <col min="10268" max="10268" width="8.42578125" style="3" customWidth="1"/>
    <col min="10269" max="10269" width="9.5703125" style="3" customWidth="1"/>
    <col min="10270" max="10270" width="6.28515625" style="3" customWidth="1"/>
    <col min="10271" max="10271" width="5.85546875" style="3" customWidth="1"/>
    <col min="10272" max="10273" width="4.42578125" style="3" customWidth="1"/>
    <col min="10274" max="10274" width="5" style="3" customWidth="1"/>
    <col min="10275" max="10275" width="5.85546875" style="3" customWidth="1"/>
    <col min="10276" max="10276" width="6.140625" style="3" customWidth="1"/>
    <col min="10277" max="10277" width="6.28515625" style="3" customWidth="1"/>
    <col min="10278" max="10278" width="4.85546875" style="3" customWidth="1"/>
    <col min="10279" max="10279" width="8.140625" style="3" customWidth="1"/>
    <col min="10280" max="10280" width="11.5703125" style="3" customWidth="1"/>
    <col min="10281" max="10281" width="13.7109375" style="3" customWidth="1"/>
    <col min="10282" max="10282" width="20.85546875" style="3" customWidth="1"/>
    <col min="10283" max="10495" width="11.42578125" style="3"/>
    <col min="10496" max="10496" width="13.140625" style="3" customWidth="1"/>
    <col min="10497" max="10497" width="4" style="3" customWidth="1"/>
    <col min="10498" max="10498" width="12.85546875" style="3" customWidth="1"/>
    <col min="10499" max="10499" width="14.7109375" style="3" customWidth="1"/>
    <col min="10500" max="10500" width="10" style="3" customWidth="1"/>
    <col min="10501" max="10501" width="6.28515625" style="3" customWidth="1"/>
    <col min="10502" max="10502" width="12.28515625" style="3" customWidth="1"/>
    <col min="10503" max="10503" width="8.5703125" style="3" customWidth="1"/>
    <col min="10504" max="10504" width="13.7109375" style="3" customWidth="1"/>
    <col min="10505" max="10505" width="11.5703125" style="3" customWidth="1"/>
    <col min="10506" max="10506" width="24.7109375" style="3" customWidth="1"/>
    <col min="10507" max="10507" width="17.42578125" style="3" customWidth="1"/>
    <col min="10508" max="10508" width="20.85546875" style="3" customWidth="1"/>
    <col min="10509" max="10509" width="26.85546875" style="3" customWidth="1"/>
    <col min="10510" max="10510" width="8" style="3" customWidth="1"/>
    <col min="10511" max="10511" width="25" style="3" customWidth="1"/>
    <col min="10512" max="10512" width="12.7109375" style="3" customWidth="1"/>
    <col min="10513" max="10513" width="16.42578125" style="3" customWidth="1"/>
    <col min="10514" max="10514" width="23.5703125" style="3" customWidth="1"/>
    <col min="10515" max="10515" width="33.7109375" style="3" customWidth="1"/>
    <col min="10516" max="10516" width="31.140625" style="3" customWidth="1"/>
    <col min="10517" max="10517" width="19.28515625" style="3" customWidth="1"/>
    <col min="10518" max="10518" width="11.7109375" style="3" customWidth="1"/>
    <col min="10519" max="10519" width="15.42578125" style="3" customWidth="1"/>
    <col min="10520" max="10520" width="5.5703125" style="3" customWidth="1"/>
    <col min="10521" max="10521" width="4.7109375" style="3" customWidth="1"/>
    <col min="10522" max="10523" width="7.28515625" style="3" customWidth="1"/>
    <col min="10524" max="10524" width="8.42578125" style="3" customWidth="1"/>
    <col min="10525" max="10525" width="9.5703125" style="3" customWidth="1"/>
    <col min="10526" max="10526" width="6.28515625" style="3" customWidth="1"/>
    <col min="10527" max="10527" width="5.85546875" style="3" customWidth="1"/>
    <col min="10528" max="10529" width="4.42578125" style="3" customWidth="1"/>
    <col min="10530" max="10530" width="5" style="3" customWidth="1"/>
    <col min="10531" max="10531" width="5.85546875" style="3" customWidth="1"/>
    <col min="10532" max="10532" width="6.140625" style="3" customWidth="1"/>
    <col min="10533" max="10533" width="6.28515625" style="3" customWidth="1"/>
    <col min="10534" max="10534" width="4.85546875" style="3" customWidth="1"/>
    <col min="10535" max="10535" width="8.140625" style="3" customWidth="1"/>
    <col min="10536" max="10536" width="11.5703125" style="3" customWidth="1"/>
    <col min="10537" max="10537" width="13.7109375" style="3" customWidth="1"/>
    <col min="10538" max="10538" width="20.85546875" style="3" customWidth="1"/>
    <col min="10539" max="10751" width="11.42578125" style="3"/>
    <col min="10752" max="10752" width="13.140625" style="3" customWidth="1"/>
    <col min="10753" max="10753" width="4" style="3" customWidth="1"/>
    <col min="10754" max="10754" width="12.85546875" style="3" customWidth="1"/>
    <col min="10755" max="10755" width="14.7109375" style="3" customWidth="1"/>
    <col min="10756" max="10756" width="10" style="3" customWidth="1"/>
    <col min="10757" max="10757" width="6.28515625" style="3" customWidth="1"/>
    <col min="10758" max="10758" width="12.28515625" style="3" customWidth="1"/>
    <col min="10759" max="10759" width="8.5703125" style="3" customWidth="1"/>
    <col min="10760" max="10760" width="13.7109375" style="3" customWidth="1"/>
    <col min="10761" max="10761" width="11.5703125" style="3" customWidth="1"/>
    <col min="10762" max="10762" width="24.7109375" style="3" customWidth="1"/>
    <col min="10763" max="10763" width="17.42578125" style="3" customWidth="1"/>
    <col min="10764" max="10764" width="20.85546875" style="3" customWidth="1"/>
    <col min="10765" max="10765" width="26.85546875" style="3" customWidth="1"/>
    <col min="10766" max="10766" width="8" style="3" customWidth="1"/>
    <col min="10767" max="10767" width="25" style="3" customWidth="1"/>
    <col min="10768" max="10768" width="12.7109375" style="3" customWidth="1"/>
    <col min="10769" max="10769" width="16.42578125" style="3" customWidth="1"/>
    <col min="10770" max="10770" width="23.5703125" style="3" customWidth="1"/>
    <col min="10771" max="10771" width="33.7109375" style="3" customWidth="1"/>
    <col min="10772" max="10772" width="31.140625" style="3" customWidth="1"/>
    <col min="10773" max="10773" width="19.28515625" style="3" customWidth="1"/>
    <col min="10774" max="10774" width="11.7109375" style="3" customWidth="1"/>
    <col min="10775" max="10775" width="15.42578125" style="3" customWidth="1"/>
    <col min="10776" max="10776" width="5.5703125" style="3" customWidth="1"/>
    <col min="10777" max="10777" width="4.7109375" style="3" customWidth="1"/>
    <col min="10778" max="10779" width="7.28515625" style="3" customWidth="1"/>
    <col min="10780" max="10780" width="8.42578125" style="3" customWidth="1"/>
    <col min="10781" max="10781" width="9.5703125" style="3" customWidth="1"/>
    <col min="10782" max="10782" width="6.28515625" style="3" customWidth="1"/>
    <col min="10783" max="10783" width="5.85546875" style="3" customWidth="1"/>
    <col min="10784" max="10785" width="4.42578125" style="3" customWidth="1"/>
    <col min="10786" max="10786" width="5" style="3" customWidth="1"/>
    <col min="10787" max="10787" width="5.85546875" style="3" customWidth="1"/>
    <col min="10788" max="10788" width="6.140625" style="3" customWidth="1"/>
    <col min="10789" max="10789" width="6.28515625" style="3" customWidth="1"/>
    <col min="10790" max="10790" width="4.85546875" style="3" customWidth="1"/>
    <col min="10791" max="10791" width="8.140625" style="3" customWidth="1"/>
    <col min="10792" max="10792" width="11.5703125" style="3" customWidth="1"/>
    <col min="10793" max="10793" width="13.7109375" style="3" customWidth="1"/>
    <col min="10794" max="10794" width="20.85546875" style="3" customWidth="1"/>
    <col min="10795" max="11007" width="11.42578125" style="3"/>
    <col min="11008" max="11008" width="13.140625" style="3" customWidth="1"/>
    <col min="11009" max="11009" width="4" style="3" customWidth="1"/>
    <col min="11010" max="11010" width="12.85546875" style="3" customWidth="1"/>
    <col min="11011" max="11011" width="14.7109375" style="3" customWidth="1"/>
    <col min="11012" max="11012" width="10" style="3" customWidth="1"/>
    <col min="11013" max="11013" width="6.28515625" style="3" customWidth="1"/>
    <col min="11014" max="11014" width="12.28515625" style="3" customWidth="1"/>
    <col min="11015" max="11015" width="8.5703125" style="3" customWidth="1"/>
    <col min="11016" max="11016" width="13.7109375" style="3" customWidth="1"/>
    <col min="11017" max="11017" width="11.5703125" style="3" customWidth="1"/>
    <col min="11018" max="11018" width="24.7109375" style="3" customWidth="1"/>
    <col min="11019" max="11019" width="17.42578125" style="3" customWidth="1"/>
    <col min="11020" max="11020" width="20.85546875" style="3" customWidth="1"/>
    <col min="11021" max="11021" width="26.85546875" style="3" customWidth="1"/>
    <col min="11022" max="11022" width="8" style="3" customWidth="1"/>
    <col min="11023" max="11023" width="25" style="3" customWidth="1"/>
    <col min="11024" max="11024" width="12.7109375" style="3" customWidth="1"/>
    <col min="11025" max="11025" width="16.42578125" style="3" customWidth="1"/>
    <col min="11026" max="11026" width="23.5703125" style="3" customWidth="1"/>
    <col min="11027" max="11027" width="33.7109375" style="3" customWidth="1"/>
    <col min="11028" max="11028" width="31.140625" style="3" customWidth="1"/>
    <col min="11029" max="11029" width="19.28515625" style="3" customWidth="1"/>
    <col min="11030" max="11030" width="11.7109375" style="3" customWidth="1"/>
    <col min="11031" max="11031" width="15.42578125" style="3" customWidth="1"/>
    <col min="11032" max="11032" width="5.5703125" style="3" customWidth="1"/>
    <col min="11033" max="11033" width="4.7109375" style="3" customWidth="1"/>
    <col min="11034" max="11035" width="7.28515625" style="3" customWidth="1"/>
    <col min="11036" max="11036" width="8.42578125" style="3" customWidth="1"/>
    <col min="11037" max="11037" width="9.5703125" style="3" customWidth="1"/>
    <col min="11038" max="11038" width="6.28515625" style="3" customWidth="1"/>
    <col min="11039" max="11039" width="5.85546875" style="3" customWidth="1"/>
    <col min="11040" max="11041" width="4.42578125" style="3" customWidth="1"/>
    <col min="11042" max="11042" width="5" style="3" customWidth="1"/>
    <col min="11043" max="11043" width="5.85546875" style="3" customWidth="1"/>
    <col min="11044" max="11044" width="6.140625" style="3" customWidth="1"/>
    <col min="11045" max="11045" width="6.28515625" style="3" customWidth="1"/>
    <col min="11046" max="11046" width="4.85546875" style="3" customWidth="1"/>
    <col min="11047" max="11047" width="8.140625" style="3" customWidth="1"/>
    <col min="11048" max="11048" width="11.5703125" style="3" customWidth="1"/>
    <col min="11049" max="11049" width="13.7109375" style="3" customWidth="1"/>
    <col min="11050" max="11050" width="20.85546875" style="3" customWidth="1"/>
    <col min="11051" max="11263" width="11.42578125" style="3"/>
    <col min="11264" max="11264" width="13.140625" style="3" customWidth="1"/>
    <col min="11265" max="11265" width="4" style="3" customWidth="1"/>
    <col min="11266" max="11266" width="12.85546875" style="3" customWidth="1"/>
    <col min="11267" max="11267" width="14.7109375" style="3" customWidth="1"/>
    <col min="11268" max="11268" width="10" style="3" customWidth="1"/>
    <col min="11269" max="11269" width="6.28515625" style="3" customWidth="1"/>
    <col min="11270" max="11270" width="12.28515625" style="3" customWidth="1"/>
    <col min="11271" max="11271" width="8.5703125" style="3" customWidth="1"/>
    <col min="11272" max="11272" width="13.7109375" style="3" customWidth="1"/>
    <col min="11273" max="11273" width="11.5703125" style="3" customWidth="1"/>
    <col min="11274" max="11274" width="24.7109375" style="3" customWidth="1"/>
    <col min="11275" max="11275" width="17.42578125" style="3" customWidth="1"/>
    <col min="11276" max="11276" width="20.85546875" style="3" customWidth="1"/>
    <col min="11277" max="11277" width="26.85546875" style="3" customWidth="1"/>
    <col min="11278" max="11278" width="8" style="3" customWidth="1"/>
    <col min="11279" max="11279" width="25" style="3" customWidth="1"/>
    <col min="11280" max="11280" width="12.7109375" style="3" customWidth="1"/>
    <col min="11281" max="11281" width="16.42578125" style="3" customWidth="1"/>
    <col min="11282" max="11282" width="23.5703125" style="3" customWidth="1"/>
    <col min="11283" max="11283" width="33.7109375" style="3" customWidth="1"/>
    <col min="11284" max="11284" width="31.140625" style="3" customWidth="1"/>
    <col min="11285" max="11285" width="19.28515625" style="3" customWidth="1"/>
    <col min="11286" max="11286" width="11.7109375" style="3" customWidth="1"/>
    <col min="11287" max="11287" width="15.42578125" style="3" customWidth="1"/>
    <col min="11288" max="11288" width="5.5703125" style="3" customWidth="1"/>
    <col min="11289" max="11289" width="4.7109375" style="3" customWidth="1"/>
    <col min="11290" max="11291" width="7.28515625" style="3" customWidth="1"/>
    <col min="11292" max="11292" width="8.42578125" style="3" customWidth="1"/>
    <col min="11293" max="11293" width="9.5703125" style="3" customWidth="1"/>
    <col min="11294" max="11294" width="6.28515625" style="3" customWidth="1"/>
    <col min="11295" max="11295" width="5.85546875" style="3" customWidth="1"/>
    <col min="11296" max="11297" width="4.42578125" style="3" customWidth="1"/>
    <col min="11298" max="11298" width="5" style="3" customWidth="1"/>
    <col min="11299" max="11299" width="5.85546875" style="3" customWidth="1"/>
    <col min="11300" max="11300" width="6.140625" style="3" customWidth="1"/>
    <col min="11301" max="11301" width="6.28515625" style="3" customWidth="1"/>
    <col min="11302" max="11302" width="4.85546875" style="3" customWidth="1"/>
    <col min="11303" max="11303" width="8.140625" style="3" customWidth="1"/>
    <col min="11304" max="11304" width="11.5703125" style="3" customWidth="1"/>
    <col min="11305" max="11305" width="13.7109375" style="3" customWidth="1"/>
    <col min="11306" max="11306" width="20.85546875" style="3" customWidth="1"/>
    <col min="11307" max="11519" width="11.42578125" style="3"/>
    <col min="11520" max="11520" width="13.140625" style="3" customWidth="1"/>
    <col min="11521" max="11521" width="4" style="3" customWidth="1"/>
    <col min="11522" max="11522" width="12.85546875" style="3" customWidth="1"/>
    <col min="11523" max="11523" width="14.7109375" style="3" customWidth="1"/>
    <col min="11524" max="11524" width="10" style="3" customWidth="1"/>
    <col min="11525" max="11525" width="6.28515625" style="3" customWidth="1"/>
    <col min="11526" max="11526" width="12.28515625" style="3" customWidth="1"/>
    <col min="11527" max="11527" width="8.5703125" style="3" customWidth="1"/>
    <col min="11528" max="11528" width="13.7109375" style="3" customWidth="1"/>
    <col min="11529" max="11529" width="11.5703125" style="3" customWidth="1"/>
    <col min="11530" max="11530" width="24.7109375" style="3" customWidth="1"/>
    <col min="11531" max="11531" width="17.42578125" style="3" customWidth="1"/>
    <col min="11532" max="11532" width="20.85546875" style="3" customWidth="1"/>
    <col min="11533" max="11533" width="26.85546875" style="3" customWidth="1"/>
    <col min="11534" max="11534" width="8" style="3" customWidth="1"/>
    <col min="11535" max="11535" width="25" style="3" customWidth="1"/>
    <col min="11536" max="11536" width="12.7109375" style="3" customWidth="1"/>
    <col min="11537" max="11537" width="16.42578125" style="3" customWidth="1"/>
    <col min="11538" max="11538" width="23.5703125" style="3" customWidth="1"/>
    <col min="11539" max="11539" width="33.7109375" style="3" customWidth="1"/>
    <col min="11540" max="11540" width="31.140625" style="3" customWidth="1"/>
    <col min="11541" max="11541" width="19.28515625" style="3" customWidth="1"/>
    <col min="11542" max="11542" width="11.7109375" style="3" customWidth="1"/>
    <col min="11543" max="11543" width="15.42578125" style="3" customWidth="1"/>
    <col min="11544" max="11544" width="5.5703125" style="3" customWidth="1"/>
    <col min="11545" max="11545" width="4.7109375" style="3" customWidth="1"/>
    <col min="11546" max="11547" width="7.28515625" style="3" customWidth="1"/>
    <col min="11548" max="11548" width="8.42578125" style="3" customWidth="1"/>
    <col min="11549" max="11549" width="9.5703125" style="3" customWidth="1"/>
    <col min="11550" max="11550" width="6.28515625" style="3" customWidth="1"/>
    <col min="11551" max="11551" width="5.85546875" style="3" customWidth="1"/>
    <col min="11552" max="11553" width="4.42578125" style="3" customWidth="1"/>
    <col min="11554" max="11554" width="5" style="3" customWidth="1"/>
    <col min="11555" max="11555" width="5.85546875" style="3" customWidth="1"/>
    <col min="11556" max="11556" width="6.140625" style="3" customWidth="1"/>
    <col min="11557" max="11557" width="6.28515625" style="3" customWidth="1"/>
    <col min="11558" max="11558" width="4.85546875" style="3" customWidth="1"/>
    <col min="11559" max="11559" width="8.140625" style="3" customWidth="1"/>
    <col min="11560" max="11560" width="11.5703125" style="3" customWidth="1"/>
    <col min="11561" max="11561" width="13.7109375" style="3" customWidth="1"/>
    <col min="11562" max="11562" width="20.85546875" style="3" customWidth="1"/>
    <col min="11563" max="11775" width="11.42578125" style="3"/>
    <col min="11776" max="11776" width="13.140625" style="3" customWidth="1"/>
    <col min="11777" max="11777" width="4" style="3" customWidth="1"/>
    <col min="11778" max="11778" width="12.85546875" style="3" customWidth="1"/>
    <col min="11779" max="11779" width="14.7109375" style="3" customWidth="1"/>
    <col min="11780" max="11780" width="10" style="3" customWidth="1"/>
    <col min="11781" max="11781" width="6.28515625" style="3" customWidth="1"/>
    <col min="11782" max="11782" width="12.28515625" style="3" customWidth="1"/>
    <col min="11783" max="11783" width="8.5703125" style="3" customWidth="1"/>
    <col min="11784" max="11784" width="13.7109375" style="3" customWidth="1"/>
    <col min="11785" max="11785" width="11.5703125" style="3" customWidth="1"/>
    <col min="11786" max="11786" width="24.7109375" style="3" customWidth="1"/>
    <col min="11787" max="11787" width="17.42578125" style="3" customWidth="1"/>
    <col min="11788" max="11788" width="20.85546875" style="3" customWidth="1"/>
    <col min="11789" max="11789" width="26.85546875" style="3" customWidth="1"/>
    <col min="11790" max="11790" width="8" style="3" customWidth="1"/>
    <col min="11791" max="11791" width="25" style="3" customWidth="1"/>
    <col min="11792" max="11792" width="12.7109375" style="3" customWidth="1"/>
    <col min="11793" max="11793" width="16.42578125" style="3" customWidth="1"/>
    <col min="11794" max="11794" width="23.5703125" style="3" customWidth="1"/>
    <col min="11795" max="11795" width="33.7109375" style="3" customWidth="1"/>
    <col min="11796" max="11796" width="31.140625" style="3" customWidth="1"/>
    <col min="11797" max="11797" width="19.28515625" style="3" customWidth="1"/>
    <col min="11798" max="11798" width="11.7109375" style="3" customWidth="1"/>
    <col min="11799" max="11799" width="15.42578125" style="3" customWidth="1"/>
    <col min="11800" max="11800" width="5.5703125" style="3" customWidth="1"/>
    <col min="11801" max="11801" width="4.7109375" style="3" customWidth="1"/>
    <col min="11802" max="11803" width="7.28515625" style="3" customWidth="1"/>
    <col min="11804" max="11804" width="8.42578125" style="3" customWidth="1"/>
    <col min="11805" max="11805" width="9.5703125" style="3" customWidth="1"/>
    <col min="11806" max="11806" width="6.28515625" style="3" customWidth="1"/>
    <col min="11807" max="11807" width="5.85546875" style="3" customWidth="1"/>
    <col min="11808" max="11809" width="4.42578125" style="3" customWidth="1"/>
    <col min="11810" max="11810" width="5" style="3" customWidth="1"/>
    <col min="11811" max="11811" width="5.85546875" style="3" customWidth="1"/>
    <col min="11812" max="11812" width="6.140625" style="3" customWidth="1"/>
    <col min="11813" max="11813" width="6.28515625" style="3" customWidth="1"/>
    <col min="11814" max="11814" width="4.85546875" style="3" customWidth="1"/>
    <col min="11815" max="11815" width="8.140625" style="3" customWidth="1"/>
    <col min="11816" max="11816" width="11.5703125" style="3" customWidth="1"/>
    <col min="11817" max="11817" width="13.7109375" style="3" customWidth="1"/>
    <col min="11818" max="11818" width="20.85546875" style="3" customWidth="1"/>
    <col min="11819" max="12031" width="11.42578125" style="3"/>
    <col min="12032" max="12032" width="13.140625" style="3" customWidth="1"/>
    <col min="12033" max="12033" width="4" style="3" customWidth="1"/>
    <col min="12034" max="12034" width="12.85546875" style="3" customWidth="1"/>
    <col min="12035" max="12035" width="14.7109375" style="3" customWidth="1"/>
    <col min="12036" max="12036" width="10" style="3" customWidth="1"/>
    <col min="12037" max="12037" width="6.28515625" style="3" customWidth="1"/>
    <col min="12038" max="12038" width="12.28515625" style="3" customWidth="1"/>
    <col min="12039" max="12039" width="8.5703125" style="3" customWidth="1"/>
    <col min="12040" max="12040" width="13.7109375" style="3" customWidth="1"/>
    <col min="12041" max="12041" width="11.5703125" style="3" customWidth="1"/>
    <col min="12042" max="12042" width="24.7109375" style="3" customWidth="1"/>
    <col min="12043" max="12043" width="17.42578125" style="3" customWidth="1"/>
    <col min="12044" max="12044" width="20.85546875" style="3" customWidth="1"/>
    <col min="12045" max="12045" width="26.85546875" style="3" customWidth="1"/>
    <col min="12046" max="12046" width="8" style="3" customWidth="1"/>
    <col min="12047" max="12047" width="25" style="3" customWidth="1"/>
    <col min="12048" max="12048" width="12.7109375" style="3" customWidth="1"/>
    <col min="12049" max="12049" width="16.42578125" style="3" customWidth="1"/>
    <col min="12050" max="12050" width="23.5703125" style="3" customWidth="1"/>
    <col min="12051" max="12051" width="33.7109375" style="3" customWidth="1"/>
    <col min="12052" max="12052" width="31.140625" style="3" customWidth="1"/>
    <col min="12053" max="12053" width="19.28515625" style="3" customWidth="1"/>
    <col min="12054" max="12054" width="11.7109375" style="3" customWidth="1"/>
    <col min="12055" max="12055" width="15.42578125" style="3" customWidth="1"/>
    <col min="12056" max="12056" width="5.5703125" style="3" customWidth="1"/>
    <col min="12057" max="12057" width="4.7109375" style="3" customWidth="1"/>
    <col min="12058" max="12059" width="7.28515625" style="3" customWidth="1"/>
    <col min="12060" max="12060" width="8.42578125" style="3" customWidth="1"/>
    <col min="12061" max="12061" width="9.5703125" style="3" customWidth="1"/>
    <col min="12062" max="12062" width="6.28515625" style="3" customWidth="1"/>
    <col min="12063" max="12063" width="5.85546875" style="3" customWidth="1"/>
    <col min="12064" max="12065" width="4.42578125" style="3" customWidth="1"/>
    <col min="12066" max="12066" width="5" style="3" customWidth="1"/>
    <col min="12067" max="12067" width="5.85546875" style="3" customWidth="1"/>
    <col min="12068" max="12068" width="6.140625" style="3" customWidth="1"/>
    <col min="12069" max="12069" width="6.28515625" style="3" customWidth="1"/>
    <col min="12070" max="12070" width="4.85546875" style="3" customWidth="1"/>
    <col min="12071" max="12071" width="8.140625" style="3" customWidth="1"/>
    <col min="12072" max="12072" width="11.5703125" style="3" customWidth="1"/>
    <col min="12073" max="12073" width="13.7109375" style="3" customWidth="1"/>
    <col min="12074" max="12074" width="20.85546875" style="3" customWidth="1"/>
    <col min="12075" max="12287" width="11.42578125" style="3"/>
    <col min="12288" max="12288" width="13.140625" style="3" customWidth="1"/>
    <col min="12289" max="12289" width="4" style="3" customWidth="1"/>
    <col min="12290" max="12290" width="12.85546875" style="3" customWidth="1"/>
    <col min="12291" max="12291" width="14.7109375" style="3" customWidth="1"/>
    <col min="12292" max="12292" width="10" style="3" customWidth="1"/>
    <col min="12293" max="12293" width="6.28515625" style="3" customWidth="1"/>
    <col min="12294" max="12294" width="12.28515625" style="3" customWidth="1"/>
    <col min="12295" max="12295" width="8.5703125" style="3" customWidth="1"/>
    <col min="12296" max="12296" width="13.7109375" style="3" customWidth="1"/>
    <col min="12297" max="12297" width="11.5703125" style="3" customWidth="1"/>
    <col min="12298" max="12298" width="24.7109375" style="3" customWidth="1"/>
    <col min="12299" max="12299" width="17.42578125" style="3" customWidth="1"/>
    <col min="12300" max="12300" width="20.85546875" style="3" customWidth="1"/>
    <col min="12301" max="12301" width="26.85546875" style="3" customWidth="1"/>
    <col min="12302" max="12302" width="8" style="3" customWidth="1"/>
    <col min="12303" max="12303" width="25" style="3" customWidth="1"/>
    <col min="12304" max="12304" width="12.7109375" style="3" customWidth="1"/>
    <col min="12305" max="12305" width="16.42578125" style="3" customWidth="1"/>
    <col min="12306" max="12306" width="23.5703125" style="3" customWidth="1"/>
    <col min="12307" max="12307" width="33.7109375" style="3" customWidth="1"/>
    <col min="12308" max="12308" width="31.140625" style="3" customWidth="1"/>
    <col min="12309" max="12309" width="19.28515625" style="3" customWidth="1"/>
    <col min="12310" max="12310" width="11.7109375" style="3" customWidth="1"/>
    <col min="12311" max="12311" width="15.42578125" style="3" customWidth="1"/>
    <col min="12312" max="12312" width="5.5703125" style="3" customWidth="1"/>
    <col min="12313" max="12313" width="4.7109375" style="3" customWidth="1"/>
    <col min="12314" max="12315" width="7.28515625" style="3" customWidth="1"/>
    <col min="12316" max="12316" width="8.42578125" style="3" customWidth="1"/>
    <col min="12317" max="12317" width="9.5703125" style="3" customWidth="1"/>
    <col min="12318" max="12318" width="6.28515625" style="3" customWidth="1"/>
    <col min="12319" max="12319" width="5.85546875" style="3" customWidth="1"/>
    <col min="12320" max="12321" width="4.42578125" style="3" customWidth="1"/>
    <col min="12322" max="12322" width="5" style="3" customWidth="1"/>
    <col min="12323" max="12323" width="5.85546875" style="3" customWidth="1"/>
    <col min="12324" max="12324" width="6.140625" style="3" customWidth="1"/>
    <col min="12325" max="12325" width="6.28515625" style="3" customWidth="1"/>
    <col min="12326" max="12326" width="4.85546875" style="3" customWidth="1"/>
    <col min="12327" max="12327" width="8.140625" style="3" customWidth="1"/>
    <col min="12328" max="12328" width="11.5703125" style="3" customWidth="1"/>
    <col min="12329" max="12329" width="13.7109375" style="3" customWidth="1"/>
    <col min="12330" max="12330" width="20.85546875" style="3" customWidth="1"/>
    <col min="12331" max="12543" width="11.42578125" style="3"/>
    <col min="12544" max="12544" width="13.140625" style="3" customWidth="1"/>
    <col min="12545" max="12545" width="4" style="3" customWidth="1"/>
    <col min="12546" max="12546" width="12.85546875" style="3" customWidth="1"/>
    <col min="12547" max="12547" width="14.7109375" style="3" customWidth="1"/>
    <col min="12548" max="12548" width="10" style="3" customWidth="1"/>
    <col min="12549" max="12549" width="6.28515625" style="3" customWidth="1"/>
    <col min="12550" max="12550" width="12.28515625" style="3" customWidth="1"/>
    <col min="12551" max="12551" width="8.5703125" style="3" customWidth="1"/>
    <col min="12552" max="12552" width="13.7109375" style="3" customWidth="1"/>
    <col min="12553" max="12553" width="11.5703125" style="3" customWidth="1"/>
    <col min="12554" max="12554" width="24.7109375" style="3" customWidth="1"/>
    <col min="12555" max="12555" width="17.42578125" style="3" customWidth="1"/>
    <col min="12556" max="12556" width="20.85546875" style="3" customWidth="1"/>
    <col min="12557" max="12557" width="26.85546875" style="3" customWidth="1"/>
    <col min="12558" max="12558" width="8" style="3" customWidth="1"/>
    <col min="12559" max="12559" width="25" style="3" customWidth="1"/>
    <col min="12560" max="12560" width="12.7109375" style="3" customWidth="1"/>
    <col min="12561" max="12561" width="16.42578125" style="3" customWidth="1"/>
    <col min="12562" max="12562" width="23.5703125" style="3" customWidth="1"/>
    <col min="12563" max="12563" width="33.7109375" style="3" customWidth="1"/>
    <col min="12564" max="12564" width="31.140625" style="3" customWidth="1"/>
    <col min="12565" max="12565" width="19.28515625" style="3" customWidth="1"/>
    <col min="12566" max="12566" width="11.7109375" style="3" customWidth="1"/>
    <col min="12567" max="12567" width="15.42578125" style="3" customWidth="1"/>
    <col min="12568" max="12568" width="5.5703125" style="3" customWidth="1"/>
    <col min="12569" max="12569" width="4.7109375" style="3" customWidth="1"/>
    <col min="12570" max="12571" width="7.28515625" style="3" customWidth="1"/>
    <col min="12572" max="12572" width="8.42578125" style="3" customWidth="1"/>
    <col min="12573" max="12573" width="9.5703125" style="3" customWidth="1"/>
    <col min="12574" max="12574" width="6.28515625" style="3" customWidth="1"/>
    <col min="12575" max="12575" width="5.85546875" style="3" customWidth="1"/>
    <col min="12576" max="12577" width="4.42578125" style="3" customWidth="1"/>
    <col min="12578" max="12578" width="5" style="3" customWidth="1"/>
    <col min="12579" max="12579" width="5.85546875" style="3" customWidth="1"/>
    <col min="12580" max="12580" width="6.140625" style="3" customWidth="1"/>
    <col min="12581" max="12581" width="6.28515625" style="3" customWidth="1"/>
    <col min="12582" max="12582" width="4.85546875" style="3" customWidth="1"/>
    <col min="12583" max="12583" width="8.140625" style="3" customWidth="1"/>
    <col min="12584" max="12584" width="11.5703125" style="3" customWidth="1"/>
    <col min="12585" max="12585" width="13.7109375" style="3" customWidth="1"/>
    <col min="12586" max="12586" width="20.85546875" style="3" customWidth="1"/>
    <col min="12587" max="12799" width="11.42578125" style="3"/>
    <col min="12800" max="12800" width="13.140625" style="3" customWidth="1"/>
    <col min="12801" max="12801" width="4" style="3" customWidth="1"/>
    <col min="12802" max="12802" width="12.85546875" style="3" customWidth="1"/>
    <col min="12803" max="12803" width="14.7109375" style="3" customWidth="1"/>
    <col min="12804" max="12804" width="10" style="3" customWidth="1"/>
    <col min="12805" max="12805" width="6.28515625" style="3" customWidth="1"/>
    <col min="12806" max="12806" width="12.28515625" style="3" customWidth="1"/>
    <col min="12807" max="12807" width="8.5703125" style="3" customWidth="1"/>
    <col min="12808" max="12808" width="13.7109375" style="3" customWidth="1"/>
    <col min="12809" max="12809" width="11.5703125" style="3" customWidth="1"/>
    <col min="12810" max="12810" width="24.7109375" style="3" customWidth="1"/>
    <col min="12811" max="12811" width="17.42578125" style="3" customWidth="1"/>
    <col min="12812" max="12812" width="20.85546875" style="3" customWidth="1"/>
    <col min="12813" max="12813" width="26.85546875" style="3" customWidth="1"/>
    <col min="12814" max="12814" width="8" style="3" customWidth="1"/>
    <col min="12815" max="12815" width="25" style="3" customWidth="1"/>
    <col min="12816" max="12816" width="12.7109375" style="3" customWidth="1"/>
    <col min="12817" max="12817" width="16.42578125" style="3" customWidth="1"/>
    <col min="12818" max="12818" width="23.5703125" style="3" customWidth="1"/>
    <col min="12819" max="12819" width="33.7109375" style="3" customWidth="1"/>
    <col min="12820" max="12820" width="31.140625" style="3" customWidth="1"/>
    <col min="12821" max="12821" width="19.28515625" style="3" customWidth="1"/>
    <col min="12822" max="12822" width="11.7109375" style="3" customWidth="1"/>
    <col min="12823" max="12823" width="15.42578125" style="3" customWidth="1"/>
    <col min="12824" max="12824" width="5.5703125" style="3" customWidth="1"/>
    <col min="12825" max="12825" width="4.7109375" style="3" customWidth="1"/>
    <col min="12826" max="12827" width="7.28515625" style="3" customWidth="1"/>
    <col min="12828" max="12828" width="8.42578125" style="3" customWidth="1"/>
    <col min="12829" max="12829" width="9.5703125" style="3" customWidth="1"/>
    <col min="12830" max="12830" width="6.28515625" style="3" customWidth="1"/>
    <col min="12831" max="12831" width="5.85546875" style="3" customWidth="1"/>
    <col min="12832" max="12833" width="4.42578125" style="3" customWidth="1"/>
    <col min="12834" max="12834" width="5" style="3" customWidth="1"/>
    <col min="12835" max="12835" width="5.85546875" style="3" customWidth="1"/>
    <col min="12836" max="12836" width="6.140625" style="3" customWidth="1"/>
    <col min="12837" max="12837" width="6.28515625" style="3" customWidth="1"/>
    <col min="12838" max="12838" width="4.85546875" style="3" customWidth="1"/>
    <col min="12839" max="12839" width="8.140625" style="3" customWidth="1"/>
    <col min="12840" max="12840" width="11.5703125" style="3" customWidth="1"/>
    <col min="12841" max="12841" width="13.7109375" style="3" customWidth="1"/>
    <col min="12842" max="12842" width="20.85546875" style="3" customWidth="1"/>
    <col min="12843" max="13055" width="11.42578125" style="3"/>
    <col min="13056" max="13056" width="13.140625" style="3" customWidth="1"/>
    <col min="13057" max="13057" width="4" style="3" customWidth="1"/>
    <col min="13058" max="13058" width="12.85546875" style="3" customWidth="1"/>
    <col min="13059" max="13059" width="14.7109375" style="3" customWidth="1"/>
    <col min="13060" max="13060" width="10" style="3" customWidth="1"/>
    <col min="13061" max="13061" width="6.28515625" style="3" customWidth="1"/>
    <col min="13062" max="13062" width="12.28515625" style="3" customWidth="1"/>
    <col min="13063" max="13063" width="8.5703125" style="3" customWidth="1"/>
    <col min="13064" max="13064" width="13.7109375" style="3" customWidth="1"/>
    <col min="13065" max="13065" width="11.5703125" style="3" customWidth="1"/>
    <col min="13066" max="13066" width="24.7109375" style="3" customWidth="1"/>
    <col min="13067" max="13067" width="17.42578125" style="3" customWidth="1"/>
    <col min="13068" max="13068" width="20.85546875" style="3" customWidth="1"/>
    <col min="13069" max="13069" width="26.85546875" style="3" customWidth="1"/>
    <col min="13070" max="13070" width="8" style="3" customWidth="1"/>
    <col min="13071" max="13071" width="25" style="3" customWidth="1"/>
    <col min="13072" max="13072" width="12.7109375" style="3" customWidth="1"/>
    <col min="13073" max="13073" width="16.42578125" style="3" customWidth="1"/>
    <col min="13074" max="13074" width="23.5703125" style="3" customWidth="1"/>
    <col min="13075" max="13075" width="33.7109375" style="3" customWidth="1"/>
    <col min="13076" max="13076" width="31.140625" style="3" customWidth="1"/>
    <col min="13077" max="13077" width="19.28515625" style="3" customWidth="1"/>
    <col min="13078" max="13078" width="11.7109375" style="3" customWidth="1"/>
    <col min="13079" max="13079" width="15.42578125" style="3" customWidth="1"/>
    <col min="13080" max="13080" width="5.5703125" style="3" customWidth="1"/>
    <col min="13081" max="13081" width="4.7109375" style="3" customWidth="1"/>
    <col min="13082" max="13083" width="7.28515625" style="3" customWidth="1"/>
    <col min="13084" max="13084" width="8.42578125" style="3" customWidth="1"/>
    <col min="13085" max="13085" width="9.5703125" style="3" customWidth="1"/>
    <col min="13086" max="13086" width="6.28515625" style="3" customWidth="1"/>
    <col min="13087" max="13087" width="5.85546875" style="3" customWidth="1"/>
    <col min="13088" max="13089" width="4.42578125" style="3" customWidth="1"/>
    <col min="13090" max="13090" width="5" style="3" customWidth="1"/>
    <col min="13091" max="13091" width="5.85546875" style="3" customWidth="1"/>
    <col min="13092" max="13092" width="6.140625" style="3" customWidth="1"/>
    <col min="13093" max="13093" width="6.28515625" style="3" customWidth="1"/>
    <col min="13094" max="13094" width="4.85546875" style="3" customWidth="1"/>
    <col min="13095" max="13095" width="8.140625" style="3" customWidth="1"/>
    <col min="13096" max="13096" width="11.5703125" style="3" customWidth="1"/>
    <col min="13097" max="13097" width="13.7109375" style="3" customWidth="1"/>
    <col min="13098" max="13098" width="20.85546875" style="3" customWidth="1"/>
    <col min="13099" max="13311" width="11.42578125" style="3"/>
    <col min="13312" max="13312" width="13.140625" style="3" customWidth="1"/>
    <col min="13313" max="13313" width="4" style="3" customWidth="1"/>
    <col min="13314" max="13314" width="12.85546875" style="3" customWidth="1"/>
    <col min="13315" max="13315" width="14.7109375" style="3" customWidth="1"/>
    <col min="13316" max="13316" width="10" style="3" customWidth="1"/>
    <col min="13317" max="13317" width="6.28515625" style="3" customWidth="1"/>
    <col min="13318" max="13318" width="12.28515625" style="3" customWidth="1"/>
    <col min="13319" max="13319" width="8.5703125" style="3" customWidth="1"/>
    <col min="13320" max="13320" width="13.7109375" style="3" customWidth="1"/>
    <col min="13321" max="13321" width="11.5703125" style="3" customWidth="1"/>
    <col min="13322" max="13322" width="24.7109375" style="3" customWidth="1"/>
    <col min="13323" max="13323" width="17.42578125" style="3" customWidth="1"/>
    <col min="13324" max="13324" width="20.85546875" style="3" customWidth="1"/>
    <col min="13325" max="13325" width="26.85546875" style="3" customWidth="1"/>
    <col min="13326" max="13326" width="8" style="3" customWidth="1"/>
    <col min="13327" max="13327" width="25" style="3" customWidth="1"/>
    <col min="13328" max="13328" width="12.7109375" style="3" customWidth="1"/>
    <col min="13329" max="13329" width="16.42578125" style="3" customWidth="1"/>
    <col min="13330" max="13330" width="23.5703125" style="3" customWidth="1"/>
    <col min="13331" max="13331" width="33.7109375" style="3" customWidth="1"/>
    <col min="13332" max="13332" width="31.140625" style="3" customWidth="1"/>
    <col min="13333" max="13333" width="19.28515625" style="3" customWidth="1"/>
    <col min="13334" max="13334" width="11.7109375" style="3" customWidth="1"/>
    <col min="13335" max="13335" width="15.42578125" style="3" customWidth="1"/>
    <col min="13336" max="13336" width="5.5703125" style="3" customWidth="1"/>
    <col min="13337" max="13337" width="4.7109375" style="3" customWidth="1"/>
    <col min="13338" max="13339" width="7.28515625" style="3" customWidth="1"/>
    <col min="13340" max="13340" width="8.42578125" style="3" customWidth="1"/>
    <col min="13341" max="13341" width="9.5703125" style="3" customWidth="1"/>
    <col min="13342" max="13342" width="6.28515625" style="3" customWidth="1"/>
    <col min="13343" max="13343" width="5.85546875" style="3" customWidth="1"/>
    <col min="13344" max="13345" width="4.42578125" style="3" customWidth="1"/>
    <col min="13346" max="13346" width="5" style="3" customWidth="1"/>
    <col min="13347" max="13347" width="5.85546875" style="3" customWidth="1"/>
    <col min="13348" max="13348" width="6.140625" style="3" customWidth="1"/>
    <col min="13349" max="13349" width="6.28515625" style="3" customWidth="1"/>
    <col min="13350" max="13350" width="4.85546875" style="3" customWidth="1"/>
    <col min="13351" max="13351" width="8.140625" style="3" customWidth="1"/>
    <col min="13352" max="13352" width="11.5703125" style="3" customWidth="1"/>
    <col min="13353" max="13353" width="13.7109375" style="3" customWidth="1"/>
    <col min="13354" max="13354" width="20.85546875" style="3" customWidth="1"/>
    <col min="13355" max="13567" width="11.42578125" style="3"/>
    <col min="13568" max="13568" width="13.140625" style="3" customWidth="1"/>
    <col min="13569" max="13569" width="4" style="3" customWidth="1"/>
    <col min="13570" max="13570" width="12.85546875" style="3" customWidth="1"/>
    <col min="13571" max="13571" width="14.7109375" style="3" customWidth="1"/>
    <col min="13572" max="13572" width="10" style="3" customWidth="1"/>
    <col min="13573" max="13573" width="6.28515625" style="3" customWidth="1"/>
    <col min="13574" max="13574" width="12.28515625" style="3" customWidth="1"/>
    <col min="13575" max="13575" width="8.5703125" style="3" customWidth="1"/>
    <col min="13576" max="13576" width="13.7109375" style="3" customWidth="1"/>
    <col min="13577" max="13577" width="11.5703125" style="3" customWidth="1"/>
    <col min="13578" max="13578" width="24.7109375" style="3" customWidth="1"/>
    <col min="13579" max="13579" width="17.42578125" style="3" customWidth="1"/>
    <col min="13580" max="13580" width="20.85546875" style="3" customWidth="1"/>
    <col min="13581" max="13581" width="26.85546875" style="3" customWidth="1"/>
    <col min="13582" max="13582" width="8" style="3" customWidth="1"/>
    <col min="13583" max="13583" width="25" style="3" customWidth="1"/>
    <col min="13584" max="13584" width="12.7109375" style="3" customWidth="1"/>
    <col min="13585" max="13585" width="16.42578125" style="3" customWidth="1"/>
    <col min="13586" max="13586" width="23.5703125" style="3" customWidth="1"/>
    <col min="13587" max="13587" width="33.7109375" style="3" customWidth="1"/>
    <col min="13588" max="13588" width="31.140625" style="3" customWidth="1"/>
    <col min="13589" max="13589" width="19.28515625" style="3" customWidth="1"/>
    <col min="13590" max="13590" width="11.7109375" style="3" customWidth="1"/>
    <col min="13591" max="13591" width="15.42578125" style="3" customWidth="1"/>
    <col min="13592" max="13592" width="5.5703125" style="3" customWidth="1"/>
    <col min="13593" max="13593" width="4.7109375" style="3" customWidth="1"/>
    <col min="13594" max="13595" width="7.28515625" style="3" customWidth="1"/>
    <col min="13596" max="13596" width="8.42578125" style="3" customWidth="1"/>
    <col min="13597" max="13597" width="9.5703125" style="3" customWidth="1"/>
    <col min="13598" max="13598" width="6.28515625" style="3" customWidth="1"/>
    <col min="13599" max="13599" width="5.85546875" style="3" customWidth="1"/>
    <col min="13600" max="13601" width="4.42578125" style="3" customWidth="1"/>
    <col min="13602" max="13602" width="5" style="3" customWidth="1"/>
    <col min="13603" max="13603" width="5.85546875" style="3" customWidth="1"/>
    <col min="13604" max="13604" width="6.140625" style="3" customWidth="1"/>
    <col min="13605" max="13605" width="6.28515625" style="3" customWidth="1"/>
    <col min="13606" max="13606" width="4.85546875" style="3" customWidth="1"/>
    <col min="13607" max="13607" width="8.140625" style="3" customWidth="1"/>
    <col min="13608" max="13608" width="11.5703125" style="3" customWidth="1"/>
    <col min="13609" max="13609" width="13.7109375" style="3" customWidth="1"/>
    <col min="13610" max="13610" width="20.85546875" style="3" customWidth="1"/>
    <col min="13611" max="13823" width="11.42578125" style="3"/>
    <col min="13824" max="13824" width="13.140625" style="3" customWidth="1"/>
    <col min="13825" max="13825" width="4" style="3" customWidth="1"/>
    <col min="13826" max="13826" width="12.85546875" style="3" customWidth="1"/>
    <col min="13827" max="13827" width="14.7109375" style="3" customWidth="1"/>
    <col min="13828" max="13828" width="10" style="3" customWidth="1"/>
    <col min="13829" max="13829" width="6.28515625" style="3" customWidth="1"/>
    <col min="13830" max="13830" width="12.28515625" style="3" customWidth="1"/>
    <col min="13831" max="13831" width="8.5703125" style="3" customWidth="1"/>
    <col min="13832" max="13832" width="13.7109375" style="3" customWidth="1"/>
    <col min="13833" max="13833" width="11.5703125" style="3" customWidth="1"/>
    <col min="13834" max="13834" width="24.7109375" style="3" customWidth="1"/>
    <col min="13835" max="13835" width="17.42578125" style="3" customWidth="1"/>
    <col min="13836" max="13836" width="20.85546875" style="3" customWidth="1"/>
    <col min="13837" max="13837" width="26.85546875" style="3" customWidth="1"/>
    <col min="13838" max="13838" width="8" style="3" customWidth="1"/>
    <col min="13839" max="13839" width="25" style="3" customWidth="1"/>
    <col min="13840" max="13840" width="12.7109375" style="3" customWidth="1"/>
    <col min="13841" max="13841" width="16.42578125" style="3" customWidth="1"/>
    <col min="13842" max="13842" width="23.5703125" style="3" customWidth="1"/>
    <col min="13843" max="13843" width="33.7109375" style="3" customWidth="1"/>
    <col min="13844" max="13844" width="31.140625" style="3" customWidth="1"/>
    <col min="13845" max="13845" width="19.28515625" style="3" customWidth="1"/>
    <col min="13846" max="13846" width="11.7109375" style="3" customWidth="1"/>
    <col min="13847" max="13847" width="15.42578125" style="3" customWidth="1"/>
    <col min="13848" max="13848" width="5.5703125" style="3" customWidth="1"/>
    <col min="13849" max="13849" width="4.7109375" style="3" customWidth="1"/>
    <col min="13850" max="13851" width="7.28515625" style="3" customWidth="1"/>
    <col min="13852" max="13852" width="8.42578125" style="3" customWidth="1"/>
    <col min="13853" max="13853" width="9.5703125" style="3" customWidth="1"/>
    <col min="13854" max="13854" width="6.28515625" style="3" customWidth="1"/>
    <col min="13855" max="13855" width="5.85546875" style="3" customWidth="1"/>
    <col min="13856" max="13857" width="4.42578125" style="3" customWidth="1"/>
    <col min="13858" max="13858" width="5" style="3" customWidth="1"/>
    <col min="13859" max="13859" width="5.85546875" style="3" customWidth="1"/>
    <col min="13860" max="13860" width="6.140625" style="3" customWidth="1"/>
    <col min="13861" max="13861" width="6.28515625" style="3" customWidth="1"/>
    <col min="13862" max="13862" width="4.85546875" style="3" customWidth="1"/>
    <col min="13863" max="13863" width="8.140625" style="3" customWidth="1"/>
    <col min="13864" max="13864" width="11.5703125" style="3" customWidth="1"/>
    <col min="13865" max="13865" width="13.7109375" style="3" customWidth="1"/>
    <col min="13866" max="13866" width="20.85546875" style="3" customWidth="1"/>
    <col min="13867" max="14079" width="11.42578125" style="3"/>
    <col min="14080" max="14080" width="13.140625" style="3" customWidth="1"/>
    <col min="14081" max="14081" width="4" style="3" customWidth="1"/>
    <col min="14082" max="14082" width="12.85546875" style="3" customWidth="1"/>
    <col min="14083" max="14083" width="14.7109375" style="3" customWidth="1"/>
    <col min="14084" max="14084" width="10" style="3" customWidth="1"/>
    <col min="14085" max="14085" width="6.28515625" style="3" customWidth="1"/>
    <col min="14086" max="14086" width="12.28515625" style="3" customWidth="1"/>
    <col min="14087" max="14087" width="8.5703125" style="3" customWidth="1"/>
    <col min="14088" max="14088" width="13.7109375" style="3" customWidth="1"/>
    <col min="14089" max="14089" width="11.5703125" style="3" customWidth="1"/>
    <col min="14090" max="14090" width="24.7109375" style="3" customWidth="1"/>
    <col min="14091" max="14091" width="17.42578125" style="3" customWidth="1"/>
    <col min="14092" max="14092" width="20.85546875" style="3" customWidth="1"/>
    <col min="14093" max="14093" width="26.85546875" style="3" customWidth="1"/>
    <col min="14094" max="14094" width="8" style="3" customWidth="1"/>
    <col min="14095" max="14095" width="25" style="3" customWidth="1"/>
    <col min="14096" max="14096" width="12.7109375" style="3" customWidth="1"/>
    <col min="14097" max="14097" width="16.42578125" style="3" customWidth="1"/>
    <col min="14098" max="14098" width="23.5703125" style="3" customWidth="1"/>
    <col min="14099" max="14099" width="33.7109375" style="3" customWidth="1"/>
    <col min="14100" max="14100" width="31.140625" style="3" customWidth="1"/>
    <col min="14101" max="14101" width="19.28515625" style="3" customWidth="1"/>
    <col min="14102" max="14102" width="11.7109375" style="3" customWidth="1"/>
    <col min="14103" max="14103" width="15.42578125" style="3" customWidth="1"/>
    <col min="14104" max="14104" width="5.5703125" style="3" customWidth="1"/>
    <col min="14105" max="14105" width="4.7109375" style="3" customWidth="1"/>
    <col min="14106" max="14107" width="7.28515625" style="3" customWidth="1"/>
    <col min="14108" max="14108" width="8.42578125" style="3" customWidth="1"/>
    <col min="14109" max="14109" width="9.5703125" style="3" customWidth="1"/>
    <col min="14110" max="14110" width="6.28515625" style="3" customWidth="1"/>
    <col min="14111" max="14111" width="5.85546875" style="3" customWidth="1"/>
    <col min="14112" max="14113" width="4.42578125" style="3" customWidth="1"/>
    <col min="14114" max="14114" width="5" style="3" customWidth="1"/>
    <col min="14115" max="14115" width="5.85546875" style="3" customWidth="1"/>
    <col min="14116" max="14116" width="6.140625" style="3" customWidth="1"/>
    <col min="14117" max="14117" width="6.28515625" style="3" customWidth="1"/>
    <col min="14118" max="14118" width="4.85546875" style="3" customWidth="1"/>
    <col min="14119" max="14119" width="8.140625" style="3" customWidth="1"/>
    <col min="14120" max="14120" width="11.5703125" style="3" customWidth="1"/>
    <col min="14121" max="14121" width="13.7109375" style="3" customWidth="1"/>
    <col min="14122" max="14122" width="20.85546875" style="3" customWidth="1"/>
    <col min="14123" max="14335" width="11.42578125" style="3"/>
    <col min="14336" max="14336" width="13.140625" style="3" customWidth="1"/>
    <col min="14337" max="14337" width="4" style="3" customWidth="1"/>
    <col min="14338" max="14338" width="12.85546875" style="3" customWidth="1"/>
    <col min="14339" max="14339" width="14.7109375" style="3" customWidth="1"/>
    <col min="14340" max="14340" width="10" style="3" customWidth="1"/>
    <col min="14341" max="14341" width="6.28515625" style="3" customWidth="1"/>
    <col min="14342" max="14342" width="12.28515625" style="3" customWidth="1"/>
    <col min="14343" max="14343" width="8.5703125" style="3" customWidth="1"/>
    <col min="14344" max="14344" width="13.7109375" style="3" customWidth="1"/>
    <col min="14345" max="14345" width="11.5703125" style="3" customWidth="1"/>
    <col min="14346" max="14346" width="24.7109375" style="3" customWidth="1"/>
    <col min="14347" max="14347" width="17.42578125" style="3" customWidth="1"/>
    <col min="14348" max="14348" width="20.85546875" style="3" customWidth="1"/>
    <col min="14349" max="14349" width="26.85546875" style="3" customWidth="1"/>
    <col min="14350" max="14350" width="8" style="3" customWidth="1"/>
    <col min="14351" max="14351" width="25" style="3" customWidth="1"/>
    <col min="14352" max="14352" width="12.7109375" style="3" customWidth="1"/>
    <col min="14353" max="14353" width="16.42578125" style="3" customWidth="1"/>
    <col min="14354" max="14354" width="23.5703125" style="3" customWidth="1"/>
    <col min="14355" max="14355" width="33.7109375" style="3" customWidth="1"/>
    <col min="14356" max="14356" width="31.140625" style="3" customWidth="1"/>
    <col min="14357" max="14357" width="19.28515625" style="3" customWidth="1"/>
    <col min="14358" max="14358" width="11.7109375" style="3" customWidth="1"/>
    <col min="14359" max="14359" width="15.42578125" style="3" customWidth="1"/>
    <col min="14360" max="14360" width="5.5703125" style="3" customWidth="1"/>
    <col min="14361" max="14361" width="4.7109375" style="3" customWidth="1"/>
    <col min="14362" max="14363" width="7.28515625" style="3" customWidth="1"/>
    <col min="14364" max="14364" width="8.42578125" style="3" customWidth="1"/>
    <col min="14365" max="14365" width="9.5703125" style="3" customWidth="1"/>
    <col min="14366" max="14366" width="6.28515625" style="3" customWidth="1"/>
    <col min="14367" max="14367" width="5.85546875" style="3" customWidth="1"/>
    <col min="14368" max="14369" width="4.42578125" style="3" customWidth="1"/>
    <col min="14370" max="14370" width="5" style="3" customWidth="1"/>
    <col min="14371" max="14371" width="5.85546875" style="3" customWidth="1"/>
    <col min="14372" max="14372" width="6.140625" style="3" customWidth="1"/>
    <col min="14373" max="14373" width="6.28515625" style="3" customWidth="1"/>
    <col min="14374" max="14374" width="4.85546875" style="3" customWidth="1"/>
    <col min="14375" max="14375" width="8.140625" style="3" customWidth="1"/>
    <col min="14376" max="14376" width="11.5703125" style="3" customWidth="1"/>
    <col min="14377" max="14377" width="13.7109375" style="3" customWidth="1"/>
    <col min="14378" max="14378" width="20.85546875" style="3" customWidth="1"/>
    <col min="14379" max="14591" width="11.42578125" style="3"/>
    <col min="14592" max="14592" width="13.140625" style="3" customWidth="1"/>
    <col min="14593" max="14593" width="4" style="3" customWidth="1"/>
    <col min="14594" max="14594" width="12.85546875" style="3" customWidth="1"/>
    <col min="14595" max="14595" width="14.7109375" style="3" customWidth="1"/>
    <col min="14596" max="14596" width="10" style="3" customWidth="1"/>
    <col min="14597" max="14597" width="6.28515625" style="3" customWidth="1"/>
    <col min="14598" max="14598" width="12.28515625" style="3" customWidth="1"/>
    <col min="14599" max="14599" width="8.5703125" style="3" customWidth="1"/>
    <col min="14600" max="14600" width="13.7109375" style="3" customWidth="1"/>
    <col min="14601" max="14601" width="11.5703125" style="3" customWidth="1"/>
    <col min="14602" max="14602" width="24.7109375" style="3" customWidth="1"/>
    <col min="14603" max="14603" width="17.42578125" style="3" customWidth="1"/>
    <col min="14604" max="14604" width="20.85546875" style="3" customWidth="1"/>
    <col min="14605" max="14605" width="26.85546875" style="3" customWidth="1"/>
    <col min="14606" max="14606" width="8" style="3" customWidth="1"/>
    <col min="14607" max="14607" width="25" style="3" customWidth="1"/>
    <col min="14608" max="14608" width="12.7109375" style="3" customWidth="1"/>
    <col min="14609" max="14609" width="16.42578125" style="3" customWidth="1"/>
    <col min="14610" max="14610" width="23.5703125" style="3" customWidth="1"/>
    <col min="14611" max="14611" width="33.7109375" style="3" customWidth="1"/>
    <col min="14612" max="14612" width="31.140625" style="3" customWidth="1"/>
    <col min="14613" max="14613" width="19.28515625" style="3" customWidth="1"/>
    <col min="14614" max="14614" width="11.7109375" style="3" customWidth="1"/>
    <col min="14615" max="14615" width="15.42578125" style="3" customWidth="1"/>
    <col min="14616" max="14616" width="5.5703125" style="3" customWidth="1"/>
    <col min="14617" max="14617" width="4.7109375" style="3" customWidth="1"/>
    <col min="14618" max="14619" width="7.28515625" style="3" customWidth="1"/>
    <col min="14620" max="14620" width="8.42578125" style="3" customWidth="1"/>
    <col min="14621" max="14621" width="9.5703125" style="3" customWidth="1"/>
    <col min="14622" max="14622" width="6.28515625" style="3" customWidth="1"/>
    <col min="14623" max="14623" width="5.85546875" style="3" customWidth="1"/>
    <col min="14624" max="14625" width="4.42578125" style="3" customWidth="1"/>
    <col min="14626" max="14626" width="5" style="3" customWidth="1"/>
    <col min="14627" max="14627" width="5.85546875" style="3" customWidth="1"/>
    <col min="14628" max="14628" width="6.140625" style="3" customWidth="1"/>
    <col min="14629" max="14629" width="6.28515625" style="3" customWidth="1"/>
    <col min="14630" max="14630" width="4.85546875" style="3" customWidth="1"/>
    <col min="14631" max="14631" width="8.140625" style="3" customWidth="1"/>
    <col min="14632" max="14632" width="11.5703125" style="3" customWidth="1"/>
    <col min="14633" max="14633" width="13.7109375" style="3" customWidth="1"/>
    <col min="14634" max="14634" width="20.85546875" style="3" customWidth="1"/>
    <col min="14635" max="14847" width="11.42578125" style="3"/>
    <col min="14848" max="14848" width="13.140625" style="3" customWidth="1"/>
    <col min="14849" max="14849" width="4" style="3" customWidth="1"/>
    <col min="14850" max="14850" width="12.85546875" style="3" customWidth="1"/>
    <col min="14851" max="14851" width="14.7109375" style="3" customWidth="1"/>
    <col min="14852" max="14852" width="10" style="3" customWidth="1"/>
    <col min="14853" max="14853" width="6.28515625" style="3" customWidth="1"/>
    <col min="14854" max="14854" width="12.28515625" style="3" customWidth="1"/>
    <col min="14855" max="14855" width="8.5703125" style="3" customWidth="1"/>
    <col min="14856" max="14856" width="13.7109375" style="3" customWidth="1"/>
    <col min="14857" max="14857" width="11.5703125" style="3" customWidth="1"/>
    <col min="14858" max="14858" width="24.7109375" style="3" customWidth="1"/>
    <col min="14859" max="14859" width="17.42578125" style="3" customWidth="1"/>
    <col min="14860" max="14860" width="20.85546875" style="3" customWidth="1"/>
    <col min="14861" max="14861" width="26.85546875" style="3" customWidth="1"/>
    <col min="14862" max="14862" width="8" style="3" customWidth="1"/>
    <col min="14863" max="14863" width="25" style="3" customWidth="1"/>
    <col min="14864" max="14864" width="12.7109375" style="3" customWidth="1"/>
    <col min="14865" max="14865" width="16.42578125" style="3" customWidth="1"/>
    <col min="14866" max="14866" width="23.5703125" style="3" customWidth="1"/>
    <col min="14867" max="14867" width="33.7109375" style="3" customWidth="1"/>
    <col min="14868" max="14868" width="31.140625" style="3" customWidth="1"/>
    <col min="14869" max="14869" width="19.28515625" style="3" customWidth="1"/>
    <col min="14870" max="14870" width="11.7109375" style="3" customWidth="1"/>
    <col min="14871" max="14871" width="15.42578125" style="3" customWidth="1"/>
    <col min="14872" max="14872" width="5.5703125" style="3" customWidth="1"/>
    <col min="14873" max="14873" width="4.7109375" style="3" customWidth="1"/>
    <col min="14874" max="14875" width="7.28515625" style="3" customWidth="1"/>
    <col min="14876" max="14876" width="8.42578125" style="3" customWidth="1"/>
    <col min="14877" max="14877" width="9.5703125" style="3" customWidth="1"/>
    <col min="14878" max="14878" width="6.28515625" style="3" customWidth="1"/>
    <col min="14879" max="14879" width="5.85546875" style="3" customWidth="1"/>
    <col min="14880" max="14881" width="4.42578125" style="3" customWidth="1"/>
    <col min="14882" max="14882" width="5" style="3" customWidth="1"/>
    <col min="14883" max="14883" width="5.85546875" style="3" customWidth="1"/>
    <col min="14884" max="14884" width="6.140625" style="3" customWidth="1"/>
    <col min="14885" max="14885" width="6.28515625" style="3" customWidth="1"/>
    <col min="14886" max="14886" width="4.85546875" style="3" customWidth="1"/>
    <col min="14887" max="14887" width="8.140625" style="3" customWidth="1"/>
    <col min="14888" max="14888" width="11.5703125" style="3" customWidth="1"/>
    <col min="14889" max="14889" width="13.7109375" style="3" customWidth="1"/>
    <col min="14890" max="14890" width="20.85546875" style="3" customWidth="1"/>
    <col min="14891" max="15103" width="11.42578125" style="3"/>
    <col min="15104" max="15104" width="13.140625" style="3" customWidth="1"/>
    <col min="15105" max="15105" width="4" style="3" customWidth="1"/>
    <col min="15106" max="15106" width="12.85546875" style="3" customWidth="1"/>
    <col min="15107" max="15107" width="14.7109375" style="3" customWidth="1"/>
    <col min="15108" max="15108" width="10" style="3" customWidth="1"/>
    <col min="15109" max="15109" width="6.28515625" style="3" customWidth="1"/>
    <col min="15110" max="15110" width="12.28515625" style="3" customWidth="1"/>
    <col min="15111" max="15111" width="8.5703125" style="3" customWidth="1"/>
    <col min="15112" max="15112" width="13.7109375" style="3" customWidth="1"/>
    <col min="15113" max="15113" width="11.5703125" style="3" customWidth="1"/>
    <col min="15114" max="15114" width="24.7109375" style="3" customWidth="1"/>
    <col min="15115" max="15115" width="17.42578125" style="3" customWidth="1"/>
    <col min="15116" max="15116" width="20.85546875" style="3" customWidth="1"/>
    <col min="15117" max="15117" width="26.85546875" style="3" customWidth="1"/>
    <col min="15118" max="15118" width="8" style="3" customWidth="1"/>
    <col min="15119" max="15119" width="25" style="3" customWidth="1"/>
    <col min="15120" max="15120" width="12.7109375" style="3" customWidth="1"/>
    <col min="15121" max="15121" width="16.42578125" style="3" customWidth="1"/>
    <col min="15122" max="15122" width="23.5703125" style="3" customWidth="1"/>
    <col min="15123" max="15123" width="33.7109375" style="3" customWidth="1"/>
    <col min="15124" max="15124" width="31.140625" style="3" customWidth="1"/>
    <col min="15125" max="15125" width="19.28515625" style="3" customWidth="1"/>
    <col min="15126" max="15126" width="11.7109375" style="3" customWidth="1"/>
    <col min="15127" max="15127" width="15.42578125" style="3" customWidth="1"/>
    <col min="15128" max="15128" width="5.5703125" style="3" customWidth="1"/>
    <col min="15129" max="15129" width="4.7109375" style="3" customWidth="1"/>
    <col min="15130" max="15131" width="7.28515625" style="3" customWidth="1"/>
    <col min="15132" max="15132" width="8.42578125" style="3" customWidth="1"/>
    <col min="15133" max="15133" width="9.5703125" style="3" customWidth="1"/>
    <col min="15134" max="15134" width="6.28515625" style="3" customWidth="1"/>
    <col min="15135" max="15135" width="5.85546875" style="3" customWidth="1"/>
    <col min="15136" max="15137" width="4.42578125" style="3" customWidth="1"/>
    <col min="15138" max="15138" width="5" style="3" customWidth="1"/>
    <col min="15139" max="15139" width="5.85546875" style="3" customWidth="1"/>
    <col min="15140" max="15140" width="6.140625" style="3" customWidth="1"/>
    <col min="15141" max="15141" width="6.28515625" style="3" customWidth="1"/>
    <col min="15142" max="15142" width="4.85546875" style="3" customWidth="1"/>
    <col min="15143" max="15143" width="8.140625" style="3" customWidth="1"/>
    <col min="15144" max="15144" width="11.5703125" style="3" customWidth="1"/>
    <col min="15145" max="15145" width="13.7109375" style="3" customWidth="1"/>
    <col min="15146" max="15146" width="20.85546875" style="3" customWidth="1"/>
    <col min="15147" max="15359" width="11.42578125" style="3"/>
    <col min="15360" max="15360" width="13.140625" style="3" customWidth="1"/>
    <col min="15361" max="15361" width="4" style="3" customWidth="1"/>
    <col min="15362" max="15362" width="12.85546875" style="3" customWidth="1"/>
    <col min="15363" max="15363" width="14.7109375" style="3" customWidth="1"/>
    <col min="15364" max="15364" width="10" style="3" customWidth="1"/>
    <col min="15365" max="15365" width="6.28515625" style="3" customWidth="1"/>
    <col min="15366" max="15366" width="12.28515625" style="3" customWidth="1"/>
    <col min="15367" max="15367" width="8.5703125" style="3" customWidth="1"/>
    <col min="15368" max="15368" width="13.7109375" style="3" customWidth="1"/>
    <col min="15369" max="15369" width="11.5703125" style="3" customWidth="1"/>
    <col min="15370" max="15370" width="24.7109375" style="3" customWidth="1"/>
    <col min="15371" max="15371" width="17.42578125" style="3" customWidth="1"/>
    <col min="15372" max="15372" width="20.85546875" style="3" customWidth="1"/>
    <col min="15373" max="15373" width="26.85546875" style="3" customWidth="1"/>
    <col min="15374" max="15374" width="8" style="3" customWidth="1"/>
    <col min="15375" max="15375" width="25" style="3" customWidth="1"/>
    <col min="15376" max="15376" width="12.7109375" style="3" customWidth="1"/>
    <col min="15377" max="15377" width="16.42578125" style="3" customWidth="1"/>
    <col min="15378" max="15378" width="23.5703125" style="3" customWidth="1"/>
    <col min="15379" max="15379" width="33.7109375" style="3" customWidth="1"/>
    <col min="15380" max="15380" width="31.140625" style="3" customWidth="1"/>
    <col min="15381" max="15381" width="19.28515625" style="3" customWidth="1"/>
    <col min="15382" max="15382" width="11.7109375" style="3" customWidth="1"/>
    <col min="15383" max="15383" width="15.42578125" style="3" customWidth="1"/>
    <col min="15384" max="15384" width="5.5703125" style="3" customWidth="1"/>
    <col min="15385" max="15385" width="4.7109375" style="3" customWidth="1"/>
    <col min="15386" max="15387" width="7.28515625" style="3" customWidth="1"/>
    <col min="15388" max="15388" width="8.42578125" style="3" customWidth="1"/>
    <col min="15389" max="15389" width="9.5703125" style="3" customWidth="1"/>
    <col min="15390" max="15390" width="6.28515625" style="3" customWidth="1"/>
    <col min="15391" max="15391" width="5.85546875" style="3" customWidth="1"/>
    <col min="15392" max="15393" width="4.42578125" style="3" customWidth="1"/>
    <col min="15394" max="15394" width="5" style="3" customWidth="1"/>
    <col min="15395" max="15395" width="5.85546875" style="3" customWidth="1"/>
    <col min="15396" max="15396" width="6.140625" style="3" customWidth="1"/>
    <col min="15397" max="15397" width="6.28515625" style="3" customWidth="1"/>
    <col min="15398" max="15398" width="4.85546875" style="3" customWidth="1"/>
    <col min="15399" max="15399" width="8.140625" style="3" customWidth="1"/>
    <col min="15400" max="15400" width="11.5703125" style="3" customWidth="1"/>
    <col min="15401" max="15401" width="13.7109375" style="3" customWidth="1"/>
    <col min="15402" max="15402" width="20.85546875" style="3" customWidth="1"/>
    <col min="15403" max="15615" width="11.42578125" style="3"/>
    <col min="15616" max="15616" width="13.140625" style="3" customWidth="1"/>
    <col min="15617" max="15617" width="4" style="3" customWidth="1"/>
    <col min="15618" max="15618" width="12.85546875" style="3" customWidth="1"/>
    <col min="15619" max="15619" width="14.7109375" style="3" customWidth="1"/>
    <col min="15620" max="15620" width="10" style="3" customWidth="1"/>
    <col min="15621" max="15621" width="6.28515625" style="3" customWidth="1"/>
    <col min="15622" max="15622" width="12.28515625" style="3" customWidth="1"/>
    <col min="15623" max="15623" width="8.5703125" style="3" customWidth="1"/>
    <col min="15624" max="15624" width="13.7109375" style="3" customWidth="1"/>
    <col min="15625" max="15625" width="11.5703125" style="3" customWidth="1"/>
    <col min="15626" max="15626" width="24.7109375" style="3" customWidth="1"/>
    <col min="15627" max="15627" width="17.42578125" style="3" customWidth="1"/>
    <col min="15628" max="15628" width="20.85546875" style="3" customWidth="1"/>
    <col min="15629" max="15629" width="26.85546875" style="3" customWidth="1"/>
    <col min="15630" max="15630" width="8" style="3" customWidth="1"/>
    <col min="15631" max="15631" width="25" style="3" customWidth="1"/>
    <col min="15632" max="15632" width="12.7109375" style="3" customWidth="1"/>
    <col min="15633" max="15633" width="16.42578125" style="3" customWidth="1"/>
    <col min="15634" max="15634" width="23.5703125" style="3" customWidth="1"/>
    <col min="15635" max="15635" width="33.7109375" style="3" customWidth="1"/>
    <col min="15636" max="15636" width="31.140625" style="3" customWidth="1"/>
    <col min="15637" max="15637" width="19.28515625" style="3" customWidth="1"/>
    <col min="15638" max="15638" width="11.7109375" style="3" customWidth="1"/>
    <col min="15639" max="15639" width="15.42578125" style="3" customWidth="1"/>
    <col min="15640" max="15640" width="5.5703125" style="3" customWidth="1"/>
    <col min="15641" max="15641" width="4.7109375" style="3" customWidth="1"/>
    <col min="15642" max="15643" width="7.28515625" style="3" customWidth="1"/>
    <col min="15644" max="15644" width="8.42578125" style="3" customWidth="1"/>
    <col min="15645" max="15645" width="9.5703125" style="3" customWidth="1"/>
    <col min="15646" max="15646" width="6.28515625" style="3" customWidth="1"/>
    <col min="15647" max="15647" width="5.85546875" style="3" customWidth="1"/>
    <col min="15648" max="15649" width="4.42578125" style="3" customWidth="1"/>
    <col min="15650" max="15650" width="5" style="3" customWidth="1"/>
    <col min="15651" max="15651" width="5.85546875" style="3" customWidth="1"/>
    <col min="15652" max="15652" width="6.140625" style="3" customWidth="1"/>
    <col min="15653" max="15653" width="6.28515625" style="3" customWidth="1"/>
    <col min="15654" max="15654" width="4.85546875" style="3" customWidth="1"/>
    <col min="15655" max="15655" width="8.140625" style="3" customWidth="1"/>
    <col min="15656" max="15656" width="11.5703125" style="3" customWidth="1"/>
    <col min="15657" max="15657" width="13.7109375" style="3" customWidth="1"/>
    <col min="15658" max="15658" width="20.85546875" style="3" customWidth="1"/>
    <col min="15659" max="15871" width="11.42578125" style="3"/>
    <col min="15872" max="15872" width="13.140625" style="3" customWidth="1"/>
    <col min="15873" max="15873" width="4" style="3" customWidth="1"/>
    <col min="15874" max="15874" width="12.85546875" style="3" customWidth="1"/>
    <col min="15875" max="15875" width="14.7109375" style="3" customWidth="1"/>
    <col min="15876" max="15876" width="10" style="3" customWidth="1"/>
    <col min="15877" max="15877" width="6.28515625" style="3" customWidth="1"/>
    <col min="15878" max="15878" width="12.28515625" style="3" customWidth="1"/>
    <col min="15879" max="15879" width="8.5703125" style="3" customWidth="1"/>
    <col min="15880" max="15880" width="13.7109375" style="3" customWidth="1"/>
    <col min="15881" max="15881" width="11.5703125" style="3" customWidth="1"/>
    <col min="15882" max="15882" width="24.7109375" style="3" customWidth="1"/>
    <col min="15883" max="15883" width="17.42578125" style="3" customWidth="1"/>
    <col min="15884" max="15884" width="20.85546875" style="3" customWidth="1"/>
    <col min="15885" max="15885" width="26.85546875" style="3" customWidth="1"/>
    <col min="15886" max="15886" width="8" style="3" customWidth="1"/>
    <col min="15887" max="15887" width="25" style="3" customWidth="1"/>
    <col min="15888" max="15888" width="12.7109375" style="3" customWidth="1"/>
    <col min="15889" max="15889" width="16.42578125" style="3" customWidth="1"/>
    <col min="15890" max="15890" width="23.5703125" style="3" customWidth="1"/>
    <col min="15891" max="15891" width="33.7109375" style="3" customWidth="1"/>
    <col min="15892" max="15892" width="31.140625" style="3" customWidth="1"/>
    <col min="15893" max="15893" width="19.28515625" style="3" customWidth="1"/>
    <col min="15894" max="15894" width="11.7109375" style="3" customWidth="1"/>
    <col min="15895" max="15895" width="15.42578125" style="3" customWidth="1"/>
    <col min="15896" max="15896" width="5.5703125" style="3" customWidth="1"/>
    <col min="15897" max="15897" width="4.7109375" style="3" customWidth="1"/>
    <col min="15898" max="15899" width="7.28515625" style="3" customWidth="1"/>
    <col min="15900" max="15900" width="8.42578125" style="3" customWidth="1"/>
    <col min="15901" max="15901" width="9.5703125" style="3" customWidth="1"/>
    <col min="15902" max="15902" width="6.28515625" style="3" customWidth="1"/>
    <col min="15903" max="15903" width="5.85546875" style="3" customWidth="1"/>
    <col min="15904" max="15905" width="4.42578125" style="3" customWidth="1"/>
    <col min="15906" max="15906" width="5" style="3" customWidth="1"/>
    <col min="15907" max="15907" width="5.85546875" style="3" customWidth="1"/>
    <col min="15908" max="15908" width="6.140625" style="3" customWidth="1"/>
    <col min="15909" max="15909" width="6.28515625" style="3" customWidth="1"/>
    <col min="15910" max="15910" width="4.85546875" style="3" customWidth="1"/>
    <col min="15911" max="15911" width="8.140625" style="3" customWidth="1"/>
    <col min="15912" max="15912" width="11.5703125" style="3" customWidth="1"/>
    <col min="15913" max="15913" width="13.7109375" style="3" customWidth="1"/>
    <col min="15914" max="15914" width="20.85546875" style="3" customWidth="1"/>
    <col min="15915" max="16127" width="11.42578125" style="3"/>
    <col min="16128" max="16128" width="13.140625" style="3" customWidth="1"/>
    <col min="16129" max="16129" width="4" style="3" customWidth="1"/>
    <col min="16130" max="16130" width="12.85546875" style="3" customWidth="1"/>
    <col min="16131" max="16131" width="14.7109375" style="3" customWidth="1"/>
    <col min="16132" max="16132" width="10" style="3" customWidth="1"/>
    <col min="16133" max="16133" width="6.28515625" style="3" customWidth="1"/>
    <col min="16134" max="16134" width="12.28515625" style="3" customWidth="1"/>
    <col min="16135" max="16135" width="8.5703125" style="3" customWidth="1"/>
    <col min="16136" max="16136" width="13.7109375" style="3" customWidth="1"/>
    <col min="16137" max="16137" width="11.5703125" style="3" customWidth="1"/>
    <col min="16138" max="16138" width="24.7109375" style="3" customWidth="1"/>
    <col min="16139" max="16139" width="17.42578125" style="3" customWidth="1"/>
    <col min="16140" max="16140" width="20.85546875" style="3" customWidth="1"/>
    <col min="16141" max="16141" width="26.85546875" style="3" customWidth="1"/>
    <col min="16142" max="16142" width="8" style="3" customWidth="1"/>
    <col min="16143" max="16143" width="25" style="3" customWidth="1"/>
    <col min="16144" max="16144" width="12.7109375" style="3" customWidth="1"/>
    <col min="16145" max="16145" width="16.42578125" style="3" customWidth="1"/>
    <col min="16146" max="16146" width="23.5703125" style="3" customWidth="1"/>
    <col min="16147" max="16147" width="33.7109375" style="3" customWidth="1"/>
    <col min="16148" max="16148" width="31.140625" style="3" customWidth="1"/>
    <col min="16149" max="16149" width="19.28515625" style="3" customWidth="1"/>
    <col min="16150" max="16150" width="11.7109375" style="3" customWidth="1"/>
    <col min="16151" max="16151" width="15.42578125" style="3" customWidth="1"/>
    <col min="16152" max="16152" width="5.5703125" style="3" customWidth="1"/>
    <col min="16153" max="16153" width="4.7109375" style="3" customWidth="1"/>
    <col min="16154" max="16155" width="7.28515625" style="3" customWidth="1"/>
    <col min="16156" max="16156" width="8.42578125" style="3" customWidth="1"/>
    <col min="16157" max="16157" width="9.5703125" style="3" customWidth="1"/>
    <col min="16158" max="16158" width="6.28515625" style="3" customWidth="1"/>
    <col min="16159" max="16159" width="5.85546875" style="3" customWidth="1"/>
    <col min="16160" max="16161" width="4.42578125" style="3" customWidth="1"/>
    <col min="16162" max="16162" width="5" style="3" customWidth="1"/>
    <col min="16163" max="16163" width="5.85546875" style="3" customWidth="1"/>
    <col min="16164" max="16164" width="6.140625" style="3" customWidth="1"/>
    <col min="16165" max="16165" width="6.28515625" style="3" customWidth="1"/>
    <col min="16166" max="16166" width="4.85546875" style="3" customWidth="1"/>
    <col min="16167" max="16167" width="8.140625" style="3" customWidth="1"/>
    <col min="16168" max="16168" width="11.5703125" style="3" customWidth="1"/>
    <col min="16169" max="16169" width="13.7109375" style="3" customWidth="1"/>
    <col min="16170" max="16170" width="20.85546875" style="3" customWidth="1"/>
    <col min="16171" max="16384" width="11.42578125" style="3"/>
  </cols>
  <sheetData>
    <row r="1" spans="1:62" x14ac:dyDescent="0.2">
      <c r="A1" s="2734" t="s">
        <v>1767</v>
      </c>
      <c r="B1" s="2735"/>
      <c r="C1" s="2735"/>
      <c r="D1" s="2735"/>
      <c r="E1" s="2735"/>
      <c r="F1" s="2735"/>
      <c r="G1" s="2735"/>
      <c r="H1" s="2735"/>
      <c r="I1" s="2735"/>
      <c r="J1" s="2735"/>
      <c r="K1" s="2735"/>
      <c r="L1" s="2735"/>
      <c r="M1" s="2735"/>
      <c r="N1" s="2735"/>
      <c r="O1" s="2735"/>
      <c r="P1" s="2735"/>
      <c r="Q1" s="2735"/>
      <c r="R1" s="2735"/>
      <c r="S1" s="2735"/>
      <c r="T1" s="2735"/>
      <c r="U1" s="2735"/>
      <c r="V1" s="2735"/>
      <c r="W1" s="2735"/>
      <c r="X1" s="2735"/>
      <c r="Y1" s="2735"/>
      <c r="Z1" s="2735"/>
      <c r="AA1" s="2735"/>
      <c r="AB1" s="2735"/>
      <c r="AC1" s="2735"/>
      <c r="AD1" s="2735"/>
      <c r="AE1" s="2735"/>
      <c r="AF1" s="2735"/>
      <c r="AG1" s="2735"/>
      <c r="AH1" s="2735"/>
      <c r="AI1" s="2735"/>
      <c r="AJ1" s="2735"/>
      <c r="AK1" s="2735"/>
      <c r="AL1" s="2735"/>
      <c r="AM1" s="2735"/>
      <c r="AN1" s="2735"/>
      <c r="AO1" s="2735"/>
      <c r="AP1" s="3190"/>
      <c r="AQ1" s="446" t="s">
        <v>1</v>
      </c>
    </row>
    <row r="2" spans="1:62" x14ac:dyDescent="0.2">
      <c r="A2" s="2736"/>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2678"/>
      <c r="AO2" s="2678"/>
      <c r="AP2" s="3191"/>
      <c r="AQ2" s="447">
        <v>6</v>
      </c>
    </row>
    <row r="3" spans="1:62" x14ac:dyDescent="0.2">
      <c r="A3" s="2736"/>
      <c r="B3" s="2678"/>
      <c r="C3" s="2678"/>
      <c r="D3" s="2678"/>
      <c r="E3" s="2678"/>
      <c r="F3" s="2678"/>
      <c r="G3" s="2678"/>
      <c r="H3" s="2678"/>
      <c r="I3" s="2678"/>
      <c r="J3" s="2678"/>
      <c r="K3" s="2678"/>
      <c r="L3" s="2678"/>
      <c r="M3" s="2678"/>
      <c r="N3" s="2678"/>
      <c r="O3" s="2678"/>
      <c r="P3" s="2678"/>
      <c r="Q3" s="2678"/>
      <c r="R3" s="2678"/>
      <c r="S3" s="2678"/>
      <c r="T3" s="2678"/>
      <c r="U3" s="2678"/>
      <c r="V3" s="2678"/>
      <c r="W3" s="2678"/>
      <c r="X3" s="2678"/>
      <c r="Y3" s="2678"/>
      <c r="Z3" s="2678"/>
      <c r="AA3" s="2678"/>
      <c r="AB3" s="2678"/>
      <c r="AC3" s="2678"/>
      <c r="AD3" s="2678"/>
      <c r="AE3" s="2678"/>
      <c r="AF3" s="2678"/>
      <c r="AG3" s="2678"/>
      <c r="AH3" s="2678"/>
      <c r="AI3" s="2678"/>
      <c r="AJ3" s="2678"/>
      <c r="AK3" s="2678"/>
      <c r="AL3" s="2678"/>
      <c r="AM3" s="2678"/>
      <c r="AN3" s="2678"/>
      <c r="AO3" s="2678"/>
      <c r="AP3" s="3191"/>
      <c r="AQ3" s="448" t="s">
        <v>5</v>
      </c>
    </row>
    <row r="4" spans="1:62" s="10" customFormat="1" x14ac:dyDescent="0.2">
      <c r="A4" s="2737"/>
      <c r="B4" s="2679"/>
      <c r="C4" s="2679"/>
      <c r="D4" s="2679"/>
      <c r="E4" s="2679"/>
      <c r="F4" s="2679"/>
      <c r="G4" s="2679"/>
      <c r="H4" s="2679"/>
      <c r="I4" s="2679"/>
      <c r="J4" s="2679"/>
      <c r="K4" s="2679"/>
      <c r="L4" s="2679"/>
      <c r="M4" s="2679"/>
      <c r="N4" s="2679"/>
      <c r="O4" s="2679"/>
      <c r="P4" s="2679"/>
      <c r="Q4" s="2679"/>
      <c r="R4" s="2679"/>
      <c r="S4" s="2679"/>
      <c r="T4" s="2679"/>
      <c r="U4" s="2679"/>
      <c r="V4" s="2679"/>
      <c r="W4" s="2679"/>
      <c r="X4" s="2679"/>
      <c r="Y4" s="2679"/>
      <c r="Z4" s="2679"/>
      <c r="AA4" s="2679"/>
      <c r="AB4" s="2679"/>
      <c r="AC4" s="2679"/>
      <c r="AD4" s="2679"/>
      <c r="AE4" s="2679"/>
      <c r="AF4" s="2679"/>
      <c r="AG4" s="2679"/>
      <c r="AH4" s="2679"/>
      <c r="AI4" s="2679"/>
      <c r="AJ4" s="2679"/>
      <c r="AK4" s="2679"/>
      <c r="AL4" s="2679"/>
      <c r="AM4" s="2679"/>
      <c r="AN4" s="2679"/>
      <c r="AO4" s="2679"/>
      <c r="AP4" s="3192"/>
      <c r="AQ4" s="449" t="s">
        <v>534</v>
      </c>
    </row>
    <row r="5" spans="1:62" ht="15.75" x14ac:dyDescent="0.2">
      <c r="A5" s="2738" t="s">
        <v>8</v>
      </c>
      <c r="B5" s="2680"/>
      <c r="C5" s="2680"/>
      <c r="D5" s="2680"/>
      <c r="E5" s="2680"/>
      <c r="F5" s="2680"/>
      <c r="G5" s="2680"/>
      <c r="H5" s="2680"/>
      <c r="I5" s="2680"/>
      <c r="J5" s="2680"/>
      <c r="K5" s="2680"/>
      <c r="L5" s="2680"/>
      <c r="M5" s="2680"/>
      <c r="N5" s="2681" t="s">
        <v>9</v>
      </c>
      <c r="O5" s="2681"/>
      <c r="P5" s="2681"/>
      <c r="Q5" s="2681"/>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c r="AP5" s="2681"/>
      <c r="AQ5" s="2741"/>
      <c r="AR5" s="131"/>
      <c r="AS5" s="131"/>
      <c r="AT5" s="131"/>
      <c r="AU5" s="131"/>
      <c r="AV5" s="131"/>
      <c r="AW5" s="131"/>
      <c r="AX5" s="131"/>
      <c r="AY5" s="131"/>
      <c r="AZ5" s="131"/>
      <c r="BA5" s="131"/>
      <c r="BB5" s="131"/>
      <c r="BC5" s="131"/>
      <c r="BD5" s="131"/>
      <c r="BE5" s="131"/>
      <c r="BF5" s="131"/>
      <c r="BG5" s="131"/>
      <c r="BH5" s="131"/>
      <c r="BI5" s="131"/>
      <c r="BJ5" s="131"/>
    </row>
    <row r="6" spans="1:62" ht="15.75" x14ac:dyDescent="0.2">
      <c r="A6" s="2739"/>
      <c r="B6" s="2740"/>
      <c r="C6" s="2740"/>
      <c r="D6" s="2740"/>
      <c r="E6" s="2740"/>
      <c r="F6" s="2740"/>
      <c r="G6" s="2740"/>
      <c r="H6" s="2740"/>
      <c r="I6" s="2740"/>
      <c r="J6" s="2740"/>
      <c r="K6" s="2740"/>
      <c r="L6" s="2740"/>
      <c r="M6" s="2740"/>
      <c r="N6" s="450"/>
      <c r="O6" s="350"/>
      <c r="P6" s="267"/>
      <c r="Q6" s="270"/>
      <c r="R6" s="451"/>
      <c r="S6" s="267"/>
      <c r="T6" s="267"/>
      <c r="U6" s="267"/>
      <c r="V6" s="270"/>
      <c r="W6" s="270"/>
      <c r="X6" s="270"/>
      <c r="Y6" s="2742" t="s">
        <v>10</v>
      </c>
      <c r="Z6" s="2740"/>
      <c r="AA6" s="2740"/>
      <c r="AB6" s="2740"/>
      <c r="AC6" s="2740"/>
      <c r="AD6" s="2740"/>
      <c r="AE6" s="2740"/>
      <c r="AF6" s="2740"/>
      <c r="AG6" s="2740"/>
      <c r="AH6" s="2740"/>
      <c r="AI6" s="2740"/>
      <c r="AJ6" s="2740"/>
      <c r="AK6" s="2740"/>
      <c r="AL6" s="2740"/>
      <c r="AM6" s="2740"/>
      <c r="AN6" s="452"/>
      <c r="AO6" s="453"/>
      <c r="AP6" s="453"/>
      <c r="AQ6" s="454"/>
      <c r="AR6" s="131"/>
      <c r="AS6" s="131"/>
      <c r="AT6" s="131"/>
      <c r="AU6" s="131"/>
      <c r="AV6" s="131"/>
      <c r="AW6" s="131"/>
      <c r="AX6" s="131"/>
      <c r="AY6" s="131"/>
      <c r="AZ6" s="131"/>
      <c r="BA6" s="131"/>
      <c r="BB6" s="131"/>
      <c r="BC6" s="131"/>
      <c r="BD6" s="131"/>
      <c r="BE6" s="131"/>
      <c r="BF6" s="131"/>
      <c r="BG6" s="131"/>
      <c r="BH6" s="131"/>
      <c r="BI6" s="131"/>
      <c r="BJ6" s="131"/>
    </row>
    <row r="7" spans="1:62" s="1931" customFormat="1" ht="15.75" x14ac:dyDescent="0.2">
      <c r="A7" s="2744" t="s">
        <v>11</v>
      </c>
      <c r="B7" s="2684" t="s">
        <v>12</v>
      </c>
      <c r="C7" s="2685"/>
      <c r="D7" s="2685" t="s">
        <v>11</v>
      </c>
      <c r="E7" s="2684" t="s">
        <v>13</v>
      </c>
      <c r="F7" s="2685"/>
      <c r="G7" s="2685" t="s">
        <v>11</v>
      </c>
      <c r="H7" s="2684" t="s">
        <v>14</v>
      </c>
      <c r="I7" s="2685"/>
      <c r="J7" s="2685" t="s">
        <v>11</v>
      </c>
      <c r="K7" s="2684" t="s">
        <v>15</v>
      </c>
      <c r="L7" s="2688" t="s">
        <v>16</v>
      </c>
      <c r="M7" s="2688" t="s">
        <v>631</v>
      </c>
      <c r="N7" s="2688" t="s">
        <v>18</v>
      </c>
      <c r="O7" s="2688" t="s">
        <v>19</v>
      </c>
      <c r="P7" s="2688" t="s">
        <v>9</v>
      </c>
      <c r="Q7" s="2752" t="s">
        <v>20</v>
      </c>
      <c r="R7" s="3240" t="s">
        <v>21</v>
      </c>
      <c r="S7" s="2684" t="s">
        <v>22</v>
      </c>
      <c r="T7" s="2684" t="s">
        <v>23</v>
      </c>
      <c r="U7" s="2688" t="s">
        <v>24</v>
      </c>
      <c r="V7" s="3236" t="s">
        <v>21</v>
      </c>
      <c r="W7" s="2682" t="s">
        <v>11</v>
      </c>
      <c r="X7" s="2688" t="s">
        <v>25</v>
      </c>
      <c r="Y7" s="3239" t="s">
        <v>26</v>
      </c>
      <c r="Z7" s="3239"/>
      <c r="AA7" s="2699" t="s">
        <v>27</v>
      </c>
      <c r="AB7" s="2699"/>
      <c r="AC7" s="2699"/>
      <c r="AD7" s="2699"/>
      <c r="AE7" s="2700" t="s">
        <v>28</v>
      </c>
      <c r="AF7" s="2701"/>
      <c r="AG7" s="2701"/>
      <c r="AH7" s="2701"/>
      <c r="AI7" s="2701"/>
      <c r="AJ7" s="2701"/>
      <c r="AK7" s="2698" t="s">
        <v>29</v>
      </c>
      <c r="AL7" s="2699"/>
      <c r="AM7" s="2699"/>
      <c r="AN7" s="2746" t="s">
        <v>30</v>
      </c>
      <c r="AO7" s="2748" t="s">
        <v>31</v>
      </c>
      <c r="AP7" s="2748" t="s">
        <v>32</v>
      </c>
      <c r="AQ7" s="3216" t="s">
        <v>33</v>
      </c>
      <c r="AR7" s="1928"/>
      <c r="AS7" s="1928"/>
      <c r="AT7" s="1928"/>
      <c r="AU7" s="1928"/>
      <c r="AV7" s="1928"/>
      <c r="AW7" s="1928"/>
      <c r="AX7" s="1928"/>
      <c r="AY7" s="1928"/>
      <c r="AZ7" s="1928"/>
      <c r="BA7" s="1928"/>
      <c r="BB7" s="1928"/>
      <c r="BC7" s="1928"/>
      <c r="BD7" s="1928"/>
      <c r="BE7" s="1928"/>
      <c r="BF7" s="1928"/>
      <c r="BG7" s="1928"/>
      <c r="BH7" s="1928"/>
      <c r="BI7" s="1928"/>
      <c r="BJ7" s="1928"/>
    </row>
    <row r="8" spans="1:62" s="1931" customFormat="1" ht="131.25" x14ac:dyDescent="0.2">
      <c r="A8" s="2745"/>
      <c r="B8" s="2686"/>
      <c r="C8" s="2687"/>
      <c r="D8" s="2687"/>
      <c r="E8" s="2686"/>
      <c r="F8" s="2687"/>
      <c r="G8" s="2687"/>
      <c r="H8" s="2686"/>
      <c r="I8" s="2687"/>
      <c r="J8" s="2687"/>
      <c r="K8" s="2686"/>
      <c r="L8" s="2689"/>
      <c r="M8" s="2689"/>
      <c r="N8" s="2689"/>
      <c r="O8" s="2689"/>
      <c r="P8" s="2689"/>
      <c r="Q8" s="2753"/>
      <c r="R8" s="3241"/>
      <c r="S8" s="2686"/>
      <c r="T8" s="2686"/>
      <c r="U8" s="2689"/>
      <c r="V8" s="3237"/>
      <c r="W8" s="2683"/>
      <c r="X8" s="2689"/>
      <c r="Y8" s="134" t="s">
        <v>34</v>
      </c>
      <c r="Z8" s="134" t="s">
        <v>35</v>
      </c>
      <c r="AA8" s="134" t="s">
        <v>36</v>
      </c>
      <c r="AB8" s="134" t="s">
        <v>115</v>
      </c>
      <c r="AC8" s="455" t="s">
        <v>384</v>
      </c>
      <c r="AD8" s="134" t="s">
        <v>117</v>
      </c>
      <c r="AE8" s="134" t="s">
        <v>40</v>
      </c>
      <c r="AF8" s="134" t="s">
        <v>41</v>
      </c>
      <c r="AG8" s="134" t="s">
        <v>42</v>
      </c>
      <c r="AH8" s="134" t="s">
        <v>43</v>
      </c>
      <c r="AI8" s="134" t="s">
        <v>44</v>
      </c>
      <c r="AJ8" s="134" t="s">
        <v>45</v>
      </c>
      <c r="AK8" s="134" t="s">
        <v>46</v>
      </c>
      <c r="AL8" s="134" t="s">
        <v>47</v>
      </c>
      <c r="AM8" s="134" t="s">
        <v>48</v>
      </c>
      <c r="AN8" s="2747"/>
      <c r="AO8" s="2748"/>
      <c r="AP8" s="2748"/>
      <c r="AQ8" s="3217"/>
      <c r="AR8" s="1928"/>
      <c r="AS8" s="1928"/>
      <c r="AT8" s="1928"/>
      <c r="AU8" s="1928"/>
      <c r="AV8" s="1928"/>
      <c r="AW8" s="1928"/>
      <c r="AX8" s="1928"/>
      <c r="AY8" s="1928"/>
      <c r="AZ8" s="1928"/>
      <c r="BA8" s="1928"/>
      <c r="BB8" s="1928"/>
      <c r="BC8" s="1928"/>
      <c r="BD8" s="1928"/>
      <c r="BE8" s="1928"/>
      <c r="BF8" s="1928"/>
      <c r="BG8" s="1928"/>
      <c r="BH8" s="1928"/>
      <c r="BI8" s="1928"/>
      <c r="BJ8" s="1928"/>
    </row>
    <row r="9" spans="1:62" s="1931" customFormat="1" ht="42.75" customHeight="1" x14ac:dyDescent="0.2">
      <c r="A9" s="2745"/>
      <c r="B9" s="2686"/>
      <c r="C9" s="2687"/>
      <c r="D9" s="2687"/>
      <c r="E9" s="2686"/>
      <c r="F9" s="2687"/>
      <c r="G9" s="2687"/>
      <c r="H9" s="2686"/>
      <c r="I9" s="2687"/>
      <c r="J9" s="2687"/>
      <c r="K9" s="2686"/>
      <c r="L9" s="2689"/>
      <c r="M9" s="2726"/>
      <c r="N9" s="2689"/>
      <c r="O9" s="2689"/>
      <c r="P9" s="2689"/>
      <c r="Q9" s="2753"/>
      <c r="R9" s="3241"/>
      <c r="S9" s="2686"/>
      <c r="T9" s="2686"/>
      <c r="U9" s="2689"/>
      <c r="V9" s="1513" t="s">
        <v>632</v>
      </c>
      <c r="W9" s="3238"/>
      <c r="X9" s="2689"/>
      <c r="Y9" s="456" t="s">
        <v>633</v>
      </c>
      <c r="Z9" s="456" t="s">
        <v>633</v>
      </c>
      <c r="AA9" s="1914" t="s">
        <v>633</v>
      </c>
      <c r="AB9" s="1914" t="s">
        <v>633</v>
      </c>
      <c r="AC9" s="1914" t="s">
        <v>633</v>
      </c>
      <c r="AD9" s="1914" t="s">
        <v>633</v>
      </c>
      <c r="AE9" s="1914" t="s">
        <v>633</v>
      </c>
      <c r="AF9" s="1914" t="s">
        <v>633</v>
      </c>
      <c r="AG9" s="1914" t="s">
        <v>633</v>
      </c>
      <c r="AH9" s="1914" t="s">
        <v>633</v>
      </c>
      <c r="AI9" s="1914" t="s">
        <v>633</v>
      </c>
      <c r="AJ9" s="1914" t="s">
        <v>633</v>
      </c>
      <c r="AK9" s="1914" t="s">
        <v>633</v>
      </c>
      <c r="AL9" s="1914" t="s">
        <v>633</v>
      </c>
      <c r="AM9" s="1914" t="s">
        <v>633</v>
      </c>
      <c r="AN9" s="457" t="s">
        <v>633</v>
      </c>
      <c r="AO9" s="458" t="s">
        <v>633</v>
      </c>
      <c r="AP9" s="458" t="s">
        <v>633</v>
      </c>
      <c r="AQ9" s="3217"/>
      <c r="AR9" s="1928"/>
      <c r="AS9" s="1928"/>
      <c r="AT9" s="1928"/>
      <c r="AU9" s="1928"/>
      <c r="AV9" s="1928"/>
      <c r="AW9" s="1928"/>
      <c r="AX9" s="1928"/>
      <c r="AY9" s="1928"/>
      <c r="AZ9" s="1928"/>
      <c r="BA9" s="1928"/>
      <c r="BB9" s="1928"/>
      <c r="BC9" s="1928"/>
      <c r="BD9" s="1928"/>
      <c r="BE9" s="1928"/>
      <c r="BF9" s="1928"/>
      <c r="BG9" s="1928"/>
      <c r="BH9" s="1928"/>
      <c r="BI9" s="1928"/>
      <c r="BJ9" s="1928"/>
    </row>
    <row r="10" spans="1:62" ht="15.75" x14ac:dyDescent="0.2">
      <c r="A10" s="459">
        <v>2</v>
      </c>
      <c r="B10" s="146"/>
      <c r="C10" s="146" t="s">
        <v>634</v>
      </c>
      <c r="D10" s="1915"/>
      <c r="E10" s="146"/>
      <c r="F10" s="146"/>
      <c r="G10" s="146"/>
      <c r="H10" s="146"/>
      <c r="I10" s="146"/>
      <c r="J10" s="146"/>
      <c r="K10" s="140"/>
      <c r="L10" s="140"/>
      <c r="M10" s="146"/>
      <c r="N10" s="146"/>
      <c r="O10" s="460"/>
      <c r="P10" s="140"/>
      <c r="Q10" s="274"/>
      <c r="R10" s="461"/>
      <c r="S10" s="140"/>
      <c r="T10" s="140"/>
      <c r="U10" s="140"/>
      <c r="V10" s="143"/>
      <c r="W10" s="145"/>
      <c r="X10" s="141"/>
      <c r="Y10" s="462"/>
      <c r="Z10" s="462"/>
      <c r="AA10" s="146"/>
      <c r="AB10" s="146"/>
      <c r="AC10" s="146"/>
      <c r="AD10" s="146"/>
      <c r="AE10" s="146"/>
      <c r="AF10" s="146"/>
      <c r="AG10" s="146"/>
      <c r="AH10" s="146"/>
      <c r="AI10" s="146"/>
      <c r="AJ10" s="146"/>
      <c r="AK10" s="146"/>
      <c r="AL10" s="146"/>
      <c r="AM10" s="146"/>
      <c r="AN10" s="463"/>
      <c r="AO10" s="464"/>
      <c r="AP10" s="464"/>
      <c r="AQ10" s="465"/>
      <c r="AR10" s="131"/>
      <c r="AS10" s="131"/>
      <c r="AT10" s="131"/>
      <c r="AU10" s="131"/>
      <c r="AV10" s="131"/>
      <c r="AW10" s="131"/>
      <c r="AX10" s="131"/>
      <c r="AY10" s="131"/>
      <c r="AZ10" s="131"/>
      <c r="BA10" s="131"/>
      <c r="BB10" s="131"/>
      <c r="BC10" s="131"/>
      <c r="BD10" s="131"/>
      <c r="BE10" s="131"/>
      <c r="BF10" s="131"/>
      <c r="BG10" s="131"/>
      <c r="BH10" s="131"/>
      <c r="BI10" s="131"/>
      <c r="BJ10" s="131"/>
    </row>
    <row r="11" spans="1:62" s="131" customFormat="1" ht="15.75" x14ac:dyDescent="0.2">
      <c r="A11" s="3218"/>
      <c r="B11" s="3219"/>
      <c r="C11" s="3220"/>
      <c r="D11" s="466">
        <v>2</v>
      </c>
      <c r="E11" s="467" t="s">
        <v>635</v>
      </c>
      <c r="F11" s="467"/>
      <c r="G11" s="467"/>
      <c r="H11" s="467"/>
      <c r="I11" s="467"/>
      <c r="J11" s="159"/>
      <c r="K11" s="153"/>
      <c r="L11" s="153"/>
      <c r="M11" s="159"/>
      <c r="N11" s="159"/>
      <c r="O11" s="468"/>
      <c r="P11" s="153"/>
      <c r="Q11" s="281"/>
      <c r="R11" s="469"/>
      <c r="S11" s="153"/>
      <c r="T11" s="153"/>
      <c r="U11" s="153"/>
      <c r="V11" s="156"/>
      <c r="W11" s="158"/>
      <c r="X11" s="154"/>
      <c r="Y11" s="470"/>
      <c r="Z11" s="470"/>
      <c r="AA11" s="159"/>
      <c r="AB11" s="159"/>
      <c r="AC11" s="159"/>
      <c r="AD11" s="159"/>
      <c r="AE11" s="159"/>
      <c r="AF11" s="159"/>
      <c r="AG11" s="159"/>
      <c r="AH11" s="159"/>
      <c r="AI11" s="159"/>
      <c r="AJ11" s="159"/>
      <c r="AK11" s="159"/>
      <c r="AL11" s="159"/>
      <c r="AM11" s="159"/>
      <c r="AN11" s="471"/>
      <c r="AO11" s="472"/>
      <c r="AP11" s="472"/>
      <c r="AQ11" s="473"/>
    </row>
    <row r="12" spans="1:62" s="131" customFormat="1" ht="15.75" x14ac:dyDescent="0.2">
      <c r="A12" s="3221"/>
      <c r="B12" s="3222"/>
      <c r="C12" s="3223"/>
      <c r="D12" s="3224"/>
      <c r="E12" s="3224"/>
      <c r="F12" s="3225"/>
      <c r="G12" s="474">
        <v>8</v>
      </c>
      <c r="H12" s="475" t="s">
        <v>636</v>
      </c>
      <c r="I12" s="475"/>
      <c r="J12" s="172"/>
      <c r="K12" s="166"/>
      <c r="L12" s="166"/>
      <c r="M12" s="172"/>
      <c r="N12" s="292"/>
      <c r="O12" s="184"/>
      <c r="P12" s="166"/>
      <c r="Q12" s="476"/>
      <c r="R12" s="477"/>
      <c r="S12" s="166"/>
      <c r="T12" s="166"/>
      <c r="U12" s="166"/>
      <c r="V12" s="203"/>
      <c r="W12" s="171"/>
      <c r="X12" s="167"/>
      <c r="Y12" s="478"/>
      <c r="Z12" s="478"/>
      <c r="AA12" s="172"/>
      <c r="AB12" s="172"/>
      <c r="AC12" s="172"/>
      <c r="AD12" s="172"/>
      <c r="AE12" s="172"/>
      <c r="AF12" s="172"/>
      <c r="AG12" s="172"/>
      <c r="AH12" s="172"/>
      <c r="AI12" s="172"/>
      <c r="AJ12" s="172"/>
      <c r="AK12" s="172"/>
      <c r="AL12" s="172"/>
      <c r="AM12" s="172"/>
      <c r="AN12" s="479"/>
      <c r="AO12" s="480"/>
      <c r="AP12" s="480"/>
      <c r="AQ12" s="481"/>
    </row>
    <row r="13" spans="1:62" s="131" customFormat="1" ht="52.5" customHeight="1" x14ac:dyDescent="0.2">
      <c r="A13" s="3221"/>
      <c r="B13" s="3222"/>
      <c r="C13" s="3223"/>
      <c r="D13" s="3226"/>
      <c r="E13" s="3226"/>
      <c r="F13" s="3227"/>
      <c r="G13" s="3228"/>
      <c r="H13" s="3228"/>
      <c r="I13" s="3229"/>
      <c r="J13" s="3233">
        <v>38</v>
      </c>
      <c r="K13" s="3235" t="s">
        <v>637</v>
      </c>
      <c r="L13" s="3235" t="s">
        <v>638</v>
      </c>
      <c r="M13" s="2811">
        <v>4</v>
      </c>
      <c r="N13" s="2823" t="s">
        <v>639</v>
      </c>
      <c r="O13" s="3229" t="s">
        <v>640</v>
      </c>
      <c r="P13" s="3235" t="s">
        <v>641</v>
      </c>
      <c r="Q13" s="3249">
        <f>SUM(V13:V16)/R13</f>
        <v>0.66764214046822745</v>
      </c>
      <c r="R13" s="3255">
        <f>SUM(V13:V21)</f>
        <v>119600000</v>
      </c>
      <c r="S13" s="3235" t="s">
        <v>642</v>
      </c>
      <c r="T13" s="2821" t="s">
        <v>643</v>
      </c>
      <c r="U13" s="3243" t="s">
        <v>644</v>
      </c>
      <c r="V13" s="1941">
        <v>16425000</v>
      </c>
      <c r="W13" s="1929">
        <v>20</v>
      </c>
      <c r="X13" s="1919" t="s">
        <v>645</v>
      </c>
      <c r="Y13" s="3245">
        <v>294321</v>
      </c>
      <c r="Z13" s="3245">
        <v>283947</v>
      </c>
      <c r="AA13" s="3245">
        <v>135754</v>
      </c>
      <c r="AB13" s="3245">
        <v>44640</v>
      </c>
      <c r="AC13" s="3245">
        <v>308178</v>
      </c>
      <c r="AD13" s="3245">
        <v>89696</v>
      </c>
      <c r="AE13" s="3272"/>
      <c r="AF13" s="1924"/>
      <c r="AG13" s="1924"/>
      <c r="AH13" s="1924"/>
      <c r="AI13" s="1924"/>
      <c r="AJ13" s="1924"/>
      <c r="AK13" s="1924"/>
      <c r="AL13" s="1924"/>
      <c r="AM13" s="1924"/>
      <c r="AN13" s="3275">
        <f>Y13+Z13</f>
        <v>578268</v>
      </c>
      <c r="AO13" s="3257">
        <v>43467</v>
      </c>
      <c r="AP13" s="3257">
        <v>43830</v>
      </c>
      <c r="AQ13" s="3260" t="s">
        <v>646</v>
      </c>
    </row>
    <row r="14" spans="1:62" s="131" customFormat="1" ht="54" customHeight="1" x14ac:dyDescent="0.2">
      <c r="A14" s="3221"/>
      <c r="B14" s="3222"/>
      <c r="C14" s="3223"/>
      <c r="D14" s="3226"/>
      <c r="E14" s="3226"/>
      <c r="F14" s="3227"/>
      <c r="G14" s="2756"/>
      <c r="H14" s="2756"/>
      <c r="I14" s="3230"/>
      <c r="J14" s="3234"/>
      <c r="K14" s="2845"/>
      <c r="L14" s="2845"/>
      <c r="M14" s="2811"/>
      <c r="N14" s="2824"/>
      <c r="O14" s="3230"/>
      <c r="P14" s="2845"/>
      <c r="Q14" s="3250"/>
      <c r="R14" s="3256"/>
      <c r="S14" s="2845"/>
      <c r="T14" s="3242"/>
      <c r="U14" s="3244"/>
      <c r="V14" s="1719">
        <f>0+60000000</f>
        <v>60000000</v>
      </c>
      <c r="W14" s="1930">
        <v>88</v>
      </c>
      <c r="X14" s="1920" t="s">
        <v>647</v>
      </c>
      <c r="Y14" s="3246"/>
      <c r="Z14" s="3247"/>
      <c r="AA14" s="3247"/>
      <c r="AB14" s="3247"/>
      <c r="AC14" s="3247"/>
      <c r="AD14" s="3247"/>
      <c r="AE14" s="3273"/>
      <c r="AF14" s="1925"/>
      <c r="AG14" s="1925"/>
      <c r="AH14" s="1925"/>
      <c r="AI14" s="1925"/>
      <c r="AJ14" s="1925"/>
      <c r="AK14" s="1925"/>
      <c r="AL14" s="1925"/>
      <c r="AM14" s="1925"/>
      <c r="AN14" s="3276"/>
      <c r="AO14" s="3258"/>
      <c r="AP14" s="3258"/>
      <c r="AQ14" s="3261"/>
    </row>
    <row r="15" spans="1:62" s="131" customFormat="1" ht="42.75" customHeight="1" x14ac:dyDescent="0.2">
      <c r="A15" s="3221"/>
      <c r="B15" s="3222"/>
      <c r="C15" s="3223"/>
      <c r="D15" s="3226"/>
      <c r="E15" s="3226"/>
      <c r="F15" s="3227"/>
      <c r="G15" s="2756"/>
      <c r="H15" s="2756"/>
      <c r="I15" s="3230"/>
      <c r="J15" s="3234"/>
      <c r="K15" s="2845"/>
      <c r="L15" s="2845"/>
      <c r="M15" s="2811"/>
      <c r="N15" s="2824"/>
      <c r="O15" s="3230"/>
      <c r="P15" s="2845"/>
      <c r="Q15" s="3250"/>
      <c r="R15" s="3256"/>
      <c r="S15" s="2845"/>
      <c r="T15" s="3242"/>
      <c r="U15" s="3263" t="s">
        <v>648</v>
      </c>
      <c r="V15" s="3264">
        <v>3425000</v>
      </c>
      <c r="W15" s="3265">
        <v>20</v>
      </c>
      <c r="X15" s="3266" t="s">
        <v>645</v>
      </c>
      <c r="Y15" s="3247"/>
      <c r="Z15" s="3247"/>
      <c r="AA15" s="3247"/>
      <c r="AB15" s="3247"/>
      <c r="AC15" s="3247"/>
      <c r="AD15" s="3247"/>
      <c r="AE15" s="3273"/>
      <c r="AF15" s="1925"/>
      <c r="AG15" s="1925"/>
      <c r="AH15" s="1925"/>
      <c r="AI15" s="1925"/>
      <c r="AJ15" s="1925"/>
      <c r="AK15" s="1925"/>
      <c r="AL15" s="1925"/>
      <c r="AM15" s="1925"/>
      <c r="AN15" s="3276"/>
      <c r="AO15" s="3258"/>
      <c r="AP15" s="3258"/>
      <c r="AQ15" s="3261"/>
    </row>
    <row r="16" spans="1:62" s="131" customFormat="1" ht="42.75" customHeight="1" x14ac:dyDescent="0.2">
      <c r="A16" s="3221"/>
      <c r="B16" s="3222"/>
      <c r="C16" s="3223"/>
      <c r="D16" s="3226"/>
      <c r="E16" s="3226"/>
      <c r="F16" s="3227"/>
      <c r="G16" s="2756"/>
      <c r="H16" s="2756"/>
      <c r="I16" s="3230"/>
      <c r="J16" s="3234"/>
      <c r="K16" s="2845"/>
      <c r="L16" s="2845"/>
      <c r="M16" s="2811"/>
      <c r="N16" s="2824"/>
      <c r="O16" s="3230"/>
      <c r="P16" s="2845"/>
      <c r="Q16" s="3250"/>
      <c r="R16" s="3256"/>
      <c r="S16" s="2845"/>
      <c r="T16" s="3242"/>
      <c r="U16" s="3263"/>
      <c r="V16" s="3264"/>
      <c r="W16" s="3265"/>
      <c r="X16" s="3267"/>
      <c r="Y16" s="3247"/>
      <c r="Z16" s="3247"/>
      <c r="AA16" s="3247"/>
      <c r="AB16" s="3247"/>
      <c r="AC16" s="3247"/>
      <c r="AD16" s="3247"/>
      <c r="AE16" s="3273"/>
      <c r="AF16" s="1925"/>
      <c r="AG16" s="1925"/>
      <c r="AH16" s="1925"/>
      <c r="AI16" s="1925"/>
      <c r="AJ16" s="1925"/>
      <c r="AK16" s="1925"/>
      <c r="AL16" s="1925"/>
      <c r="AM16" s="1925"/>
      <c r="AN16" s="3276"/>
      <c r="AO16" s="3258"/>
      <c r="AP16" s="3258"/>
      <c r="AQ16" s="3261"/>
    </row>
    <row r="17" spans="1:43" ht="38.25" customHeight="1" x14ac:dyDescent="0.2">
      <c r="A17" s="3221"/>
      <c r="B17" s="3222"/>
      <c r="C17" s="3223"/>
      <c r="D17" s="3226"/>
      <c r="E17" s="3226"/>
      <c r="F17" s="3227"/>
      <c r="G17" s="2756"/>
      <c r="H17" s="2756"/>
      <c r="I17" s="2756"/>
      <c r="J17" s="2608">
        <v>39</v>
      </c>
      <c r="K17" s="3251" t="s">
        <v>649</v>
      </c>
      <c r="L17" s="3235" t="s">
        <v>650</v>
      </c>
      <c r="M17" s="3253">
        <v>3</v>
      </c>
      <c r="N17" s="2824"/>
      <c r="O17" s="3230"/>
      <c r="P17" s="2845"/>
      <c r="Q17" s="3249">
        <f>SUM(V17:V21)/R13</f>
        <v>0.33235785953177255</v>
      </c>
      <c r="R17" s="3256"/>
      <c r="S17" s="2845"/>
      <c r="T17" s="3242"/>
      <c r="U17" s="3243" t="s">
        <v>651</v>
      </c>
      <c r="V17" s="3268">
        <v>39750000</v>
      </c>
      <c r="W17" s="3270">
        <v>20</v>
      </c>
      <c r="X17" s="3271" t="s">
        <v>645</v>
      </c>
      <c r="Y17" s="3247"/>
      <c r="Z17" s="3247"/>
      <c r="AA17" s="3247"/>
      <c r="AB17" s="3247"/>
      <c r="AC17" s="3247"/>
      <c r="AD17" s="3247"/>
      <c r="AE17" s="3273"/>
      <c r="AF17" s="1925"/>
      <c r="AG17" s="1925"/>
      <c r="AH17" s="1925"/>
      <c r="AI17" s="1925"/>
      <c r="AJ17" s="1925"/>
      <c r="AK17" s="1925"/>
      <c r="AL17" s="1925"/>
      <c r="AM17" s="1925"/>
      <c r="AN17" s="3276"/>
      <c r="AO17" s="3258"/>
      <c r="AP17" s="3258"/>
      <c r="AQ17" s="3261"/>
    </row>
    <row r="18" spans="1:43" ht="38.25" customHeight="1" x14ac:dyDescent="0.2">
      <c r="A18" s="3221"/>
      <c r="B18" s="3222"/>
      <c r="C18" s="3223"/>
      <c r="D18" s="3226"/>
      <c r="E18" s="3226"/>
      <c r="F18" s="3227"/>
      <c r="G18" s="2756"/>
      <c r="H18" s="2756"/>
      <c r="I18" s="2756"/>
      <c r="J18" s="2608"/>
      <c r="K18" s="3252"/>
      <c r="L18" s="2845"/>
      <c r="M18" s="3253"/>
      <c r="N18" s="2824"/>
      <c r="O18" s="3230"/>
      <c r="P18" s="2845"/>
      <c r="Q18" s="3250"/>
      <c r="R18" s="3256"/>
      <c r="S18" s="2845"/>
      <c r="T18" s="3242"/>
      <c r="U18" s="3254"/>
      <c r="V18" s="3269"/>
      <c r="W18" s="3265"/>
      <c r="X18" s="3266"/>
      <c r="Y18" s="3247"/>
      <c r="Z18" s="3247"/>
      <c r="AA18" s="3247"/>
      <c r="AB18" s="3247"/>
      <c r="AC18" s="3247"/>
      <c r="AD18" s="3247"/>
      <c r="AE18" s="3273"/>
      <c r="AF18" s="1925"/>
      <c r="AG18" s="1925"/>
      <c r="AH18" s="1925"/>
      <c r="AI18" s="1925"/>
      <c r="AJ18" s="1925"/>
      <c r="AK18" s="1925"/>
      <c r="AL18" s="1925"/>
      <c r="AM18" s="1925"/>
      <c r="AN18" s="3276"/>
      <c r="AO18" s="3258"/>
      <c r="AP18" s="3258"/>
      <c r="AQ18" s="3261"/>
    </row>
    <row r="19" spans="1:43" ht="38.25" customHeight="1" x14ac:dyDescent="0.2">
      <c r="A19" s="3221"/>
      <c r="B19" s="3222"/>
      <c r="C19" s="3223"/>
      <c r="D19" s="3226"/>
      <c r="E19" s="3226"/>
      <c r="F19" s="3227"/>
      <c r="G19" s="2756"/>
      <c r="H19" s="2756"/>
      <c r="I19" s="2756"/>
      <c r="J19" s="2608"/>
      <c r="K19" s="3252"/>
      <c r="L19" s="2845"/>
      <c r="M19" s="3253"/>
      <c r="N19" s="2824"/>
      <c r="O19" s="3230"/>
      <c r="P19" s="2845"/>
      <c r="Q19" s="3250"/>
      <c r="R19" s="3256"/>
      <c r="S19" s="2845"/>
      <c r="T19" s="3242"/>
      <c r="U19" s="3254"/>
      <c r="V19" s="3269"/>
      <c r="W19" s="3265"/>
      <c r="X19" s="3266"/>
      <c r="Y19" s="3247"/>
      <c r="Z19" s="3247"/>
      <c r="AA19" s="3247"/>
      <c r="AB19" s="3247"/>
      <c r="AC19" s="3247"/>
      <c r="AD19" s="3247"/>
      <c r="AE19" s="3273"/>
      <c r="AF19" s="1925"/>
      <c r="AG19" s="1925"/>
      <c r="AH19" s="1925"/>
      <c r="AI19" s="1925"/>
      <c r="AJ19" s="1925"/>
      <c r="AK19" s="1925"/>
      <c r="AL19" s="1925"/>
      <c r="AM19" s="1925"/>
      <c r="AN19" s="3276"/>
      <c r="AO19" s="3258"/>
      <c r="AP19" s="3258"/>
      <c r="AQ19" s="3261"/>
    </row>
    <row r="20" spans="1:43" ht="38.25" customHeight="1" x14ac:dyDescent="0.2">
      <c r="A20" s="3221"/>
      <c r="B20" s="3222"/>
      <c r="C20" s="3223"/>
      <c r="D20" s="3226"/>
      <c r="E20" s="3226"/>
      <c r="F20" s="3227"/>
      <c r="G20" s="2756"/>
      <c r="H20" s="2756"/>
      <c r="I20" s="2756"/>
      <c r="J20" s="2608"/>
      <c r="K20" s="3252"/>
      <c r="L20" s="2845"/>
      <c r="M20" s="3253"/>
      <c r="N20" s="2824"/>
      <c r="O20" s="3230"/>
      <c r="P20" s="2845"/>
      <c r="Q20" s="3250"/>
      <c r="R20" s="3256"/>
      <c r="S20" s="2845"/>
      <c r="T20" s="3242"/>
      <c r="U20" s="3254"/>
      <c r="V20" s="3269"/>
      <c r="W20" s="3265"/>
      <c r="X20" s="3266"/>
      <c r="Y20" s="3247"/>
      <c r="Z20" s="3247"/>
      <c r="AA20" s="3247"/>
      <c r="AB20" s="3247"/>
      <c r="AC20" s="3247"/>
      <c r="AD20" s="3247"/>
      <c r="AE20" s="3273"/>
      <c r="AF20" s="1925"/>
      <c r="AG20" s="1925"/>
      <c r="AH20" s="1925"/>
      <c r="AI20" s="1925"/>
      <c r="AJ20" s="1925"/>
      <c r="AK20" s="1925"/>
      <c r="AL20" s="1925"/>
      <c r="AM20" s="1925"/>
      <c r="AN20" s="3276"/>
      <c r="AO20" s="3258"/>
      <c r="AP20" s="3258"/>
      <c r="AQ20" s="3261"/>
    </row>
    <row r="21" spans="1:43" ht="38.25" customHeight="1" x14ac:dyDescent="0.2">
      <c r="A21" s="3221"/>
      <c r="B21" s="3222"/>
      <c r="C21" s="3223"/>
      <c r="D21" s="3226"/>
      <c r="E21" s="3226"/>
      <c r="F21" s="3227"/>
      <c r="G21" s="2756"/>
      <c r="H21" s="2756"/>
      <c r="I21" s="2756"/>
      <c r="J21" s="2608"/>
      <c r="K21" s="3252"/>
      <c r="L21" s="2845"/>
      <c r="M21" s="3253"/>
      <c r="N21" s="2825"/>
      <c r="O21" s="3230"/>
      <c r="P21" s="2845"/>
      <c r="Q21" s="3250"/>
      <c r="R21" s="3256"/>
      <c r="S21" s="2845"/>
      <c r="T21" s="2822"/>
      <c r="U21" s="3244"/>
      <c r="V21" s="3269"/>
      <c r="W21" s="3265"/>
      <c r="X21" s="3266"/>
      <c r="Y21" s="3248"/>
      <c r="Z21" s="3248"/>
      <c r="AA21" s="3248"/>
      <c r="AB21" s="3248"/>
      <c r="AC21" s="3248"/>
      <c r="AD21" s="3248"/>
      <c r="AE21" s="3274"/>
      <c r="AF21" s="1926"/>
      <c r="AG21" s="1926"/>
      <c r="AH21" s="1926"/>
      <c r="AI21" s="1926"/>
      <c r="AJ21" s="1926"/>
      <c r="AK21" s="1926"/>
      <c r="AL21" s="1926"/>
      <c r="AM21" s="1926"/>
      <c r="AN21" s="3277"/>
      <c r="AO21" s="3259"/>
      <c r="AP21" s="3259"/>
      <c r="AQ21" s="3262"/>
    </row>
    <row r="22" spans="1:43" ht="48.75" customHeight="1" x14ac:dyDescent="0.2">
      <c r="A22" s="3221"/>
      <c r="B22" s="3222"/>
      <c r="C22" s="3223"/>
      <c r="D22" s="3226"/>
      <c r="E22" s="3226"/>
      <c r="F22" s="3227"/>
      <c r="G22" s="2756"/>
      <c r="H22" s="2756"/>
      <c r="I22" s="3230"/>
      <c r="J22" s="3234">
        <v>40</v>
      </c>
      <c r="K22" s="3235" t="s">
        <v>652</v>
      </c>
      <c r="L22" s="3235" t="s">
        <v>653</v>
      </c>
      <c r="M22" s="3278">
        <f>0.56+0.36</f>
        <v>0.92</v>
      </c>
      <c r="N22" s="1917"/>
      <c r="O22" s="2823" t="s">
        <v>654</v>
      </c>
      <c r="P22" s="3235" t="s">
        <v>655</v>
      </c>
      <c r="Q22" s="3249">
        <f>(V22+V23)/R22</f>
        <v>0.53959057551178058</v>
      </c>
      <c r="R22" s="3255">
        <f>SUM(V22:V30)</f>
        <v>129450000</v>
      </c>
      <c r="S22" s="3235" t="s">
        <v>656</v>
      </c>
      <c r="T22" s="2821" t="s">
        <v>657</v>
      </c>
      <c r="U22" s="3263" t="s">
        <v>658</v>
      </c>
      <c r="V22" s="1720">
        <v>19850000</v>
      </c>
      <c r="W22" s="1930">
        <v>20</v>
      </c>
      <c r="X22" s="1920" t="s">
        <v>645</v>
      </c>
      <c r="Y22" s="3280">
        <v>294321</v>
      </c>
      <c r="Z22" s="3275">
        <v>283947</v>
      </c>
      <c r="AA22" s="3275">
        <v>135754</v>
      </c>
      <c r="AB22" s="3275">
        <v>44640</v>
      </c>
      <c r="AC22" s="3275">
        <v>308178</v>
      </c>
      <c r="AD22" s="3290">
        <v>89696</v>
      </c>
      <c r="AE22" s="3292"/>
      <c r="AF22" s="1924"/>
      <c r="AG22" s="1924"/>
      <c r="AH22" s="1924"/>
      <c r="AI22" s="1924"/>
      <c r="AJ22" s="1924"/>
      <c r="AK22" s="1924"/>
      <c r="AL22" s="1924"/>
      <c r="AM22" s="1924"/>
      <c r="AN22" s="3275">
        <f>+Y22+Z22</f>
        <v>578268</v>
      </c>
      <c r="AO22" s="3257">
        <v>43467</v>
      </c>
      <c r="AP22" s="3257">
        <v>43830</v>
      </c>
      <c r="AQ22" s="3260" t="s">
        <v>646</v>
      </c>
    </row>
    <row r="23" spans="1:43" ht="48.75" customHeight="1" x14ac:dyDescent="0.2">
      <c r="A23" s="3221"/>
      <c r="B23" s="3222"/>
      <c r="C23" s="3223"/>
      <c r="D23" s="3226"/>
      <c r="E23" s="3226"/>
      <c r="F23" s="3227"/>
      <c r="G23" s="2756"/>
      <c r="H23" s="2756"/>
      <c r="I23" s="3230"/>
      <c r="J23" s="3234"/>
      <c r="K23" s="2845"/>
      <c r="L23" s="2845"/>
      <c r="M23" s="3279"/>
      <c r="N23" s="1917"/>
      <c r="O23" s="2824"/>
      <c r="P23" s="2845"/>
      <c r="Q23" s="3250"/>
      <c r="R23" s="3256"/>
      <c r="S23" s="2845"/>
      <c r="T23" s="3242"/>
      <c r="U23" s="3263"/>
      <c r="V23" s="3285">
        <f>0+50000000</f>
        <v>50000000</v>
      </c>
      <c r="W23" s="3286">
        <v>88</v>
      </c>
      <c r="X23" s="3287" t="s">
        <v>647</v>
      </c>
      <c r="Y23" s="3281"/>
      <c r="Z23" s="3276"/>
      <c r="AA23" s="3276"/>
      <c r="AB23" s="3276"/>
      <c r="AC23" s="3276"/>
      <c r="AD23" s="2844"/>
      <c r="AE23" s="3293"/>
      <c r="AF23" s="1925"/>
      <c r="AG23" s="1925"/>
      <c r="AH23" s="1925"/>
      <c r="AI23" s="1925"/>
      <c r="AJ23" s="1925"/>
      <c r="AK23" s="1925"/>
      <c r="AL23" s="1925"/>
      <c r="AM23" s="1925"/>
      <c r="AN23" s="3276"/>
      <c r="AO23" s="3258"/>
      <c r="AP23" s="3258"/>
      <c r="AQ23" s="3261"/>
    </row>
    <row r="24" spans="1:43" ht="48.75" customHeight="1" x14ac:dyDescent="0.2">
      <c r="A24" s="3221"/>
      <c r="B24" s="3222"/>
      <c r="C24" s="3223"/>
      <c r="D24" s="3226"/>
      <c r="E24" s="3226"/>
      <c r="F24" s="3227"/>
      <c r="G24" s="2756"/>
      <c r="H24" s="2756"/>
      <c r="I24" s="3230"/>
      <c r="J24" s="3234"/>
      <c r="K24" s="2845"/>
      <c r="L24" s="2845"/>
      <c r="M24" s="3279"/>
      <c r="N24" s="1917" t="s">
        <v>659</v>
      </c>
      <c r="O24" s="2824"/>
      <c r="P24" s="2845"/>
      <c r="Q24" s="3250"/>
      <c r="R24" s="3256"/>
      <c r="S24" s="2845"/>
      <c r="T24" s="3242"/>
      <c r="U24" s="3263"/>
      <c r="V24" s="3285"/>
      <c r="W24" s="3286"/>
      <c r="X24" s="3287"/>
      <c r="Y24" s="3281"/>
      <c r="Z24" s="3276"/>
      <c r="AA24" s="3276"/>
      <c r="AB24" s="3276"/>
      <c r="AC24" s="3276"/>
      <c r="AD24" s="2844"/>
      <c r="AE24" s="3293"/>
      <c r="AF24" s="1925"/>
      <c r="AG24" s="1925"/>
      <c r="AH24" s="1925"/>
      <c r="AI24" s="1925"/>
      <c r="AJ24" s="1925"/>
      <c r="AK24" s="1925"/>
      <c r="AL24" s="1925"/>
      <c r="AM24" s="1925"/>
      <c r="AN24" s="3276"/>
      <c r="AO24" s="3258"/>
      <c r="AP24" s="3258"/>
      <c r="AQ24" s="3261"/>
    </row>
    <row r="25" spans="1:43" ht="24" customHeight="1" x14ac:dyDescent="0.2">
      <c r="A25" s="3221"/>
      <c r="B25" s="3222"/>
      <c r="C25" s="3223"/>
      <c r="D25" s="3226"/>
      <c r="E25" s="3226"/>
      <c r="F25" s="3227"/>
      <c r="G25" s="2756"/>
      <c r="H25" s="2756"/>
      <c r="I25" s="3230"/>
      <c r="J25" s="3233">
        <v>41</v>
      </c>
      <c r="K25" s="3235" t="s">
        <v>660</v>
      </c>
      <c r="L25" s="3235" t="s">
        <v>661</v>
      </c>
      <c r="M25" s="2823">
        <v>1</v>
      </c>
      <c r="N25" s="1917"/>
      <c r="O25" s="2824"/>
      <c r="P25" s="2845"/>
      <c r="Q25" s="3249">
        <f>(V25)/R22</f>
        <v>0.19196601004248745</v>
      </c>
      <c r="R25" s="3256"/>
      <c r="S25" s="2845"/>
      <c r="T25" s="2821" t="s">
        <v>662</v>
      </c>
      <c r="U25" s="3282" t="s">
        <v>663</v>
      </c>
      <c r="V25" s="3288">
        <v>24850000</v>
      </c>
      <c r="W25" s="3265">
        <v>20</v>
      </c>
      <c r="X25" s="3266" t="s">
        <v>645</v>
      </c>
      <c r="Y25" s="3276"/>
      <c r="Z25" s="3276"/>
      <c r="AA25" s="3276"/>
      <c r="AB25" s="3276"/>
      <c r="AC25" s="3276"/>
      <c r="AD25" s="2844"/>
      <c r="AE25" s="3293"/>
      <c r="AF25" s="1925"/>
      <c r="AG25" s="1925"/>
      <c r="AH25" s="1925"/>
      <c r="AI25" s="1925"/>
      <c r="AJ25" s="1925"/>
      <c r="AK25" s="1925"/>
      <c r="AL25" s="1925"/>
      <c r="AM25" s="1925"/>
      <c r="AN25" s="3276"/>
      <c r="AO25" s="3258"/>
      <c r="AP25" s="3258"/>
      <c r="AQ25" s="3261"/>
    </row>
    <row r="26" spans="1:43" ht="24" customHeight="1" x14ac:dyDescent="0.2">
      <c r="A26" s="3221"/>
      <c r="B26" s="3222"/>
      <c r="C26" s="3223"/>
      <c r="D26" s="3226"/>
      <c r="E26" s="3226"/>
      <c r="F26" s="3227"/>
      <c r="G26" s="2756"/>
      <c r="H26" s="2756"/>
      <c r="I26" s="3230"/>
      <c r="J26" s="3234"/>
      <c r="K26" s="2845"/>
      <c r="L26" s="2845"/>
      <c r="M26" s="2824"/>
      <c r="N26" s="1917" t="s">
        <v>664</v>
      </c>
      <c r="O26" s="2824"/>
      <c r="P26" s="2845"/>
      <c r="Q26" s="3250"/>
      <c r="R26" s="3256"/>
      <c r="S26" s="2845"/>
      <c r="T26" s="3242"/>
      <c r="U26" s="3283"/>
      <c r="V26" s="3264"/>
      <c r="W26" s="3265"/>
      <c r="X26" s="3266"/>
      <c r="Y26" s="3276"/>
      <c r="Z26" s="3276"/>
      <c r="AA26" s="3276"/>
      <c r="AB26" s="3276"/>
      <c r="AC26" s="3276"/>
      <c r="AD26" s="2844"/>
      <c r="AE26" s="3293"/>
      <c r="AF26" s="1925"/>
      <c r="AG26" s="1925"/>
      <c r="AH26" s="1925"/>
      <c r="AI26" s="1925"/>
      <c r="AJ26" s="1925"/>
      <c r="AK26" s="1925"/>
      <c r="AL26" s="1925"/>
      <c r="AM26" s="1925"/>
      <c r="AN26" s="3276"/>
      <c r="AO26" s="3258"/>
      <c r="AP26" s="3258"/>
      <c r="AQ26" s="3261"/>
    </row>
    <row r="27" spans="1:43" ht="24" customHeight="1" x14ac:dyDescent="0.2">
      <c r="A27" s="3221"/>
      <c r="B27" s="3222"/>
      <c r="C27" s="3223"/>
      <c r="D27" s="3226"/>
      <c r="E27" s="3226"/>
      <c r="F27" s="3227"/>
      <c r="G27" s="2756"/>
      <c r="H27" s="2756"/>
      <c r="I27" s="3230"/>
      <c r="J27" s="3234"/>
      <c r="K27" s="2845"/>
      <c r="L27" s="2845"/>
      <c r="M27" s="2824"/>
      <c r="N27" s="1917"/>
      <c r="O27" s="2824"/>
      <c r="P27" s="2845"/>
      <c r="Q27" s="3250"/>
      <c r="R27" s="3256"/>
      <c r="S27" s="2845"/>
      <c r="T27" s="3242"/>
      <c r="U27" s="3284"/>
      <c r="V27" s="3264"/>
      <c r="W27" s="3289"/>
      <c r="X27" s="3267"/>
      <c r="Y27" s="3276"/>
      <c r="Z27" s="3276"/>
      <c r="AA27" s="3276"/>
      <c r="AB27" s="3276"/>
      <c r="AC27" s="3276"/>
      <c r="AD27" s="2844"/>
      <c r="AE27" s="3293"/>
      <c r="AF27" s="1925"/>
      <c r="AG27" s="1925"/>
      <c r="AH27" s="1925"/>
      <c r="AI27" s="1925"/>
      <c r="AJ27" s="1925"/>
      <c r="AK27" s="1925"/>
      <c r="AL27" s="1925"/>
      <c r="AM27" s="1925"/>
      <c r="AN27" s="3276"/>
      <c r="AO27" s="3258"/>
      <c r="AP27" s="3258"/>
      <c r="AQ27" s="3261"/>
    </row>
    <row r="28" spans="1:43" ht="24" customHeight="1" x14ac:dyDescent="0.2">
      <c r="A28" s="3221"/>
      <c r="B28" s="3222"/>
      <c r="C28" s="3223"/>
      <c r="D28" s="3226"/>
      <c r="E28" s="3226"/>
      <c r="F28" s="3227"/>
      <c r="G28" s="2756"/>
      <c r="H28" s="2756"/>
      <c r="I28" s="3230"/>
      <c r="J28" s="3233">
        <v>42</v>
      </c>
      <c r="K28" s="3235" t="s">
        <v>665</v>
      </c>
      <c r="L28" s="3235" t="s">
        <v>666</v>
      </c>
      <c r="M28" s="2823">
        <v>1</v>
      </c>
      <c r="N28" s="1917"/>
      <c r="O28" s="2824"/>
      <c r="P28" s="2845"/>
      <c r="Q28" s="3249">
        <f>(V28)/R22</f>
        <v>0.26844341444573194</v>
      </c>
      <c r="R28" s="3256"/>
      <c r="S28" s="2845"/>
      <c r="T28" s="3242"/>
      <c r="U28" s="3282" t="s">
        <v>667</v>
      </c>
      <c r="V28" s="3264">
        <v>34750000</v>
      </c>
      <c r="W28" s="3270">
        <v>20</v>
      </c>
      <c r="X28" s="3271" t="s">
        <v>645</v>
      </c>
      <c r="Y28" s="3276"/>
      <c r="Z28" s="3276"/>
      <c r="AA28" s="3276"/>
      <c r="AB28" s="3276"/>
      <c r="AC28" s="3276"/>
      <c r="AD28" s="2844"/>
      <c r="AE28" s="3293"/>
      <c r="AF28" s="1925"/>
      <c r="AG28" s="1925"/>
      <c r="AH28" s="1925"/>
      <c r="AI28" s="1925"/>
      <c r="AJ28" s="1925"/>
      <c r="AK28" s="1925"/>
      <c r="AL28" s="1925"/>
      <c r="AM28" s="1925"/>
      <c r="AN28" s="3276"/>
      <c r="AO28" s="3258"/>
      <c r="AP28" s="3258"/>
      <c r="AQ28" s="3261"/>
    </row>
    <row r="29" spans="1:43" ht="24" customHeight="1" x14ac:dyDescent="0.2">
      <c r="A29" s="3221"/>
      <c r="B29" s="3222"/>
      <c r="C29" s="3223"/>
      <c r="D29" s="3226"/>
      <c r="E29" s="3226"/>
      <c r="F29" s="3227"/>
      <c r="G29" s="2756"/>
      <c r="H29" s="2756"/>
      <c r="I29" s="3230"/>
      <c r="J29" s="3234"/>
      <c r="K29" s="2845"/>
      <c r="L29" s="2845"/>
      <c r="M29" s="2824"/>
      <c r="N29" s="1917"/>
      <c r="O29" s="2824"/>
      <c r="P29" s="2845"/>
      <c r="Q29" s="3250"/>
      <c r="R29" s="3256"/>
      <c r="S29" s="2845"/>
      <c r="T29" s="3242"/>
      <c r="U29" s="3283"/>
      <c r="V29" s="3264"/>
      <c r="W29" s="3265"/>
      <c r="X29" s="3266"/>
      <c r="Y29" s="3276"/>
      <c r="Z29" s="3276"/>
      <c r="AA29" s="3276"/>
      <c r="AB29" s="3276"/>
      <c r="AC29" s="3276"/>
      <c r="AD29" s="2844"/>
      <c r="AE29" s="3293"/>
      <c r="AF29" s="1925"/>
      <c r="AG29" s="1925"/>
      <c r="AH29" s="1925"/>
      <c r="AI29" s="1925"/>
      <c r="AJ29" s="1925"/>
      <c r="AK29" s="1925"/>
      <c r="AL29" s="1925"/>
      <c r="AM29" s="1925"/>
      <c r="AN29" s="3276"/>
      <c r="AO29" s="3258"/>
      <c r="AP29" s="3258"/>
      <c r="AQ29" s="3261"/>
    </row>
    <row r="30" spans="1:43" ht="29.25" customHeight="1" x14ac:dyDescent="0.2">
      <c r="A30" s="3221"/>
      <c r="B30" s="3222"/>
      <c r="C30" s="3223"/>
      <c r="D30" s="3226"/>
      <c r="E30" s="3226"/>
      <c r="F30" s="3227"/>
      <c r="G30" s="3231"/>
      <c r="H30" s="3231"/>
      <c r="I30" s="3232"/>
      <c r="J30" s="3234"/>
      <c r="K30" s="2845"/>
      <c r="L30" s="2845"/>
      <c r="M30" s="2824"/>
      <c r="N30" s="1917"/>
      <c r="O30" s="2824"/>
      <c r="P30" s="2845"/>
      <c r="Q30" s="3250"/>
      <c r="R30" s="3256"/>
      <c r="S30" s="2845"/>
      <c r="T30" s="2822"/>
      <c r="U30" s="3283"/>
      <c r="V30" s="3264"/>
      <c r="W30" s="3289"/>
      <c r="X30" s="3267"/>
      <c r="Y30" s="3277"/>
      <c r="Z30" s="3277"/>
      <c r="AA30" s="3277"/>
      <c r="AB30" s="3277"/>
      <c r="AC30" s="3277"/>
      <c r="AD30" s="3291"/>
      <c r="AE30" s="3294"/>
      <c r="AF30" s="1926"/>
      <c r="AG30" s="1926"/>
      <c r="AH30" s="1926"/>
      <c r="AI30" s="1926"/>
      <c r="AJ30" s="1926"/>
      <c r="AK30" s="1926"/>
      <c r="AL30" s="1926"/>
      <c r="AM30" s="1926"/>
      <c r="AN30" s="3277"/>
      <c r="AO30" s="3259"/>
      <c r="AP30" s="3259"/>
      <c r="AQ30" s="3261"/>
    </row>
    <row r="31" spans="1:43" ht="28.5" customHeight="1" x14ac:dyDescent="0.2">
      <c r="A31" s="3221"/>
      <c r="B31" s="3222"/>
      <c r="C31" s="3223"/>
      <c r="D31" s="3226"/>
      <c r="E31" s="3226"/>
      <c r="F31" s="3227"/>
      <c r="G31" s="474">
        <v>9</v>
      </c>
      <c r="H31" s="475" t="s">
        <v>668</v>
      </c>
      <c r="I31" s="475"/>
      <c r="J31" s="172"/>
      <c r="K31" s="166"/>
      <c r="L31" s="166"/>
      <c r="M31" s="172"/>
      <c r="N31" s="167"/>
      <c r="O31" s="184"/>
      <c r="P31" s="166"/>
      <c r="Q31" s="288"/>
      <c r="R31" s="477"/>
      <c r="S31" s="166"/>
      <c r="T31" s="286"/>
      <c r="U31" s="286"/>
      <c r="V31" s="1292"/>
      <c r="W31" s="291"/>
      <c r="X31" s="226"/>
      <c r="Y31" s="478"/>
      <c r="Z31" s="478"/>
      <c r="AA31" s="172"/>
      <c r="AB31" s="172"/>
      <c r="AC31" s="172"/>
      <c r="AD31" s="172"/>
      <c r="AE31" s="172"/>
      <c r="AF31" s="172"/>
      <c r="AG31" s="172"/>
      <c r="AH31" s="172"/>
      <c r="AI31" s="172"/>
      <c r="AJ31" s="172"/>
      <c r="AK31" s="172"/>
      <c r="AL31" s="172"/>
      <c r="AM31" s="172"/>
      <c r="AN31" s="478"/>
      <c r="AO31" s="483"/>
      <c r="AP31" s="483"/>
      <c r="AQ31" s="484"/>
    </row>
    <row r="32" spans="1:43" ht="34.5" customHeight="1" x14ac:dyDescent="0.2">
      <c r="A32" s="3221"/>
      <c r="B32" s="3222"/>
      <c r="C32" s="3223"/>
      <c r="D32" s="3226"/>
      <c r="E32" s="3226"/>
      <c r="F32" s="3227"/>
      <c r="G32" s="3295"/>
      <c r="H32" s="3224"/>
      <c r="I32" s="3225"/>
      <c r="J32" s="2520">
        <v>44</v>
      </c>
      <c r="K32" s="2808" t="s">
        <v>669</v>
      </c>
      <c r="L32" s="2808" t="s">
        <v>670</v>
      </c>
      <c r="M32" s="2811">
        <v>1</v>
      </c>
      <c r="N32" s="1932"/>
      <c r="O32" s="2824" t="s">
        <v>671</v>
      </c>
      <c r="P32" s="3300" t="s">
        <v>672</v>
      </c>
      <c r="Q32" s="3301">
        <f>SUM(V32:V37)/R32</f>
        <v>0.11753978779840848</v>
      </c>
      <c r="R32" s="3317">
        <f>SUM(V32:V47)</f>
        <v>603200000</v>
      </c>
      <c r="S32" s="2845" t="s">
        <v>673</v>
      </c>
      <c r="T32" s="2821" t="s">
        <v>674</v>
      </c>
      <c r="U32" s="3282" t="s">
        <v>675</v>
      </c>
      <c r="V32" s="1720">
        <v>16910000</v>
      </c>
      <c r="W32" s="1927">
        <v>20</v>
      </c>
      <c r="X32" s="1920" t="s">
        <v>645</v>
      </c>
      <c r="Y32" s="3281">
        <v>294321</v>
      </c>
      <c r="Z32" s="3276">
        <v>283947</v>
      </c>
      <c r="AA32" s="3276">
        <v>135754</v>
      </c>
      <c r="AB32" s="3276">
        <v>44640</v>
      </c>
      <c r="AC32" s="3276">
        <v>308178</v>
      </c>
      <c r="AD32" s="2844">
        <v>89696</v>
      </c>
      <c r="AE32" s="3310"/>
      <c r="AF32" s="1925"/>
      <c r="AG32" s="1925"/>
      <c r="AH32" s="1925"/>
      <c r="AI32" s="1925"/>
      <c r="AJ32" s="1925"/>
      <c r="AK32" s="1925"/>
      <c r="AL32" s="1925"/>
      <c r="AM32" s="1925"/>
      <c r="AN32" s="3276">
        <f>+Y32+Z32</f>
        <v>578268</v>
      </c>
      <c r="AO32" s="3258">
        <v>43467</v>
      </c>
      <c r="AP32" s="3258">
        <v>43830</v>
      </c>
      <c r="AQ32" s="3307" t="s">
        <v>646</v>
      </c>
    </row>
    <row r="33" spans="1:43" ht="34.5" customHeight="1" x14ac:dyDescent="0.2">
      <c r="A33" s="3221"/>
      <c r="B33" s="3222"/>
      <c r="C33" s="3223"/>
      <c r="D33" s="3226"/>
      <c r="E33" s="3226"/>
      <c r="F33" s="3227"/>
      <c r="G33" s="3296"/>
      <c r="H33" s="3226"/>
      <c r="I33" s="3227"/>
      <c r="J33" s="2520"/>
      <c r="K33" s="2808"/>
      <c r="L33" s="2808"/>
      <c r="M33" s="2811"/>
      <c r="N33" s="1932"/>
      <c r="O33" s="2824"/>
      <c r="P33" s="3300"/>
      <c r="Q33" s="3301"/>
      <c r="R33" s="3317"/>
      <c r="S33" s="2845"/>
      <c r="T33" s="3242"/>
      <c r="U33" s="3283"/>
      <c r="V33" s="3285">
        <f>0+39400000</f>
        <v>39400000</v>
      </c>
      <c r="W33" s="3304">
        <v>88</v>
      </c>
      <c r="X33" s="3287" t="s">
        <v>647</v>
      </c>
      <c r="Y33" s="3281"/>
      <c r="Z33" s="3276"/>
      <c r="AA33" s="3276"/>
      <c r="AB33" s="3276"/>
      <c r="AC33" s="3276"/>
      <c r="AD33" s="2844"/>
      <c r="AE33" s="3311"/>
      <c r="AF33" s="1925"/>
      <c r="AG33" s="1925"/>
      <c r="AH33" s="1925"/>
      <c r="AI33" s="1925"/>
      <c r="AJ33" s="1925"/>
      <c r="AK33" s="1925"/>
      <c r="AL33" s="1925"/>
      <c r="AM33" s="1925"/>
      <c r="AN33" s="3276"/>
      <c r="AO33" s="3258"/>
      <c r="AP33" s="3258"/>
      <c r="AQ33" s="3261"/>
    </row>
    <row r="34" spans="1:43" ht="34.5" customHeight="1" x14ac:dyDescent="0.2">
      <c r="A34" s="3221"/>
      <c r="B34" s="3222"/>
      <c r="C34" s="3223"/>
      <c r="D34" s="3226"/>
      <c r="E34" s="3226"/>
      <c r="F34" s="3227"/>
      <c r="G34" s="3296"/>
      <c r="H34" s="3226"/>
      <c r="I34" s="3227"/>
      <c r="J34" s="2520"/>
      <c r="K34" s="2808"/>
      <c r="L34" s="2808"/>
      <c r="M34" s="2811"/>
      <c r="N34" s="1932"/>
      <c r="O34" s="2824"/>
      <c r="P34" s="3300"/>
      <c r="Q34" s="3301"/>
      <c r="R34" s="3317"/>
      <c r="S34" s="2845"/>
      <c r="T34" s="3242"/>
      <c r="U34" s="3283"/>
      <c r="V34" s="3285"/>
      <c r="W34" s="3308"/>
      <c r="X34" s="3309"/>
      <c r="Y34" s="3281"/>
      <c r="Z34" s="3276"/>
      <c r="AA34" s="3276"/>
      <c r="AB34" s="3276"/>
      <c r="AC34" s="3276"/>
      <c r="AD34" s="2844"/>
      <c r="AE34" s="3311"/>
      <c r="AF34" s="1925"/>
      <c r="AG34" s="1925"/>
      <c r="AH34" s="1925"/>
      <c r="AI34" s="1925"/>
      <c r="AJ34" s="1925"/>
      <c r="AK34" s="1925"/>
      <c r="AL34" s="1925"/>
      <c r="AM34" s="1925"/>
      <c r="AN34" s="3276"/>
      <c r="AO34" s="3258"/>
      <c r="AP34" s="3258"/>
      <c r="AQ34" s="3261"/>
    </row>
    <row r="35" spans="1:43" ht="34.5" customHeight="1" x14ac:dyDescent="0.2">
      <c r="A35" s="3221"/>
      <c r="B35" s="3222"/>
      <c r="C35" s="3223"/>
      <c r="D35" s="3226"/>
      <c r="E35" s="3226"/>
      <c r="F35" s="3227"/>
      <c r="G35" s="3296"/>
      <c r="H35" s="3226"/>
      <c r="I35" s="3227"/>
      <c r="J35" s="2520"/>
      <c r="K35" s="2808"/>
      <c r="L35" s="2808"/>
      <c r="M35" s="2811"/>
      <c r="N35" s="1932"/>
      <c r="O35" s="2824"/>
      <c r="P35" s="3300"/>
      <c r="Q35" s="3301"/>
      <c r="R35" s="3317"/>
      <c r="S35" s="2845"/>
      <c r="T35" s="3318"/>
      <c r="U35" s="3303" t="s">
        <v>676</v>
      </c>
      <c r="V35" s="3285">
        <v>14590000</v>
      </c>
      <c r="W35" s="3304">
        <v>20</v>
      </c>
      <c r="X35" s="3287" t="s">
        <v>645</v>
      </c>
      <c r="Y35" s="3281"/>
      <c r="Z35" s="3276"/>
      <c r="AA35" s="3276"/>
      <c r="AB35" s="3276"/>
      <c r="AC35" s="3276"/>
      <c r="AD35" s="2844"/>
      <c r="AE35" s="3311"/>
      <c r="AF35" s="1925"/>
      <c r="AG35" s="1925"/>
      <c r="AH35" s="1925"/>
      <c r="AI35" s="1925"/>
      <c r="AJ35" s="1925"/>
      <c r="AK35" s="1925"/>
      <c r="AL35" s="1925"/>
      <c r="AM35" s="1925"/>
      <c r="AN35" s="3276"/>
      <c r="AO35" s="3258"/>
      <c r="AP35" s="3258"/>
      <c r="AQ35" s="3261"/>
    </row>
    <row r="36" spans="1:43" ht="34.5" customHeight="1" x14ac:dyDescent="0.2">
      <c r="A36" s="3221"/>
      <c r="B36" s="3222"/>
      <c r="C36" s="3223"/>
      <c r="D36" s="3226"/>
      <c r="E36" s="3226"/>
      <c r="F36" s="3227"/>
      <c r="G36" s="3296"/>
      <c r="H36" s="3226"/>
      <c r="I36" s="3227"/>
      <c r="J36" s="2520"/>
      <c r="K36" s="2808"/>
      <c r="L36" s="2808"/>
      <c r="M36" s="2811"/>
      <c r="N36" s="1932"/>
      <c r="O36" s="2824"/>
      <c r="P36" s="3300"/>
      <c r="Q36" s="3301"/>
      <c r="R36" s="3317"/>
      <c r="S36" s="2845"/>
      <c r="T36" s="3318"/>
      <c r="U36" s="3303"/>
      <c r="V36" s="3285"/>
      <c r="W36" s="3304"/>
      <c r="X36" s="3287"/>
      <c r="Y36" s="3281"/>
      <c r="Z36" s="3276"/>
      <c r="AA36" s="3276"/>
      <c r="AB36" s="3276"/>
      <c r="AC36" s="3276"/>
      <c r="AD36" s="2844"/>
      <c r="AE36" s="3311"/>
      <c r="AF36" s="1925"/>
      <c r="AG36" s="1925"/>
      <c r="AH36" s="1925"/>
      <c r="AI36" s="1925"/>
      <c r="AJ36" s="1925"/>
      <c r="AK36" s="1925"/>
      <c r="AL36" s="1925"/>
      <c r="AM36" s="1925"/>
      <c r="AN36" s="3276"/>
      <c r="AO36" s="3258"/>
      <c r="AP36" s="3258"/>
      <c r="AQ36" s="3261"/>
    </row>
    <row r="37" spans="1:43" ht="34.5" customHeight="1" x14ac:dyDescent="0.2">
      <c r="A37" s="3221"/>
      <c r="B37" s="3222"/>
      <c r="C37" s="3223"/>
      <c r="D37" s="3226"/>
      <c r="E37" s="3226"/>
      <c r="F37" s="3227"/>
      <c r="G37" s="3296"/>
      <c r="H37" s="3226"/>
      <c r="I37" s="3227"/>
      <c r="J37" s="2520"/>
      <c r="K37" s="2808"/>
      <c r="L37" s="2808"/>
      <c r="M37" s="2811"/>
      <c r="N37" s="1932"/>
      <c r="O37" s="2824"/>
      <c r="P37" s="3300"/>
      <c r="Q37" s="3301"/>
      <c r="R37" s="3317"/>
      <c r="S37" s="2845"/>
      <c r="T37" s="3318"/>
      <c r="U37" s="3303"/>
      <c r="V37" s="3285"/>
      <c r="W37" s="3304"/>
      <c r="X37" s="3287"/>
      <c r="Y37" s="3281"/>
      <c r="Z37" s="3276"/>
      <c r="AA37" s="3276"/>
      <c r="AB37" s="3276"/>
      <c r="AC37" s="3276"/>
      <c r="AD37" s="2844"/>
      <c r="AE37" s="3311"/>
      <c r="AF37" s="1925"/>
      <c r="AG37" s="1925"/>
      <c r="AH37" s="1925"/>
      <c r="AI37" s="1925"/>
      <c r="AJ37" s="1925"/>
      <c r="AK37" s="1925"/>
      <c r="AL37" s="1925"/>
      <c r="AM37" s="1925"/>
      <c r="AN37" s="3276"/>
      <c r="AO37" s="3258"/>
      <c r="AP37" s="3258"/>
      <c r="AQ37" s="3261"/>
    </row>
    <row r="38" spans="1:43" ht="51.75" customHeight="1" x14ac:dyDescent="0.2">
      <c r="A38" s="3221"/>
      <c r="B38" s="3222"/>
      <c r="C38" s="3223"/>
      <c r="D38" s="3226"/>
      <c r="E38" s="3226"/>
      <c r="F38" s="3227"/>
      <c r="G38" s="3296"/>
      <c r="H38" s="3226"/>
      <c r="I38" s="3227"/>
      <c r="J38" s="2520">
        <v>43</v>
      </c>
      <c r="K38" s="2808" t="s">
        <v>677</v>
      </c>
      <c r="L38" s="2808" t="s">
        <v>678</v>
      </c>
      <c r="M38" s="2811">
        <v>3</v>
      </c>
      <c r="N38" s="1932"/>
      <c r="O38" s="2824"/>
      <c r="P38" s="3300"/>
      <c r="Q38" s="3301">
        <f>SUM(V38:V39)/R32</f>
        <v>0.47049071618037136</v>
      </c>
      <c r="R38" s="3317"/>
      <c r="S38" s="2845"/>
      <c r="T38" s="3314" t="s">
        <v>679</v>
      </c>
      <c r="U38" s="1966" t="s">
        <v>680</v>
      </c>
      <c r="V38" s="1720">
        <v>28800000</v>
      </c>
      <c r="W38" s="1927">
        <v>20</v>
      </c>
      <c r="X38" s="1920" t="s">
        <v>645</v>
      </c>
      <c r="Y38" s="3281"/>
      <c r="Z38" s="3276"/>
      <c r="AA38" s="3276"/>
      <c r="AB38" s="3276"/>
      <c r="AC38" s="3276"/>
      <c r="AD38" s="2844"/>
      <c r="AE38" s="3311"/>
      <c r="AF38" s="1925"/>
      <c r="AG38" s="1925"/>
      <c r="AH38" s="1925"/>
      <c r="AI38" s="1925"/>
      <c r="AJ38" s="1925"/>
      <c r="AK38" s="1925"/>
      <c r="AL38" s="1925"/>
      <c r="AM38" s="1925"/>
      <c r="AN38" s="3276"/>
      <c r="AO38" s="3258"/>
      <c r="AP38" s="3258"/>
      <c r="AQ38" s="3261"/>
    </row>
    <row r="39" spans="1:43" ht="76.5" customHeight="1" x14ac:dyDescent="0.2">
      <c r="A39" s="3221"/>
      <c r="B39" s="3222"/>
      <c r="C39" s="3223"/>
      <c r="D39" s="3226"/>
      <c r="E39" s="3226"/>
      <c r="F39" s="3227"/>
      <c r="G39" s="3296"/>
      <c r="H39" s="3226"/>
      <c r="I39" s="3227"/>
      <c r="J39" s="2520"/>
      <c r="K39" s="2808"/>
      <c r="L39" s="2808"/>
      <c r="M39" s="2811"/>
      <c r="N39" s="1917" t="s">
        <v>681</v>
      </c>
      <c r="O39" s="2824"/>
      <c r="P39" s="3300"/>
      <c r="Q39" s="3301"/>
      <c r="R39" s="3317"/>
      <c r="S39" s="2845"/>
      <c r="T39" s="3314"/>
      <c r="U39" s="1966" t="s">
        <v>682</v>
      </c>
      <c r="V39" s="1720">
        <v>255000000</v>
      </c>
      <c r="W39" s="1927">
        <v>88</v>
      </c>
      <c r="X39" s="1920" t="s">
        <v>647</v>
      </c>
      <c r="Y39" s="3281"/>
      <c r="Z39" s="3276"/>
      <c r="AA39" s="3276"/>
      <c r="AB39" s="3276"/>
      <c r="AC39" s="3276"/>
      <c r="AD39" s="2844"/>
      <c r="AE39" s="3311"/>
      <c r="AF39" s="1925"/>
      <c r="AG39" s="1925"/>
      <c r="AH39" s="1925"/>
      <c r="AI39" s="1925"/>
      <c r="AJ39" s="1925"/>
      <c r="AK39" s="1925"/>
      <c r="AL39" s="1925"/>
      <c r="AM39" s="1925"/>
      <c r="AN39" s="3276"/>
      <c r="AO39" s="3258"/>
      <c r="AP39" s="3258"/>
      <c r="AQ39" s="3261"/>
    </row>
    <row r="40" spans="1:43" ht="32.25" customHeight="1" x14ac:dyDescent="0.2">
      <c r="A40" s="3221"/>
      <c r="B40" s="3222"/>
      <c r="C40" s="3223"/>
      <c r="D40" s="3226"/>
      <c r="E40" s="3226"/>
      <c r="F40" s="3227"/>
      <c r="G40" s="3296"/>
      <c r="H40" s="3226"/>
      <c r="I40" s="3227"/>
      <c r="J40" s="2520">
        <v>45</v>
      </c>
      <c r="K40" s="2808" t="s">
        <v>683</v>
      </c>
      <c r="L40" s="2808" t="s">
        <v>678</v>
      </c>
      <c r="M40" s="3316">
        <v>4</v>
      </c>
      <c r="N40" s="1917" t="s">
        <v>684</v>
      </c>
      <c r="O40" s="2824"/>
      <c r="P40" s="3300"/>
      <c r="Q40" s="3301">
        <f>SUM(V40:V43)/R32</f>
        <v>0.16329575596816975</v>
      </c>
      <c r="R40" s="3317"/>
      <c r="S40" s="2845"/>
      <c r="T40" s="3315"/>
      <c r="U40" s="3305" t="s">
        <v>685</v>
      </c>
      <c r="V40" s="3285">
        <v>98500000</v>
      </c>
      <c r="W40" s="3313">
        <v>20</v>
      </c>
      <c r="X40" s="3266" t="s">
        <v>645</v>
      </c>
      <c r="Y40" s="3276"/>
      <c r="Z40" s="3276"/>
      <c r="AA40" s="3276"/>
      <c r="AB40" s="3276"/>
      <c r="AC40" s="3276"/>
      <c r="AD40" s="2844"/>
      <c r="AE40" s="3311"/>
      <c r="AF40" s="1925"/>
      <c r="AG40" s="1925"/>
      <c r="AH40" s="1925"/>
      <c r="AI40" s="1925"/>
      <c r="AJ40" s="1925"/>
      <c r="AK40" s="1925"/>
      <c r="AL40" s="1925"/>
      <c r="AM40" s="1925"/>
      <c r="AN40" s="3276"/>
      <c r="AO40" s="3258"/>
      <c r="AP40" s="3258"/>
      <c r="AQ40" s="3261"/>
    </row>
    <row r="41" spans="1:43" ht="32.25" customHeight="1" x14ac:dyDescent="0.2">
      <c r="A41" s="3221"/>
      <c r="B41" s="3222"/>
      <c r="C41" s="3223"/>
      <c r="D41" s="3226"/>
      <c r="E41" s="3226"/>
      <c r="F41" s="3227"/>
      <c r="G41" s="3296"/>
      <c r="H41" s="3226"/>
      <c r="I41" s="3227"/>
      <c r="J41" s="2520"/>
      <c r="K41" s="2808"/>
      <c r="L41" s="2808"/>
      <c r="M41" s="3316"/>
      <c r="N41" s="1932"/>
      <c r="O41" s="2824"/>
      <c r="P41" s="3300"/>
      <c r="Q41" s="3301"/>
      <c r="R41" s="3317"/>
      <c r="S41" s="2845"/>
      <c r="T41" s="3315"/>
      <c r="U41" s="3306"/>
      <c r="V41" s="3285"/>
      <c r="W41" s="3313"/>
      <c r="X41" s="3266"/>
      <c r="Y41" s="3276"/>
      <c r="Z41" s="3276"/>
      <c r="AA41" s="3276"/>
      <c r="AB41" s="3276"/>
      <c r="AC41" s="3276"/>
      <c r="AD41" s="2844"/>
      <c r="AE41" s="3311"/>
      <c r="AF41" s="1925"/>
      <c r="AG41" s="1925"/>
      <c r="AH41" s="1925"/>
      <c r="AI41" s="1925"/>
      <c r="AJ41" s="1925"/>
      <c r="AK41" s="1925"/>
      <c r="AL41" s="1925"/>
      <c r="AM41" s="1925"/>
      <c r="AN41" s="3276"/>
      <c r="AO41" s="3258"/>
      <c r="AP41" s="3258"/>
      <c r="AQ41" s="3261"/>
    </row>
    <row r="42" spans="1:43" ht="32.25" customHeight="1" x14ac:dyDescent="0.2">
      <c r="A42" s="3221"/>
      <c r="B42" s="3222"/>
      <c r="C42" s="3223"/>
      <c r="D42" s="3226"/>
      <c r="E42" s="3226"/>
      <c r="F42" s="3227"/>
      <c r="G42" s="3296"/>
      <c r="H42" s="3226"/>
      <c r="I42" s="3227"/>
      <c r="J42" s="2520"/>
      <c r="K42" s="2808"/>
      <c r="L42" s="2808"/>
      <c r="M42" s="3316"/>
      <c r="N42" s="1932"/>
      <c r="O42" s="2824"/>
      <c r="P42" s="3300"/>
      <c r="Q42" s="3301"/>
      <c r="R42" s="3317"/>
      <c r="S42" s="2845"/>
      <c r="T42" s="3315"/>
      <c r="U42" s="3306"/>
      <c r="V42" s="3285"/>
      <c r="W42" s="3313"/>
      <c r="X42" s="3266"/>
      <c r="Y42" s="3276"/>
      <c r="Z42" s="3276"/>
      <c r="AA42" s="3276"/>
      <c r="AB42" s="3276"/>
      <c r="AC42" s="3276"/>
      <c r="AD42" s="2844"/>
      <c r="AE42" s="3311"/>
      <c r="AF42" s="1925"/>
      <c r="AG42" s="1925"/>
      <c r="AH42" s="1925"/>
      <c r="AI42" s="1925"/>
      <c r="AJ42" s="1925"/>
      <c r="AK42" s="1925"/>
      <c r="AL42" s="1925"/>
      <c r="AM42" s="1925"/>
      <c r="AN42" s="3276"/>
      <c r="AO42" s="3258"/>
      <c r="AP42" s="3258"/>
      <c r="AQ42" s="3261"/>
    </row>
    <row r="43" spans="1:43" ht="32.25" customHeight="1" x14ac:dyDescent="0.2">
      <c r="A43" s="3221"/>
      <c r="B43" s="3222"/>
      <c r="C43" s="3223"/>
      <c r="D43" s="3226"/>
      <c r="E43" s="3226"/>
      <c r="F43" s="3227"/>
      <c r="G43" s="3296"/>
      <c r="H43" s="3226"/>
      <c r="I43" s="3227"/>
      <c r="J43" s="2520"/>
      <c r="K43" s="2808"/>
      <c r="L43" s="2808"/>
      <c r="M43" s="3316"/>
      <c r="N43" s="1932"/>
      <c r="O43" s="2824"/>
      <c r="P43" s="3300"/>
      <c r="Q43" s="3301"/>
      <c r="R43" s="3317"/>
      <c r="S43" s="2845"/>
      <c r="T43" s="3315"/>
      <c r="U43" s="3306"/>
      <c r="V43" s="3285"/>
      <c r="W43" s="3313"/>
      <c r="X43" s="3266"/>
      <c r="Y43" s="3276"/>
      <c r="Z43" s="3276"/>
      <c r="AA43" s="3276"/>
      <c r="AB43" s="3276"/>
      <c r="AC43" s="3276"/>
      <c r="AD43" s="2844"/>
      <c r="AE43" s="3311"/>
      <c r="AF43" s="1925"/>
      <c r="AG43" s="1925"/>
      <c r="AH43" s="1925"/>
      <c r="AI43" s="1925"/>
      <c r="AJ43" s="1925"/>
      <c r="AK43" s="1925"/>
      <c r="AL43" s="1925"/>
      <c r="AM43" s="1925"/>
      <c r="AN43" s="3276"/>
      <c r="AO43" s="3258"/>
      <c r="AP43" s="3258"/>
      <c r="AQ43" s="3261"/>
    </row>
    <row r="44" spans="1:43" ht="47.25" customHeight="1" x14ac:dyDescent="0.2">
      <c r="A44" s="3221"/>
      <c r="B44" s="3222"/>
      <c r="C44" s="3223"/>
      <c r="D44" s="3226"/>
      <c r="E44" s="3226"/>
      <c r="F44" s="3227"/>
      <c r="G44" s="3296"/>
      <c r="H44" s="3226"/>
      <c r="I44" s="3227"/>
      <c r="J44" s="2540">
        <v>46</v>
      </c>
      <c r="K44" s="3235" t="s">
        <v>686</v>
      </c>
      <c r="L44" s="3235" t="s">
        <v>687</v>
      </c>
      <c r="M44" s="2823">
        <v>1</v>
      </c>
      <c r="N44" s="1932"/>
      <c r="O44" s="2824"/>
      <c r="P44" s="3300"/>
      <c r="Q44" s="3301">
        <f>SUM(V44:V47)/R32</f>
        <v>0.2486737400530504</v>
      </c>
      <c r="R44" s="3317"/>
      <c r="S44" s="2845"/>
      <c r="T44" s="3315"/>
      <c r="U44" s="3282" t="s">
        <v>688</v>
      </c>
      <c r="V44" s="1720">
        <v>99400000</v>
      </c>
      <c r="W44" s="1927">
        <v>20</v>
      </c>
      <c r="X44" s="1920" t="s">
        <v>645</v>
      </c>
      <c r="Y44" s="3281"/>
      <c r="Z44" s="3276"/>
      <c r="AA44" s="3276"/>
      <c r="AB44" s="3276"/>
      <c r="AC44" s="3276"/>
      <c r="AD44" s="2844"/>
      <c r="AE44" s="3311"/>
      <c r="AF44" s="1925"/>
      <c r="AG44" s="1925"/>
      <c r="AH44" s="1925"/>
      <c r="AI44" s="1925"/>
      <c r="AJ44" s="1925"/>
      <c r="AK44" s="1925"/>
      <c r="AL44" s="1925"/>
      <c r="AM44" s="1925"/>
      <c r="AN44" s="3276"/>
      <c r="AO44" s="3258"/>
      <c r="AP44" s="3258"/>
      <c r="AQ44" s="3261"/>
    </row>
    <row r="45" spans="1:43" ht="39" customHeight="1" x14ac:dyDescent="0.2">
      <c r="A45" s="3221"/>
      <c r="B45" s="3222"/>
      <c r="C45" s="3223"/>
      <c r="D45" s="3226"/>
      <c r="E45" s="3226"/>
      <c r="F45" s="3227"/>
      <c r="G45" s="3296"/>
      <c r="H45" s="3226"/>
      <c r="I45" s="3227"/>
      <c r="J45" s="2597"/>
      <c r="K45" s="2845"/>
      <c r="L45" s="2845"/>
      <c r="M45" s="2824"/>
      <c r="N45" s="1932"/>
      <c r="O45" s="2824"/>
      <c r="P45" s="3300"/>
      <c r="Q45" s="3301"/>
      <c r="R45" s="3317"/>
      <c r="S45" s="2845"/>
      <c r="T45" s="3315"/>
      <c r="U45" s="3283"/>
      <c r="V45" s="3285">
        <f>0+50600000</f>
        <v>50600000</v>
      </c>
      <c r="W45" s="3304">
        <v>88</v>
      </c>
      <c r="X45" s="3287" t="s">
        <v>647</v>
      </c>
      <c r="Y45" s="3281"/>
      <c r="Z45" s="3276"/>
      <c r="AA45" s="3276"/>
      <c r="AB45" s="3276"/>
      <c r="AC45" s="3276"/>
      <c r="AD45" s="2844"/>
      <c r="AE45" s="3311"/>
      <c r="AF45" s="1925"/>
      <c r="AG45" s="1925"/>
      <c r="AH45" s="1925"/>
      <c r="AI45" s="1925"/>
      <c r="AJ45" s="1925"/>
      <c r="AK45" s="1925"/>
      <c r="AL45" s="1925"/>
      <c r="AM45" s="1925"/>
      <c r="AN45" s="3276"/>
      <c r="AO45" s="3258"/>
      <c r="AP45" s="3258"/>
      <c r="AQ45" s="3261"/>
    </row>
    <row r="46" spans="1:43" ht="32.25" customHeight="1" x14ac:dyDescent="0.2">
      <c r="A46" s="3221"/>
      <c r="B46" s="3222"/>
      <c r="C46" s="3223"/>
      <c r="D46" s="3226"/>
      <c r="E46" s="3226"/>
      <c r="F46" s="3227"/>
      <c r="G46" s="3296"/>
      <c r="H46" s="3226"/>
      <c r="I46" s="3227"/>
      <c r="J46" s="2597"/>
      <c r="K46" s="2845"/>
      <c r="L46" s="2845"/>
      <c r="M46" s="2824"/>
      <c r="N46" s="1932"/>
      <c r="O46" s="2824"/>
      <c r="P46" s="3300"/>
      <c r="Q46" s="3301"/>
      <c r="R46" s="3317"/>
      <c r="S46" s="2845"/>
      <c r="T46" s="3315"/>
      <c r="U46" s="3283"/>
      <c r="V46" s="3285"/>
      <c r="W46" s="3304"/>
      <c r="X46" s="3287"/>
      <c r="Y46" s="3281"/>
      <c r="Z46" s="3276"/>
      <c r="AA46" s="3276"/>
      <c r="AB46" s="3276"/>
      <c r="AC46" s="3276"/>
      <c r="AD46" s="2844"/>
      <c r="AE46" s="3311"/>
      <c r="AF46" s="1925"/>
      <c r="AG46" s="1925"/>
      <c r="AH46" s="1925"/>
      <c r="AI46" s="1925"/>
      <c r="AJ46" s="1925"/>
      <c r="AK46" s="1925"/>
      <c r="AL46" s="1925"/>
      <c r="AM46" s="1925"/>
      <c r="AN46" s="3276"/>
      <c r="AO46" s="3258"/>
      <c r="AP46" s="3258"/>
      <c r="AQ46" s="3261"/>
    </row>
    <row r="47" spans="1:43" ht="32.25" customHeight="1" x14ac:dyDescent="0.2">
      <c r="A47" s="3221"/>
      <c r="B47" s="3222"/>
      <c r="C47" s="3223"/>
      <c r="D47" s="3226"/>
      <c r="E47" s="3226"/>
      <c r="F47" s="3227"/>
      <c r="G47" s="3297"/>
      <c r="H47" s="3298"/>
      <c r="I47" s="3299"/>
      <c r="J47" s="2597"/>
      <c r="K47" s="2845"/>
      <c r="L47" s="2845"/>
      <c r="M47" s="2824"/>
      <c r="N47" s="1932"/>
      <c r="O47" s="2824"/>
      <c r="P47" s="3300"/>
      <c r="Q47" s="3301"/>
      <c r="R47" s="3317"/>
      <c r="S47" s="2845"/>
      <c r="T47" s="3315"/>
      <c r="U47" s="3284"/>
      <c r="V47" s="3285"/>
      <c r="W47" s="3304"/>
      <c r="X47" s="3287"/>
      <c r="Y47" s="3302"/>
      <c r="Z47" s="3277"/>
      <c r="AA47" s="3277"/>
      <c r="AB47" s="3277"/>
      <c r="AC47" s="3277"/>
      <c r="AD47" s="3291"/>
      <c r="AE47" s="3312"/>
      <c r="AF47" s="1926"/>
      <c r="AG47" s="1926"/>
      <c r="AH47" s="1926"/>
      <c r="AI47" s="1926"/>
      <c r="AJ47" s="1926"/>
      <c r="AK47" s="1926"/>
      <c r="AL47" s="1926"/>
      <c r="AM47" s="1926"/>
      <c r="AN47" s="3277"/>
      <c r="AO47" s="3259"/>
      <c r="AP47" s="3259"/>
      <c r="AQ47" s="3261"/>
    </row>
    <row r="48" spans="1:43" ht="15.75" x14ac:dyDescent="0.2">
      <c r="A48" s="3221"/>
      <c r="B48" s="3222"/>
      <c r="C48" s="3223"/>
      <c r="D48" s="3226"/>
      <c r="E48" s="3226"/>
      <c r="F48" s="3227"/>
      <c r="G48" s="474">
        <v>10</v>
      </c>
      <c r="H48" s="475" t="s">
        <v>689</v>
      </c>
      <c r="I48" s="475"/>
      <c r="J48" s="172"/>
      <c r="K48" s="166"/>
      <c r="L48" s="166"/>
      <c r="M48" s="172"/>
      <c r="N48" s="167"/>
      <c r="O48" s="184"/>
      <c r="P48" s="166"/>
      <c r="Q48" s="492"/>
      <c r="R48" s="477"/>
      <c r="S48" s="166"/>
      <c r="T48" s="166"/>
      <c r="U48" s="286"/>
      <c r="V48" s="1263"/>
      <c r="W48" s="494"/>
      <c r="X48" s="364"/>
      <c r="Y48" s="478"/>
      <c r="Z48" s="478"/>
      <c r="AA48" s="172"/>
      <c r="AB48" s="172"/>
      <c r="AC48" s="172"/>
      <c r="AD48" s="172"/>
      <c r="AE48" s="172"/>
      <c r="AF48" s="172"/>
      <c r="AG48" s="172"/>
      <c r="AH48" s="172"/>
      <c r="AI48" s="172"/>
      <c r="AJ48" s="172"/>
      <c r="AK48" s="172"/>
      <c r="AL48" s="172"/>
      <c r="AM48" s="172"/>
      <c r="AN48" s="478"/>
      <c r="AO48" s="483"/>
      <c r="AP48" s="483"/>
      <c r="AQ48" s="484"/>
    </row>
    <row r="49" spans="1:43" ht="41.25" customHeight="1" x14ac:dyDescent="0.2">
      <c r="A49" s="3221"/>
      <c r="B49" s="3222"/>
      <c r="C49" s="3223"/>
      <c r="D49" s="3226"/>
      <c r="E49" s="3226"/>
      <c r="F49" s="3227"/>
      <c r="G49" s="3319"/>
      <c r="H49" s="3320"/>
      <c r="I49" s="3321"/>
      <c r="J49" s="2540">
        <v>47</v>
      </c>
      <c r="K49" s="3235" t="s">
        <v>690</v>
      </c>
      <c r="L49" s="3235" t="s">
        <v>691</v>
      </c>
      <c r="M49" s="3271">
        <v>48</v>
      </c>
      <c r="N49" s="1916"/>
      <c r="O49" s="2823" t="s">
        <v>692</v>
      </c>
      <c r="P49" s="3235" t="s">
        <v>693</v>
      </c>
      <c r="Q49" s="3249">
        <f>(V49+V50)/R49</f>
        <v>0.43158041567861627</v>
      </c>
      <c r="R49" s="3255">
        <f>SUM(V49:V57)</f>
        <v>358450000</v>
      </c>
      <c r="S49" s="3235" t="s">
        <v>694</v>
      </c>
      <c r="T49" s="3328" t="s">
        <v>695</v>
      </c>
      <c r="U49" s="3329" t="s">
        <v>696</v>
      </c>
      <c r="V49" s="1720">
        <v>54700000</v>
      </c>
      <c r="W49" s="1930">
        <v>20</v>
      </c>
      <c r="X49" s="1920" t="s">
        <v>645</v>
      </c>
      <c r="Y49" s="3280">
        <v>294321</v>
      </c>
      <c r="Z49" s="3275">
        <v>283947</v>
      </c>
      <c r="AA49" s="3275">
        <v>135754</v>
      </c>
      <c r="AB49" s="3275">
        <v>44640</v>
      </c>
      <c r="AC49" s="3275">
        <v>308178</v>
      </c>
      <c r="AD49" s="3275"/>
      <c r="AE49" s="3292"/>
      <c r="AF49" s="1924"/>
      <c r="AG49" s="1924"/>
      <c r="AH49" s="1924"/>
      <c r="AI49" s="1924"/>
      <c r="AJ49" s="1924"/>
      <c r="AK49" s="1924"/>
      <c r="AL49" s="1924"/>
      <c r="AM49" s="1924"/>
      <c r="AN49" s="3275">
        <f>+Y49+Z49</f>
        <v>578268</v>
      </c>
      <c r="AO49" s="3257">
        <v>43467</v>
      </c>
      <c r="AP49" s="3257">
        <v>43830</v>
      </c>
      <c r="AQ49" s="3260" t="s">
        <v>646</v>
      </c>
    </row>
    <row r="50" spans="1:43" ht="30.75" customHeight="1" x14ac:dyDescent="0.2">
      <c r="A50" s="3221"/>
      <c r="B50" s="3222"/>
      <c r="C50" s="3223"/>
      <c r="D50" s="3226"/>
      <c r="E50" s="3226"/>
      <c r="F50" s="3227"/>
      <c r="G50" s="3322"/>
      <c r="H50" s="3323"/>
      <c r="I50" s="3324"/>
      <c r="J50" s="2597"/>
      <c r="K50" s="2845"/>
      <c r="L50" s="2845"/>
      <c r="M50" s="3266"/>
      <c r="N50" s="1917"/>
      <c r="O50" s="2824"/>
      <c r="P50" s="2845"/>
      <c r="Q50" s="3250"/>
      <c r="R50" s="3256"/>
      <c r="S50" s="2845"/>
      <c r="T50" s="3318"/>
      <c r="U50" s="3329"/>
      <c r="V50" s="3285">
        <f>0+100000000</f>
        <v>100000000</v>
      </c>
      <c r="W50" s="3286">
        <v>88</v>
      </c>
      <c r="X50" s="3287" t="s">
        <v>647</v>
      </c>
      <c r="Y50" s="3281"/>
      <c r="Z50" s="3276"/>
      <c r="AA50" s="3276"/>
      <c r="AB50" s="3276"/>
      <c r="AC50" s="3276"/>
      <c r="AD50" s="3276"/>
      <c r="AE50" s="3293"/>
      <c r="AF50" s="1925"/>
      <c r="AG50" s="1925"/>
      <c r="AH50" s="1925"/>
      <c r="AI50" s="1925"/>
      <c r="AJ50" s="1925"/>
      <c r="AK50" s="1925"/>
      <c r="AL50" s="1925"/>
      <c r="AM50" s="1925"/>
      <c r="AN50" s="3276"/>
      <c r="AO50" s="3258"/>
      <c r="AP50" s="3258"/>
      <c r="AQ50" s="3261"/>
    </row>
    <row r="51" spans="1:43" ht="32.25" customHeight="1" x14ac:dyDescent="0.2">
      <c r="A51" s="3221"/>
      <c r="B51" s="3222"/>
      <c r="C51" s="3223"/>
      <c r="D51" s="3226"/>
      <c r="E51" s="3226"/>
      <c r="F51" s="3227"/>
      <c r="G51" s="3322"/>
      <c r="H51" s="3323"/>
      <c r="I51" s="3324"/>
      <c r="J51" s="2597"/>
      <c r="K51" s="2845"/>
      <c r="L51" s="2845"/>
      <c r="M51" s="3266"/>
      <c r="N51" s="1917"/>
      <c r="O51" s="2824"/>
      <c r="P51" s="2845"/>
      <c r="Q51" s="3250"/>
      <c r="R51" s="3256"/>
      <c r="S51" s="2845"/>
      <c r="T51" s="3318"/>
      <c r="U51" s="3329"/>
      <c r="V51" s="3285"/>
      <c r="W51" s="3286"/>
      <c r="X51" s="3287"/>
      <c r="Y51" s="3281"/>
      <c r="Z51" s="3276"/>
      <c r="AA51" s="3276"/>
      <c r="AB51" s="3276"/>
      <c r="AC51" s="3276"/>
      <c r="AD51" s="3276"/>
      <c r="AE51" s="3293"/>
      <c r="AF51" s="1925"/>
      <c r="AG51" s="1925"/>
      <c r="AH51" s="1925"/>
      <c r="AI51" s="1925"/>
      <c r="AJ51" s="1925"/>
      <c r="AK51" s="1925"/>
      <c r="AL51" s="1925"/>
      <c r="AM51" s="1925"/>
      <c r="AN51" s="3276"/>
      <c r="AO51" s="3258"/>
      <c r="AP51" s="3258"/>
      <c r="AQ51" s="3261"/>
    </row>
    <row r="52" spans="1:43" ht="15.75" x14ac:dyDescent="0.2">
      <c r="A52" s="3221"/>
      <c r="B52" s="3222"/>
      <c r="C52" s="3223"/>
      <c r="D52" s="3226"/>
      <c r="E52" s="3226"/>
      <c r="F52" s="3227"/>
      <c r="G52" s="3322"/>
      <c r="H52" s="3323"/>
      <c r="I52" s="3324"/>
      <c r="J52" s="2540">
        <v>48</v>
      </c>
      <c r="K52" s="3235" t="s">
        <v>697</v>
      </c>
      <c r="L52" s="3235" t="s">
        <v>698</v>
      </c>
      <c r="M52" s="2823">
        <v>1</v>
      </c>
      <c r="N52" s="1917" t="s">
        <v>699</v>
      </c>
      <c r="O52" s="2824"/>
      <c r="P52" s="2845"/>
      <c r="Q52" s="3249">
        <f>(V52)/R49</f>
        <v>0.55795787418049936</v>
      </c>
      <c r="R52" s="3256"/>
      <c r="S52" s="2845"/>
      <c r="T52" s="2821" t="s">
        <v>700</v>
      </c>
      <c r="U52" s="3283" t="s">
        <v>701</v>
      </c>
      <c r="V52" s="3288">
        <f>198750000+1250000</f>
        <v>200000000</v>
      </c>
      <c r="W52" s="3265">
        <v>20</v>
      </c>
      <c r="X52" s="3266" t="s">
        <v>645</v>
      </c>
      <c r="Y52" s="3276"/>
      <c r="Z52" s="3276"/>
      <c r="AA52" s="3276"/>
      <c r="AB52" s="3276"/>
      <c r="AC52" s="3276"/>
      <c r="AD52" s="3276"/>
      <c r="AE52" s="3293"/>
      <c r="AF52" s="1925"/>
      <c r="AG52" s="1925"/>
      <c r="AH52" s="1925"/>
      <c r="AI52" s="1925"/>
      <c r="AJ52" s="1925"/>
      <c r="AK52" s="1925"/>
      <c r="AL52" s="1925"/>
      <c r="AM52" s="1925"/>
      <c r="AN52" s="3276"/>
      <c r="AO52" s="3258"/>
      <c r="AP52" s="3258"/>
      <c r="AQ52" s="3261"/>
    </row>
    <row r="53" spans="1:43" ht="36" customHeight="1" x14ac:dyDescent="0.2">
      <c r="A53" s="3221"/>
      <c r="B53" s="3222"/>
      <c r="C53" s="3223"/>
      <c r="D53" s="3226"/>
      <c r="E53" s="3226"/>
      <c r="F53" s="3227"/>
      <c r="G53" s="3322"/>
      <c r="H53" s="3323"/>
      <c r="I53" s="3324"/>
      <c r="J53" s="2597"/>
      <c r="K53" s="2845"/>
      <c r="L53" s="2845"/>
      <c r="M53" s="2824"/>
      <c r="N53" s="1917"/>
      <c r="O53" s="2824"/>
      <c r="P53" s="2845"/>
      <c r="Q53" s="3250"/>
      <c r="R53" s="3256"/>
      <c r="S53" s="2845"/>
      <c r="T53" s="3242"/>
      <c r="U53" s="3283"/>
      <c r="V53" s="3264"/>
      <c r="W53" s="3265"/>
      <c r="X53" s="3266"/>
      <c r="Y53" s="3276"/>
      <c r="Z53" s="3276"/>
      <c r="AA53" s="3276"/>
      <c r="AB53" s="3276"/>
      <c r="AC53" s="3276"/>
      <c r="AD53" s="3276"/>
      <c r="AE53" s="3293"/>
      <c r="AF53" s="1925"/>
      <c r="AG53" s="1925"/>
      <c r="AH53" s="1925"/>
      <c r="AI53" s="1925"/>
      <c r="AJ53" s="1925"/>
      <c r="AK53" s="1925"/>
      <c r="AL53" s="1925"/>
      <c r="AM53" s="1925"/>
      <c r="AN53" s="3276"/>
      <c r="AO53" s="3258"/>
      <c r="AP53" s="3258"/>
      <c r="AQ53" s="3261"/>
    </row>
    <row r="54" spans="1:43" ht="30.75" customHeight="1" x14ac:dyDescent="0.2">
      <c r="A54" s="3221"/>
      <c r="B54" s="3222"/>
      <c r="C54" s="3223"/>
      <c r="D54" s="3226"/>
      <c r="E54" s="3226"/>
      <c r="F54" s="3227"/>
      <c r="G54" s="3322"/>
      <c r="H54" s="3323"/>
      <c r="I54" s="3324"/>
      <c r="J54" s="2597"/>
      <c r="K54" s="2845"/>
      <c r="L54" s="2845"/>
      <c r="M54" s="2824"/>
      <c r="N54" s="1917" t="s">
        <v>702</v>
      </c>
      <c r="O54" s="2824"/>
      <c r="P54" s="2845"/>
      <c r="Q54" s="3250"/>
      <c r="R54" s="3256"/>
      <c r="S54" s="2845"/>
      <c r="T54" s="3242"/>
      <c r="U54" s="3284"/>
      <c r="V54" s="3264"/>
      <c r="W54" s="3289"/>
      <c r="X54" s="3266"/>
      <c r="Y54" s="3276"/>
      <c r="Z54" s="3276"/>
      <c r="AA54" s="3276"/>
      <c r="AB54" s="3276"/>
      <c r="AC54" s="3276"/>
      <c r="AD54" s="3276"/>
      <c r="AE54" s="3293"/>
      <c r="AF54" s="1925"/>
      <c r="AG54" s="1925"/>
      <c r="AH54" s="1925"/>
      <c r="AI54" s="1925"/>
      <c r="AJ54" s="1925"/>
      <c r="AK54" s="1925"/>
      <c r="AL54" s="1925"/>
      <c r="AM54" s="1925"/>
      <c r="AN54" s="3276"/>
      <c r="AO54" s="3258"/>
      <c r="AP54" s="3258"/>
      <c r="AQ54" s="3261"/>
    </row>
    <row r="55" spans="1:43" ht="42" customHeight="1" x14ac:dyDescent="0.2">
      <c r="A55" s="3221"/>
      <c r="B55" s="3222"/>
      <c r="C55" s="3223"/>
      <c r="D55" s="3226"/>
      <c r="E55" s="3226"/>
      <c r="F55" s="3227"/>
      <c r="G55" s="3322"/>
      <c r="H55" s="3323"/>
      <c r="I55" s="3324"/>
      <c r="J55" s="2540">
        <v>49</v>
      </c>
      <c r="K55" s="3235" t="s">
        <v>703</v>
      </c>
      <c r="L55" s="3235" t="s">
        <v>704</v>
      </c>
      <c r="M55" s="2823">
        <v>1</v>
      </c>
      <c r="N55" s="1917"/>
      <c r="O55" s="2824"/>
      <c r="P55" s="2845"/>
      <c r="Q55" s="3249">
        <f>(V55)/R49</f>
        <v>1.0461710140884364E-2</v>
      </c>
      <c r="R55" s="3256"/>
      <c r="S55" s="2845"/>
      <c r="T55" s="3242"/>
      <c r="U55" s="3282" t="s">
        <v>705</v>
      </c>
      <c r="V55" s="3264">
        <f>5000000-1250000</f>
        <v>3750000</v>
      </c>
      <c r="W55" s="3270">
        <v>20</v>
      </c>
      <c r="X55" s="3271" t="s">
        <v>645</v>
      </c>
      <c r="Y55" s="3276"/>
      <c r="Z55" s="3276"/>
      <c r="AA55" s="3276"/>
      <c r="AB55" s="3276"/>
      <c r="AC55" s="3276"/>
      <c r="AD55" s="3276"/>
      <c r="AE55" s="3293"/>
      <c r="AF55" s="1925"/>
      <c r="AG55" s="1925"/>
      <c r="AH55" s="1925"/>
      <c r="AI55" s="1925"/>
      <c r="AJ55" s="1925"/>
      <c r="AK55" s="1925"/>
      <c r="AL55" s="1925"/>
      <c r="AM55" s="1925"/>
      <c r="AN55" s="3276"/>
      <c r="AO55" s="3258"/>
      <c r="AP55" s="3258"/>
      <c r="AQ55" s="3261"/>
    </row>
    <row r="56" spans="1:43" ht="38.25" customHeight="1" x14ac:dyDescent="0.2">
      <c r="A56" s="3221"/>
      <c r="B56" s="3222"/>
      <c r="C56" s="3223"/>
      <c r="D56" s="3226"/>
      <c r="E56" s="3226"/>
      <c r="F56" s="3227"/>
      <c r="G56" s="3322"/>
      <c r="H56" s="3323"/>
      <c r="I56" s="3324"/>
      <c r="J56" s="2597"/>
      <c r="K56" s="2845"/>
      <c r="L56" s="2845"/>
      <c r="M56" s="2824"/>
      <c r="N56" s="1917"/>
      <c r="O56" s="2824"/>
      <c r="P56" s="2845"/>
      <c r="Q56" s="3250"/>
      <c r="R56" s="3256"/>
      <c r="S56" s="2845"/>
      <c r="T56" s="3242"/>
      <c r="U56" s="3283"/>
      <c r="V56" s="3264"/>
      <c r="W56" s="3265"/>
      <c r="X56" s="3266"/>
      <c r="Y56" s="3276"/>
      <c r="Z56" s="3276"/>
      <c r="AA56" s="3276"/>
      <c r="AB56" s="3276"/>
      <c r="AC56" s="3276"/>
      <c r="AD56" s="3276"/>
      <c r="AE56" s="3293"/>
      <c r="AF56" s="1925"/>
      <c r="AG56" s="1925"/>
      <c r="AH56" s="1925"/>
      <c r="AI56" s="1925"/>
      <c r="AJ56" s="1925"/>
      <c r="AK56" s="1925"/>
      <c r="AL56" s="1925"/>
      <c r="AM56" s="1925"/>
      <c r="AN56" s="3276"/>
      <c r="AO56" s="3258"/>
      <c r="AP56" s="3258"/>
      <c r="AQ56" s="3261"/>
    </row>
    <row r="57" spans="1:43" ht="43.5" customHeight="1" x14ac:dyDescent="0.2">
      <c r="A57" s="3221"/>
      <c r="B57" s="3222"/>
      <c r="C57" s="3223"/>
      <c r="D57" s="3226"/>
      <c r="E57" s="3226"/>
      <c r="F57" s="3227"/>
      <c r="G57" s="3322"/>
      <c r="H57" s="3323"/>
      <c r="I57" s="3324"/>
      <c r="J57" s="2519"/>
      <c r="K57" s="3325"/>
      <c r="L57" s="3325"/>
      <c r="M57" s="2825"/>
      <c r="N57" s="1918"/>
      <c r="O57" s="2825"/>
      <c r="P57" s="3325"/>
      <c r="Q57" s="3326"/>
      <c r="R57" s="3327"/>
      <c r="S57" s="3325"/>
      <c r="T57" s="2822"/>
      <c r="U57" s="3284"/>
      <c r="V57" s="3264"/>
      <c r="W57" s="3289"/>
      <c r="X57" s="3266"/>
      <c r="Y57" s="3277"/>
      <c r="Z57" s="3277"/>
      <c r="AA57" s="3277"/>
      <c r="AB57" s="3277"/>
      <c r="AC57" s="3277"/>
      <c r="AD57" s="3277"/>
      <c r="AE57" s="3294"/>
      <c r="AF57" s="1926"/>
      <c r="AG57" s="1926"/>
      <c r="AH57" s="1926"/>
      <c r="AI57" s="1926"/>
      <c r="AJ57" s="1926"/>
      <c r="AK57" s="1926"/>
      <c r="AL57" s="1926"/>
      <c r="AM57" s="1926"/>
      <c r="AN57" s="3277"/>
      <c r="AO57" s="3259"/>
      <c r="AP57" s="3259"/>
      <c r="AQ57" s="3262"/>
    </row>
    <row r="58" spans="1:43" ht="15.75" x14ac:dyDescent="0.2">
      <c r="A58" s="3221"/>
      <c r="B58" s="3222"/>
      <c r="C58" s="3223"/>
      <c r="D58" s="466">
        <v>3</v>
      </c>
      <c r="E58" s="467" t="s">
        <v>706</v>
      </c>
      <c r="F58" s="467"/>
      <c r="G58" s="467"/>
      <c r="H58" s="467"/>
      <c r="I58" s="467"/>
      <c r="J58" s="159"/>
      <c r="K58" s="153"/>
      <c r="L58" s="153"/>
      <c r="M58" s="159"/>
      <c r="N58" s="154"/>
      <c r="O58" s="468"/>
      <c r="P58" s="153"/>
      <c r="Q58" s="281"/>
      <c r="R58" s="469"/>
      <c r="S58" s="153"/>
      <c r="T58" s="153"/>
      <c r="U58" s="153"/>
      <c r="V58" s="485"/>
      <c r="W58" s="158"/>
      <c r="X58" s="154"/>
      <c r="Y58" s="470"/>
      <c r="Z58" s="470"/>
      <c r="AA58" s="159"/>
      <c r="AB58" s="159"/>
      <c r="AC58" s="159"/>
      <c r="AD58" s="159"/>
      <c r="AE58" s="159"/>
      <c r="AF58" s="159"/>
      <c r="AG58" s="159"/>
      <c r="AH58" s="159"/>
      <c r="AI58" s="159"/>
      <c r="AJ58" s="159"/>
      <c r="AK58" s="159"/>
      <c r="AL58" s="159"/>
      <c r="AM58" s="159"/>
      <c r="AN58" s="470"/>
      <c r="AO58" s="486"/>
      <c r="AP58" s="486"/>
      <c r="AQ58" s="487"/>
    </row>
    <row r="59" spans="1:43" ht="15.75" x14ac:dyDescent="0.2">
      <c r="A59" s="3221"/>
      <c r="B59" s="3222"/>
      <c r="C59" s="3223"/>
      <c r="D59" s="3331"/>
      <c r="E59" s="3332"/>
      <c r="F59" s="3333"/>
      <c r="G59" s="474">
        <v>11</v>
      </c>
      <c r="H59" s="475" t="s">
        <v>707</v>
      </c>
      <c r="I59" s="475"/>
      <c r="J59" s="172"/>
      <c r="K59" s="166"/>
      <c r="L59" s="166"/>
      <c r="M59" s="172"/>
      <c r="N59" s="167"/>
      <c r="O59" s="184"/>
      <c r="P59" s="166"/>
      <c r="Q59" s="476"/>
      <c r="R59" s="477"/>
      <c r="S59" s="166"/>
      <c r="T59" s="166"/>
      <c r="U59" s="166"/>
      <c r="V59" s="482"/>
      <c r="W59" s="171"/>
      <c r="X59" s="167"/>
      <c r="Y59" s="478"/>
      <c r="Z59" s="478"/>
      <c r="AA59" s="172"/>
      <c r="AB59" s="172"/>
      <c r="AC59" s="172"/>
      <c r="AD59" s="172"/>
      <c r="AE59" s="172"/>
      <c r="AF59" s="172"/>
      <c r="AG59" s="172"/>
      <c r="AH59" s="172"/>
      <c r="AI59" s="172"/>
      <c r="AJ59" s="172"/>
      <c r="AK59" s="172"/>
      <c r="AL59" s="172"/>
      <c r="AM59" s="172"/>
      <c r="AN59" s="478"/>
      <c r="AO59" s="483"/>
      <c r="AP59" s="483"/>
      <c r="AQ59" s="484"/>
    </row>
    <row r="60" spans="1:43" ht="28.5" customHeight="1" x14ac:dyDescent="0.2">
      <c r="A60" s="3221"/>
      <c r="B60" s="3222"/>
      <c r="C60" s="3223"/>
      <c r="D60" s="3334"/>
      <c r="E60" s="3335"/>
      <c r="F60" s="3336"/>
      <c r="G60" s="131"/>
      <c r="H60" s="131"/>
      <c r="I60" s="131"/>
      <c r="J60" s="2597">
        <v>50</v>
      </c>
      <c r="K60" s="2845" t="s">
        <v>708</v>
      </c>
      <c r="L60" s="2845" t="s">
        <v>709</v>
      </c>
      <c r="M60" s="3266">
        <v>3</v>
      </c>
      <c r="N60" s="2823" t="s">
        <v>710</v>
      </c>
      <c r="O60" s="2823" t="s">
        <v>711</v>
      </c>
      <c r="P60" s="3235" t="s">
        <v>712</v>
      </c>
      <c r="Q60" s="3250">
        <f>(V60)/R60</f>
        <v>0.80006709158000666</v>
      </c>
      <c r="R60" s="2867">
        <f>SUM(V60:V64)</f>
        <v>149050000</v>
      </c>
      <c r="S60" s="3235" t="s">
        <v>713</v>
      </c>
      <c r="T60" s="2821" t="s">
        <v>714</v>
      </c>
      <c r="U60" s="3282" t="s">
        <v>715</v>
      </c>
      <c r="V60" s="3264">
        <v>119250000</v>
      </c>
      <c r="W60" s="3270">
        <v>20</v>
      </c>
      <c r="X60" s="3316" t="s">
        <v>645</v>
      </c>
      <c r="Y60" s="3275">
        <v>294321</v>
      </c>
      <c r="Z60" s="3275">
        <v>283947</v>
      </c>
      <c r="AA60" s="3275">
        <v>135754</v>
      </c>
      <c r="AB60" s="3275">
        <v>44640</v>
      </c>
      <c r="AC60" s="3275">
        <v>308178</v>
      </c>
      <c r="AD60" s="3290">
        <v>89696</v>
      </c>
      <c r="AE60" s="3292"/>
      <c r="AF60" s="1924"/>
      <c r="AG60" s="1924"/>
      <c r="AH60" s="1924"/>
      <c r="AI60" s="1924"/>
      <c r="AJ60" s="1924"/>
      <c r="AK60" s="1924"/>
      <c r="AL60" s="1924"/>
      <c r="AM60" s="1924"/>
      <c r="AN60" s="3275">
        <f>+Y60+Z60</f>
        <v>578268</v>
      </c>
      <c r="AO60" s="3257">
        <v>43467</v>
      </c>
      <c r="AP60" s="3257">
        <v>43830</v>
      </c>
      <c r="AQ60" s="3260" t="s">
        <v>646</v>
      </c>
    </row>
    <row r="61" spans="1:43" ht="34.5" customHeight="1" x14ac:dyDescent="0.2">
      <c r="A61" s="3221"/>
      <c r="B61" s="3222"/>
      <c r="C61" s="3223"/>
      <c r="D61" s="3334"/>
      <c r="E61" s="3335"/>
      <c r="F61" s="3336"/>
      <c r="G61" s="131"/>
      <c r="H61" s="131"/>
      <c r="I61" s="131"/>
      <c r="J61" s="2597"/>
      <c r="K61" s="2845"/>
      <c r="L61" s="2845"/>
      <c r="M61" s="3266"/>
      <c r="N61" s="2824"/>
      <c r="O61" s="2824"/>
      <c r="P61" s="2845"/>
      <c r="Q61" s="3250"/>
      <c r="R61" s="3330"/>
      <c r="S61" s="2845"/>
      <c r="T61" s="3242"/>
      <c r="U61" s="3283"/>
      <c r="V61" s="3264"/>
      <c r="W61" s="3265"/>
      <c r="X61" s="3316"/>
      <c r="Y61" s="3276"/>
      <c r="Z61" s="3276"/>
      <c r="AA61" s="3276"/>
      <c r="AB61" s="3276"/>
      <c r="AC61" s="3276"/>
      <c r="AD61" s="2844"/>
      <c r="AE61" s="3293"/>
      <c r="AF61" s="1925"/>
      <c r="AG61" s="1925"/>
      <c r="AH61" s="1925"/>
      <c r="AI61" s="1925"/>
      <c r="AJ61" s="1925"/>
      <c r="AK61" s="1925"/>
      <c r="AL61" s="1925"/>
      <c r="AM61" s="1925"/>
      <c r="AN61" s="3276"/>
      <c r="AO61" s="3258"/>
      <c r="AP61" s="3258"/>
      <c r="AQ61" s="3261"/>
    </row>
    <row r="62" spans="1:43" ht="15.75" x14ac:dyDescent="0.2">
      <c r="A62" s="3221"/>
      <c r="B62" s="3222"/>
      <c r="C62" s="3223"/>
      <c r="D62" s="3334"/>
      <c r="E62" s="3335"/>
      <c r="F62" s="3336"/>
      <c r="G62" s="131"/>
      <c r="H62" s="131"/>
      <c r="I62" s="131"/>
      <c r="J62" s="2597"/>
      <c r="K62" s="2845"/>
      <c r="L62" s="2845"/>
      <c r="M62" s="3266"/>
      <c r="N62" s="2824"/>
      <c r="O62" s="2824"/>
      <c r="P62" s="2845"/>
      <c r="Q62" s="3250"/>
      <c r="R62" s="3330"/>
      <c r="S62" s="2845"/>
      <c r="T62" s="3242"/>
      <c r="U62" s="3283"/>
      <c r="V62" s="3264"/>
      <c r="W62" s="3289"/>
      <c r="X62" s="3316"/>
      <c r="Y62" s="3276"/>
      <c r="Z62" s="3276"/>
      <c r="AA62" s="3276"/>
      <c r="AB62" s="3276"/>
      <c r="AC62" s="3276"/>
      <c r="AD62" s="2844"/>
      <c r="AE62" s="3293"/>
      <c r="AF62" s="1925"/>
      <c r="AG62" s="1925"/>
      <c r="AH62" s="1925"/>
      <c r="AI62" s="1925"/>
      <c r="AJ62" s="1925"/>
      <c r="AK62" s="1925"/>
      <c r="AL62" s="1925"/>
      <c r="AM62" s="1925"/>
      <c r="AN62" s="3276"/>
      <c r="AO62" s="3258"/>
      <c r="AP62" s="3258"/>
      <c r="AQ62" s="3261"/>
    </row>
    <row r="63" spans="1:43" ht="38.25" customHeight="1" x14ac:dyDescent="0.2">
      <c r="A63" s="3221"/>
      <c r="B63" s="3222"/>
      <c r="C63" s="3223"/>
      <c r="D63" s="3334"/>
      <c r="E63" s="3335"/>
      <c r="F63" s="3336"/>
      <c r="G63" s="131"/>
      <c r="H63" s="131"/>
      <c r="I63" s="131"/>
      <c r="J63" s="2540">
        <v>51</v>
      </c>
      <c r="K63" s="3235" t="s">
        <v>716</v>
      </c>
      <c r="L63" s="3235" t="s">
        <v>717</v>
      </c>
      <c r="M63" s="2823">
        <v>1</v>
      </c>
      <c r="N63" s="2824"/>
      <c r="O63" s="2824"/>
      <c r="P63" s="2845"/>
      <c r="Q63" s="3249">
        <f>(V63)/R60</f>
        <v>0.19993290841999328</v>
      </c>
      <c r="R63" s="3330"/>
      <c r="S63" s="2845"/>
      <c r="T63" s="3242"/>
      <c r="U63" s="3282" t="s">
        <v>718</v>
      </c>
      <c r="V63" s="3264">
        <v>29800000</v>
      </c>
      <c r="W63" s="3270">
        <v>20</v>
      </c>
      <c r="X63" s="3316" t="s">
        <v>645</v>
      </c>
      <c r="Y63" s="3276"/>
      <c r="Z63" s="3276"/>
      <c r="AA63" s="3276"/>
      <c r="AB63" s="3276"/>
      <c r="AC63" s="3276"/>
      <c r="AD63" s="2844"/>
      <c r="AE63" s="3293"/>
      <c r="AF63" s="1925"/>
      <c r="AG63" s="1925"/>
      <c r="AH63" s="1925"/>
      <c r="AI63" s="1925"/>
      <c r="AJ63" s="1925"/>
      <c r="AK63" s="1925"/>
      <c r="AL63" s="1925"/>
      <c r="AM63" s="1925"/>
      <c r="AN63" s="3276"/>
      <c r="AO63" s="3258"/>
      <c r="AP63" s="3258"/>
      <c r="AQ63" s="3261"/>
    </row>
    <row r="64" spans="1:43" ht="34.5" customHeight="1" x14ac:dyDescent="0.2">
      <c r="A64" s="3221"/>
      <c r="B64" s="3222"/>
      <c r="C64" s="3223"/>
      <c r="D64" s="3334"/>
      <c r="E64" s="3335"/>
      <c r="F64" s="3336"/>
      <c r="G64" s="131"/>
      <c r="H64" s="131"/>
      <c r="I64" s="131"/>
      <c r="J64" s="2597"/>
      <c r="K64" s="2845"/>
      <c r="L64" s="2845"/>
      <c r="M64" s="2824"/>
      <c r="N64" s="2825"/>
      <c r="O64" s="2825"/>
      <c r="P64" s="3325"/>
      <c r="Q64" s="3250"/>
      <c r="R64" s="3330"/>
      <c r="S64" s="2845"/>
      <c r="T64" s="3242"/>
      <c r="U64" s="3284"/>
      <c r="V64" s="3264"/>
      <c r="W64" s="3289"/>
      <c r="X64" s="3316"/>
      <c r="Y64" s="3277"/>
      <c r="Z64" s="3277"/>
      <c r="AA64" s="3277"/>
      <c r="AB64" s="3277"/>
      <c r="AC64" s="3277"/>
      <c r="AD64" s="3291"/>
      <c r="AE64" s="3294"/>
      <c r="AF64" s="1926"/>
      <c r="AG64" s="1926"/>
      <c r="AH64" s="1926"/>
      <c r="AI64" s="1926"/>
      <c r="AJ64" s="1926"/>
      <c r="AK64" s="1926"/>
      <c r="AL64" s="1926"/>
      <c r="AM64" s="1926"/>
      <c r="AN64" s="3277"/>
      <c r="AO64" s="3259"/>
      <c r="AP64" s="3259"/>
      <c r="AQ64" s="3262"/>
    </row>
    <row r="65" spans="1:43" ht="15.75" x14ac:dyDescent="0.2">
      <c r="A65" s="3221"/>
      <c r="B65" s="3222"/>
      <c r="C65" s="3223"/>
      <c r="D65" s="3334"/>
      <c r="E65" s="3335"/>
      <c r="F65" s="3336"/>
      <c r="G65" s="474">
        <v>12</v>
      </c>
      <c r="H65" s="475" t="s">
        <v>719</v>
      </c>
      <c r="I65" s="475"/>
      <c r="J65" s="172"/>
      <c r="K65" s="166"/>
      <c r="L65" s="166"/>
      <c r="M65" s="172"/>
      <c r="N65" s="226"/>
      <c r="O65" s="184"/>
      <c r="P65" s="166"/>
      <c r="Q65" s="476"/>
      <c r="R65" s="477"/>
      <c r="S65" s="166"/>
      <c r="T65" s="166"/>
      <c r="U65" s="166"/>
      <c r="V65" s="482"/>
      <c r="W65" s="171"/>
      <c r="X65" s="167"/>
      <c r="Y65" s="478"/>
      <c r="Z65" s="478"/>
      <c r="AA65" s="172"/>
      <c r="AB65" s="172"/>
      <c r="AC65" s="172"/>
      <c r="AD65" s="172"/>
      <c r="AE65" s="172"/>
      <c r="AF65" s="172"/>
      <c r="AG65" s="172"/>
      <c r="AH65" s="172"/>
      <c r="AI65" s="172"/>
      <c r="AJ65" s="172"/>
      <c r="AK65" s="172"/>
      <c r="AL65" s="172"/>
      <c r="AM65" s="172"/>
      <c r="AN65" s="478"/>
      <c r="AO65" s="483"/>
      <c r="AP65" s="483"/>
      <c r="AQ65" s="484"/>
    </row>
    <row r="66" spans="1:43" ht="24" customHeight="1" x14ac:dyDescent="0.2">
      <c r="A66" s="3221"/>
      <c r="B66" s="3222"/>
      <c r="C66" s="3223"/>
      <c r="D66" s="3334"/>
      <c r="E66" s="3335"/>
      <c r="F66" s="3336"/>
      <c r="G66" s="3332"/>
      <c r="H66" s="3332"/>
      <c r="I66" s="3333"/>
      <c r="J66" s="2540">
        <v>52</v>
      </c>
      <c r="K66" s="3235" t="s">
        <v>720</v>
      </c>
      <c r="L66" s="3235" t="s">
        <v>721</v>
      </c>
      <c r="M66" s="3340">
        <v>3</v>
      </c>
      <c r="N66" s="2823" t="s">
        <v>728</v>
      </c>
      <c r="O66" s="3229" t="s">
        <v>722</v>
      </c>
      <c r="P66" s="3235" t="s">
        <v>723</v>
      </c>
      <c r="Q66" s="3249">
        <f>(V66+V68+V70+V72+V74+V76)/R66</f>
        <v>1</v>
      </c>
      <c r="R66" s="3255">
        <f>SUM(V66:V77)</f>
        <v>119240000</v>
      </c>
      <c r="S66" s="3235" t="s">
        <v>724</v>
      </c>
      <c r="T66" s="2821" t="s">
        <v>725</v>
      </c>
      <c r="U66" s="3282" t="s">
        <v>726</v>
      </c>
      <c r="V66" s="3264">
        <v>46050000</v>
      </c>
      <c r="W66" s="3339">
        <v>20</v>
      </c>
      <c r="X66" s="3271" t="s">
        <v>645</v>
      </c>
      <c r="Y66" s="3275">
        <v>294321</v>
      </c>
      <c r="Z66" s="3275">
        <v>283947</v>
      </c>
      <c r="AA66" s="3275">
        <v>135754</v>
      </c>
      <c r="AB66" s="3275">
        <v>44640</v>
      </c>
      <c r="AC66" s="3275">
        <v>308178</v>
      </c>
      <c r="AD66" s="3290">
        <v>89696</v>
      </c>
      <c r="AE66" s="3290"/>
      <c r="AF66" s="1921"/>
      <c r="AG66" s="1921"/>
      <c r="AH66" s="1921"/>
      <c r="AI66" s="1921"/>
      <c r="AJ66" s="1921"/>
      <c r="AK66" s="1921"/>
      <c r="AL66" s="1921"/>
      <c r="AM66" s="1921"/>
      <c r="AN66" s="3275">
        <f>+Y66+Z66</f>
        <v>578268</v>
      </c>
      <c r="AO66" s="3257">
        <v>43467</v>
      </c>
      <c r="AP66" s="3257">
        <v>43830</v>
      </c>
      <c r="AQ66" s="3260" t="s">
        <v>646</v>
      </c>
    </row>
    <row r="67" spans="1:43" ht="35.25" customHeight="1" x14ac:dyDescent="0.2">
      <c r="A67" s="3221"/>
      <c r="B67" s="3222"/>
      <c r="C67" s="3223"/>
      <c r="D67" s="3334"/>
      <c r="E67" s="3335"/>
      <c r="F67" s="3336"/>
      <c r="G67" s="3335"/>
      <c r="H67" s="3335"/>
      <c r="I67" s="3336"/>
      <c r="J67" s="2597"/>
      <c r="K67" s="2845"/>
      <c r="L67" s="2845"/>
      <c r="M67" s="3253"/>
      <c r="N67" s="2824"/>
      <c r="O67" s="3230"/>
      <c r="P67" s="2845"/>
      <c r="Q67" s="3250"/>
      <c r="R67" s="3256"/>
      <c r="S67" s="2845"/>
      <c r="T67" s="3242"/>
      <c r="U67" s="3284"/>
      <c r="V67" s="3264"/>
      <c r="W67" s="3339"/>
      <c r="X67" s="3266"/>
      <c r="Y67" s="3276"/>
      <c r="Z67" s="3276"/>
      <c r="AA67" s="3276"/>
      <c r="AB67" s="3276"/>
      <c r="AC67" s="3276"/>
      <c r="AD67" s="2844"/>
      <c r="AE67" s="2844"/>
      <c r="AF67" s="1922"/>
      <c r="AG67" s="1922"/>
      <c r="AH67" s="1922"/>
      <c r="AI67" s="1922"/>
      <c r="AJ67" s="1922"/>
      <c r="AK67" s="1922"/>
      <c r="AL67" s="1922"/>
      <c r="AM67" s="1922"/>
      <c r="AN67" s="3276"/>
      <c r="AO67" s="3258"/>
      <c r="AP67" s="3258"/>
      <c r="AQ67" s="3261"/>
    </row>
    <row r="68" spans="1:43" ht="21" customHeight="1" x14ac:dyDescent="0.2">
      <c r="A68" s="3221"/>
      <c r="B68" s="3222"/>
      <c r="C68" s="3223"/>
      <c r="D68" s="3334"/>
      <c r="E68" s="3335"/>
      <c r="F68" s="3336"/>
      <c r="G68" s="3335"/>
      <c r="H68" s="3335"/>
      <c r="I68" s="3336"/>
      <c r="J68" s="2597"/>
      <c r="K68" s="2845"/>
      <c r="L68" s="2845"/>
      <c r="M68" s="3253"/>
      <c r="N68" s="2824"/>
      <c r="O68" s="3230"/>
      <c r="P68" s="2845"/>
      <c r="Q68" s="3250"/>
      <c r="R68" s="3256"/>
      <c r="S68" s="2845"/>
      <c r="T68" s="3242"/>
      <c r="U68" s="3282" t="s">
        <v>727</v>
      </c>
      <c r="V68" s="3264">
        <v>13145000</v>
      </c>
      <c r="W68" s="3339">
        <v>20</v>
      </c>
      <c r="X68" s="3266"/>
      <c r="Y68" s="3276"/>
      <c r="Z68" s="3276"/>
      <c r="AA68" s="3276"/>
      <c r="AB68" s="3276"/>
      <c r="AC68" s="3276"/>
      <c r="AD68" s="2844"/>
      <c r="AE68" s="2844"/>
      <c r="AF68" s="1922"/>
      <c r="AG68" s="1922"/>
      <c r="AH68" s="1922"/>
      <c r="AI68" s="1922"/>
      <c r="AJ68" s="1922"/>
      <c r="AK68" s="1922"/>
      <c r="AL68" s="1922"/>
      <c r="AM68" s="1922"/>
      <c r="AN68" s="3276"/>
      <c r="AO68" s="3258"/>
      <c r="AP68" s="3258"/>
      <c r="AQ68" s="3261"/>
    </row>
    <row r="69" spans="1:43" ht="40.5" customHeight="1" x14ac:dyDescent="0.2">
      <c r="A69" s="3221"/>
      <c r="B69" s="3222"/>
      <c r="C69" s="3223"/>
      <c r="D69" s="3334"/>
      <c r="E69" s="3335"/>
      <c r="F69" s="3336"/>
      <c r="G69" s="3335"/>
      <c r="H69" s="3335"/>
      <c r="I69" s="3336"/>
      <c r="J69" s="2597"/>
      <c r="K69" s="2845"/>
      <c r="L69" s="2845"/>
      <c r="M69" s="3253"/>
      <c r="N69" s="2824"/>
      <c r="O69" s="3230"/>
      <c r="P69" s="2845"/>
      <c r="Q69" s="3250"/>
      <c r="R69" s="3256"/>
      <c r="S69" s="2845"/>
      <c r="T69" s="3242"/>
      <c r="U69" s="3284"/>
      <c r="V69" s="3264"/>
      <c r="W69" s="3339"/>
      <c r="X69" s="3266"/>
      <c r="Y69" s="3276"/>
      <c r="Z69" s="3276"/>
      <c r="AA69" s="3276"/>
      <c r="AB69" s="3276"/>
      <c r="AC69" s="3276"/>
      <c r="AD69" s="2844"/>
      <c r="AE69" s="2844"/>
      <c r="AF69" s="1922"/>
      <c r="AG69" s="1922"/>
      <c r="AH69" s="1922"/>
      <c r="AI69" s="1922"/>
      <c r="AJ69" s="1922"/>
      <c r="AK69" s="1922"/>
      <c r="AL69" s="1922"/>
      <c r="AM69" s="1922"/>
      <c r="AN69" s="3276"/>
      <c r="AO69" s="3258"/>
      <c r="AP69" s="3258"/>
      <c r="AQ69" s="3261"/>
    </row>
    <row r="70" spans="1:43" ht="30" customHeight="1" x14ac:dyDescent="0.2">
      <c r="A70" s="3221"/>
      <c r="B70" s="3222"/>
      <c r="C70" s="3223"/>
      <c r="D70" s="3334"/>
      <c r="E70" s="3335"/>
      <c r="F70" s="3336"/>
      <c r="G70" s="3335"/>
      <c r="H70" s="3335"/>
      <c r="I70" s="3336"/>
      <c r="J70" s="2597"/>
      <c r="K70" s="2845"/>
      <c r="L70" s="2845"/>
      <c r="M70" s="3253"/>
      <c r="N70" s="2824"/>
      <c r="O70" s="3230"/>
      <c r="P70" s="2845"/>
      <c r="Q70" s="3250"/>
      <c r="R70" s="3256"/>
      <c r="S70" s="2845"/>
      <c r="T70" s="3242"/>
      <c r="U70" s="3282" t="s">
        <v>729</v>
      </c>
      <c r="V70" s="3264">
        <v>30000000</v>
      </c>
      <c r="W70" s="3339">
        <v>20</v>
      </c>
      <c r="X70" s="3266"/>
      <c r="Y70" s="3276"/>
      <c r="Z70" s="3276"/>
      <c r="AA70" s="3276"/>
      <c r="AB70" s="3276"/>
      <c r="AC70" s="3276"/>
      <c r="AD70" s="2844"/>
      <c r="AE70" s="2844"/>
      <c r="AF70" s="1922"/>
      <c r="AG70" s="1922"/>
      <c r="AH70" s="1922"/>
      <c r="AI70" s="1922"/>
      <c r="AJ70" s="1922"/>
      <c r="AK70" s="1922"/>
      <c r="AL70" s="1922"/>
      <c r="AM70" s="1922"/>
      <c r="AN70" s="3276"/>
      <c r="AO70" s="3258"/>
      <c r="AP70" s="3258"/>
      <c r="AQ70" s="3261"/>
    </row>
    <row r="71" spans="1:43" ht="22.5" customHeight="1" x14ac:dyDescent="0.2">
      <c r="A71" s="3221"/>
      <c r="B71" s="3222"/>
      <c r="C71" s="3223"/>
      <c r="D71" s="3334"/>
      <c r="E71" s="3335"/>
      <c r="F71" s="3336"/>
      <c r="G71" s="3335"/>
      <c r="H71" s="3335"/>
      <c r="I71" s="3336"/>
      <c r="J71" s="2597"/>
      <c r="K71" s="2845"/>
      <c r="L71" s="2845"/>
      <c r="M71" s="3253"/>
      <c r="N71" s="2824"/>
      <c r="O71" s="3230"/>
      <c r="P71" s="2845"/>
      <c r="Q71" s="3250"/>
      <c r="R71" s="3256"/>
      <c r="S71" s="2845"/>
      <c r="T71" s="3242"/>
      <c r="U71" s="3284"/>
      <c r="V71" s="3264"/>
      <c r="W71" s="3339"/>
      <c r="X71" s="3266"/>
      <c r="Y71" s="3276"/>
      <c r="Z71" s="3276"/>
      <c r="AA71" s="3276"/>
      <c r="AB71" s="3276"/>
      <c r="AC71" s="3276"/>
      <c r="AD71" s="2844"/>
      <c r="AE71" s="2844"/>
      <c r="AF71" s="1922"/>
      <c r="AG71" s="1922"/>
      <c r="AH71" s="1922"/>
      <c r="AI71" s="1922"/>
      <c r="AJ71" s="1922"/>
      <c r="AK71" s="1922"/>
      <c r="AL71" s="1922"/>
      <c r="AM71" s="1922"/>
      <c r="AN71" s="3276"/>
      <c r="AO71" s="3258"/>
      <c r="AP71" s="3258"/>
      <c r="AQ71" s="3261"/>
    </row>
    <row r="72" spans="1:43" ht="27.75" customHeight="1" x14ac:dyDescent="0.2">
      <c r="A72" s="3221"/>
      <c r="B72" s="3222"/>
      <c r="C72" s="3223"/>
      <c r="D72" s="3334"/>
      <c r="E72" s="3335"/>
      <c r="F72" s="3336"/>
      <c r="G72" s="3335"/>
      <c r="H72" s="3335"/>
      <c r="I72" s="3336"/>
      <c r="J72" s="2597"/>
      <c r="K72" s="2845"/>
      <c r="L72" s="2845"/>
      <c r="M72" s="3253"/>
      <c r="N72" s="2824"/>
      <c r="O72" s="3230"/>
      <c r="P72" s="2845"/>
      <c r="Q72" s="3250"/>
      <c r="R72" s="3256"/>
      <c r="S72" s="2845"/>
      <c r="T72" s="3242"/>
      <c r="U72" s="3282" t="s">
        <v>730</v>
      </c>
      <c r="V72" s="3264">
        <v>6500000</v>
      </c>
      <c r="W72" s="3339">
        <v>20</v>
      </c>
      <c r="X72" s="3266"/>
      <c r="Y72" s="3276"/>
      <c r="Z72" s="3276"/>
      <c r="AA72" s="3276"/>
      <c r="AB72" s="3276"/>
      <c r="AC72" s="3276"/>
      <c r="AD72" s="2844"/>
      <c r="AE72" s="2844"/>
      <c r="AF72" s="1922"/>
      <c r="AG72" s="1922"/>
      <c r="AH72" s="1922"/>
      <c r="AI72" s="1922"/>
      <c r="AJ72" s="1922"/>
      <c r="AK72" s="1922"/>
      <c r="AL72" s="1922"/>
      <c r="AM72" s="1922"/>
      <c r="AN72" s="3276"/>
      <c r="AO72" s="3258"/>
      <c r="AP72" s="3258"/>
      <c r="AQ72" s="3261"/>
    </row>
    <row r="73" spans="1:43" ht="30" customHeight="1" x14ac:dyDescent="0.2">
      <c r="A73" s="3221"/>
      <c r="B73" s="3222"/>
      <c r="C73" s="3223"/>
      <c r="D73" s="3334"/>
      <c r="E73" s="3335"/>
      <c r="F73" s="3336"/>
      <c r="G73" s="3335"/>
      <c r="H73" s="3335"/>
      <c r="I73" s="3336"/>
      <c r="J73" s="2597"/>
      <c r="K73" s="2845"/>
      <c r="L73" s="2845"/>
      <c r="M73" s="3253"/>
      <c r="N73" s="2824"/>
      <c r="O73" s="3230"/>
      <c r="P73" s="2845"/>
      <c r="Q73" s="3250"/>
      <c r="R73" s="3256"/>
      <c r="S73" s="2845"/>
      <c r="T73" s="3242"/>
      <c r="U73" s="3284"/>
      <c r="V73" s="3264"/>
      <c r="W73" s="3339"/>
      <c r="X73" s="3266"/>
      <c r="Y73" s="3276"/>
      <c r="Z73" s="3276"/>
      <c r="AA73" s="3276"/>
      <c r="AB73" s="3276"/>
      <c r="AC73" s="3276"/>
      <c r="AD73" s="2844"/>
      <c r="AE73" s="2844"/>
      <c r="AF73" s="1922"/>
      <c r="AG73" s="1922"/>
      <c r="AH73" s="1922"/>
      <c r="AI73" s="1922"/>
      <c r="AJ73" s="1922"/>
      <c r="AK73" s="1922"/>
      <c r="AL73" s="1922"/>
      <c r="AM73" s="1922"/>
      <c r="AN73" s="3276"/>
      <c r="AO73" s="3258"/>
      <c r="AP73" s="3258"/>
      <c r="AQ73" s="3261"/>
    </row>
    <row r="74" spans="1:43" ht="36" customHeight="1" x14ac:dyDescent="0.2">
      <c r="A74" s="3221"/>
      <c r="B74" s="3222"/>
      <c r="C74" s="3223"/>
      <c r="D74" s="3334"/>
      <c r="E74" s="3335"/>
      <c r="F74" s="3336"/>
      <c r="G74" s="3335"/>
      <c r="H74" s="3335"/>
      <c r="I74" s="3336"/>
      <c r="J74" s="2597"/>
      <c r="K74" s="2845"/>
      <c r="L74" s="2845"/>
      <c r="M74" s="3253"/>
      <c r="N74" s="2824"/>
      <c r="O74" s="3230"/>
      <c r="P74" s="2845"/>
      <c r="Q74" s="3250"/>
      <c r="R74" s="3256"/>
      <c r="S74" s="2845"/>
      <c r="T74" s="3242"/>
      <c r="U74" s="3282" t="s">
        <v>731</v>
      </c>
      <c r="V74" s="3264">
        <v>4740000</v>
      </c>
      <c r="W74" s="3339">
        <v>20</v>
      </c>
      <c r="X74" s="3266"/>
      <c r="Y74" s="3276"/>
      <c r="Z74" s="3276"/>
      <c r="AA74" s="3276"/>
      <c r="AB74" s="3276"/>
      <c r="AC74" s="3276"/>
      <c r="AD74" s="2844"/>
      <c r="AE74" s="2844"/>
      <c r="AF74" s="1922"/>
      <c r="AG74" s="1922"/>
      <c r="AH74" s="1922"/>
      <c r="AI74" s="1922"/>
      <c r="AJ74" s="1922"/>
      <c r="AK74" s="1922"/>
      <c r="AL74" s="1922"/>
      <c r="AM74" s="1922"/>
      <c r="AN74" s="3276"/>
      <c r="AO74" s="3258"/>
      <c r="AP74" s="3258"/>
      <c r="AQ74" s="3261"/>
    </row>
    <row r="75" spans="1:43" ht="33.75" customHeight="1" x14ac:dyDescent="0.2">
      <c r="A75" s="3221"/>
      <c r="B75" s="3222"/>
      <c r="C75" s="3223"/>
      <c r="D75" s="3334"/>
      <c r="E75" s="3335"/>
      <c r="F75" s="3336"/>
      <c r="G75" s="3335"/>
      <c r="H75" s="3335"/>
      <c r="I75" s="3336"/>
      <c r="J75" s="2597"/>
      <c r="K75" s="2845"/>
      <c r="L75" s="2845"/>
      <c r="M75" s="3253"/>
      <c r="N75" s="2824"/>
      <c r="O75" s="3230"/>
      <c r="P75" s="2845"/>
      <c r="Q75" s="3250"/>
      <c r="R75" s="3256"/>
      <c r="S75" s="2845"/>
      <c r="T75" s="3242"/>
      <c r="U75" s="3284"/>
      <c r="V75" s="3264"/>
      <c r="W75" s="3339"/>
      <c r="X75" s="3266"/>
      <c r="Y75" s="3276"/>
      <c r="Z75" s="3276"/>
      <c r="AA75" s="3276"/>
      <c r="AB75" s="3276"/>
      <c r="AC75" s="3276"/>
      <c r="AD75" s="2844"/>
      <c r="AE75" s="2844"/>
      <c r="AF75" s="1922"/>
      <c r="AG75" s="1922"/>
      <c r="AH75" s="1922"/>
      <c r="AI75" s="1922"/>
      <c r="AJ75" s="1922"/>
      <c r="AK75" s="1922"/>
      <c r="AL75" s="1922"/>
      <c r="AM75" s="1922"/>
      <c r="AN75" s="3276"/>
      <c r="AO75" s="3258"/>
      <c r="AP75" s="3258"/>
      <c r="AQ75" s="3261"/>
    </row>
    <row r="76" spans="1:43" ht="27.75" customHeight="1" x14ac:dyDescent="0.2">
      <c r="A76" s="3221"/>
      <c r="B76" s="3222"/>
      <c r="C76" s="3223"/>
      <c r="D76" s="3334"/>
      <c r="E76" s="3335"/>
      <c r="F76" s="3336"/>
      <c r="G76" s="3335"/>
      <c r="H76" s="3335"/>
      <c r="I76" s="3336"/>
      <c r="J76" s="2597"/>
      <c r="K76" s="2845"/>
      <c r="L76" s="2845"/>
      <c r="M76" s="3253"/>
      <c r="N76" s="2824"/>
      <c r="O76" s="3230"/>
      <c r="P76" s="2845"/>
      <c r="Q76" s="3250"/>
      <c r="R76" s="3256"/>
      <c r="S76" s="2845"/>
      <c r="T76" s="3242"/>
      <c r="U76" s="3282" t="s">
        <v>732</v>
      </c>
      <c r="V76" s="3264">
        <v>18805000</v>
      </c>
      <c r="W76" s="3339">
        <v>20</v>
      </c>
      <c r="X76" s="3266"/>
      <c r="Y76" s="3276"/>
      <c r="Z76" s="3276"/>
      <c r="AA76" s="3276"/>
      <c r="AB76" s="3276"/>
      <c r="AC76" s="3276"/>
      <c r="AD76" s="2844"/>
      <c r="AE76" s="2844"/>
      <c r="AF76" s="1922"/>
      <c r="AG76" s="1922"/>
      <c r="AH76" s="1922"/>
      <c r="AI76" s="1922"/>
      <c r="AJ76" s="1922"/>
      <c r="AK76" s="1922"/>
      <c r="AL76" s="1922"/>
      <c r="AM76" s="1922"/>
      <c r="AN76" s="3276"/>
      <c r="AO76" s="3258"/>
      <c r="AP76" s="3258"/>
      <c r="AQ76" s="3261"/>
    </row>
    <row r="77" spans="1:43" ht="27.75" customHeight="1" x14ac:dyDescent="0.2">
      <c r="A77" s="3221"/>
      <c r="B77" s="3222"/>
      <c r="C77" s="3223"/>
      <c r="D77" s="3334"/>
      <c r="E77" s="3335"/>
      <c r="F77" s="3336"/>
      <c r="G77" s="3337"/>
      <c r="H77" s="3337"/>
      <c r="I77" s="3338"/>
      <c r="J77" s="2519"/>
      <c r="K77" s="3325"/>
      <c r="L77" s="3325"/>
      <c r="M77" s="3341"/>
      <c r="N77" s="2825"/>
      <c r="O77" s="3232"/>
      <c r="P77" s="3325"/>
      <c r="Q77" s="3326"/>
      <c r="R77" s="3327"/>
      <c r="S77" s="3325"/>
      <c r="T77" s="2822"/>
      <c r="U77" s="3284"/>
      <c r="V77" s="3264"/>
      <c r="W77" s="3339"/>
      <c r="X77" s="3267"/>
      <c r="Y77" s="3277"/>
      <c r="Z77" s="3277"/>
      <c r="AA77" s="3277"/>
      <c r="AB77" s="3277"/>
      <c r="AC77" s="3277"/>
      <c r="AD77" s="3291"/>
      <c r="AE77" s="3291"/>
      <c r="AF77" s="1923"/>
      <c r="AG77" s="1923"/>
      <c r="AH77" s="1923"/>
      <c r="AI77" s="1923"/>
      <c r="AJ77" s="1923"/>
      <c r="AK77" s="1923"/>
      <c r="AL77" s="1923"/>
      <c r="AM77" s="1923"/>
      <c r="AN77" s="3277"/>
      <c r="AO77" s="3259"/>
      <c r="AP77" s="3259"/>
      <c r="AQ77" s="3262"/>
    </row>
    <row r="78" spans="1:43" ht="15.75" x14ac:dyDescent="0.2">
      <c r="A78" s="3221"/>
      <c r="B78" s="3222"/>
      <c r="C78" s="3223"/>
      <c r="D78" s="3334"/>
      <c r="E78" s="3335"/>
      <c r="F78" s="3336"/>
      <c r="G78" s="474">
        <v>13</v>
      </c>
      <c r="H78" s="475" t="s">
        <v>733</v>
      </c>
      <c r="I78" s="475"/>
      <c r="J78" s="488"/>
      <c r="K78" s="489"/>
      <c r="L78" s="489"/>
      <c r="M78" s="488"/>
      <c r="N78" s="490"/>
      <c r="O78" s="491"/>
      <c r="P78" s="489"/>
      <c r="Q78" s="492"/>
      <c r="R78" s="493"/>
      <c r="S78" s="489"/>
      <c r="T78" s="489"/>
      <c r="U78" s="1291"/>
      <c r="V78" s="1292"/>
      <c r="W78" s="494"/>
      <c r="X78" s="364"/>
      <c r="Y78" s="495"/>
      <c r="Z78" s="495"/>
      <c r="AA78" s="488"/>
      <c r="AB78" s="488"/>
      <c r="AC78" s="488"/>
      <c r="AD78" s="488"/>
      <c r="AE78" s="488"/>
      <c r="AF78" s="488"/>
      <c r="AG78" s="488"/>
      <c r="AH78" s="488"/>
      <c r="AI78" s="488"/>
      <c r="AJ78" s="488"/>
      <c r="AK78" s="488"/>
      <c r="AL78" s="488"/>
      <c r="AM78" s="488"/>
      <c r="AN78" s="495"/>
      <c r="AO78" s="496"/>
      <c r="AP78" s="496"/>
      <c r="AQ78" s="497"/>
    </row>
    <row r="79" spans="1:43" ht="35.25" customHeight="1" x14ac:dyDescent="0.2">
      <c r="A79" s="3221"/>
      <c r="B79" s="3222"/>
      <c r="C79" s="3223"/>
      <c r="D79" s="3334"/>
      <c r="E79" s="3335"/>
      <c r="F79" s="3336"/>
      <c r="G79" s="3331"/>
      <c r="H79" s="3332"/>
      <c r="I79" s="3333"/>
      <c r="J79" s="2597">
        <v>53</v>
      </c>
      <c r="K79" s="3235" t="s">
        <v>734</v>
      </c>
      <c r="L79" s="3235" t="s">
        <v>735</v>
      </c>
      <c r="M79" s="2823">
        <v>1</v>
      </c>
      <c r="N79" s="2823" t="s">
        <v>736</v>
      </c>
      <c r="O79" s="2823" t="s">
        <v>737</v>
      </c>
      <c r="P79" s="3235" t="s">
        <v>738</v>
      </c>
      <c r="Q79" s="3249">
        <f>SUM(V79:V84)/R79</f>
        <v>1</v>
      </c>
      <c r="R79" s="2867">
        <f>SUM(V79:V84)</f>
        <v>1431890390</v>
      </c>
      <c r="S79" s="3235" t="s">
        <v>739</v>
      </c>
      <c r="T79" s="3328" t="s">
        <v>740</v>
      </c>
      <c r="U79" s="3329" t="s">
        <v>741</v>
      </c>
      <c r="V79" s="1967">
        <v>248604326</v>
      </c>
      <c r="W79" s="1722">
        <v>20</v>
      </c>
      <c r="X79" s="1920" t="s">
        <v>61</v>
      </c>
      <c r="Y79" s="3280">
        <v>294321</v>
      </c>
      <c r="Z79" s="3280">
        <v>283947</v>
      </c>
      <c r="AA79" s="3280">
        <v>135754</v>
      </c>
      <c r="AB79" s="3280">
        <v>44640</v>
      </c>
      <c r="AC79" s="3280">
        <v>308178</v>
      </c>
      <c r="AD79" s="3290">
        <v>89696</v>
      </c>
      <c r="AE79" s="3290"/>
      <c r="AF79" s="1921"/>
      <c r="AG79" s="1921"/>
      <c r="AH79" s="1921"/>
      <c r="AI79" s="1921"/>
      <c r="AJ79" s="1921"/>
      <c r="AK79" s="1921"/>
      <c r="AL79" s="1921"/>
      <c r="AM79" s="1921"/>
      <c r="AN79" s="3275">
        <f>+Y79+Z79</f>
        <v>578268</v>
      </c>
      <c r="AO79" s="3257">
        <v>43467</v>
      </c>
      <c r="AP79" s="3257">
        <v>43830</v>
      </c>
      <c r="AQ79" s="3260" t="s">
        <v>646</v>
      </c>
    </row>
    <row r="80" spans="1:43" ht="42.75" customHeight="1" x14ac:dyDescent="0.2">
      <c r="A80" s="3221"/>
      <c r="B80" s="3222"/>
      <c r="C80" s="3223"/>
      <c r="D80" s="3334"/>
      <c r="E80" s="3335"/>
      <c r="F80" s="3336"/>
      <c r="G80" s="3334"/>
      <c r="H80" s="3335"/>
      <c r="I80" s="3336"/>
      <c r="J80" s="2597"/>
      <c r="K80" s="2845"/>
      <c r="L80" s="2845"/>
      <c r="M80" s="2824"/>
      <c r="N80" s="2824"/>
      <c r="O80" s="2824"/>
      <c r="P80" s="2845"/>
      <c r="Q80" s="3250"/>
      <c r="R80" s="3330"/>
      <c r="S80" s="2845"/>
      <c r="T80" s="3318"/>
      <c r="U80" s="3329"/>
      <c r="V80" s="1967">
        <v>507251389</v>
      </c>
      <c r="W80" s="1722">
        <v>52</v>
      </c>
      <c r="X80" s="1920" t="s">
        <v>742</v>
      </c>
      <c r="Y80" s="3281"/>
      <c r="Z80" s="3281"/>
      <c r="AA80" s="3281"/>
      <c r="AB80" s="3281"/>
      <c r="AC80" s="3281"/>
      <c r="AD80" s="2844"/>
      <c r="AE80" s="2844"/>
      <c r="AF80" s="1922"/>
      <c r="AG80" s="1922"/>
      <c r="AH80" s="1922"/>
      <c r="AI80" s="1922"/>
      <c r="AJ80" s="1922"/>
      <c r="AK80" s="1922"/>
      <c r="AL80" s="1922"/>
      <c r="AM80" s="1922"/>
      <c r="AN80" s="3276"/>
      <c r="AO80" s="3258"/>
      <c r="AP80" s="3258"/>
      <c r="AQ80" s="3307"/>
    </row>
    <row r="81" spans="1:43" ht="35.25" customHeight="1" x14ac:dyDescent="0.2">
      <c r="A81" s="3221"/>
      <c r="B81" s="3222"/>
      <c r="C81" s="3223"/>
      <c r="D81" s="3334"/>
      <c r="E81" s="3335"/>
      <c r="F81" s="3336"/>
      <c r="G81" s="3334"/>
      <c r="H81" s="3335"/>
      <c r="I81" s="3336"/>
      <c r="J81" s="2597"/>
      <c r="K81" s="2845"/>
      <c r="L81" s="2845"/>
      <c r="M81" s="2824"/>
      <c r="N81" s="2824"/>
      <c r="O81" s="2824"/>
      <c r="P81" s="2845"/>
      <c r="Q81" s="3250"/>
      <c r="R81" s="3330"/>
      <c r="S81" s="2845"/>
      <c r="T81" s="3318"/>
      <c r="U81" s="3329"/>
      <c r="V81" s="1967">
        <f>0+400000000+128998611</f>
        <v>528998611</v>
      </c>
      <c r="W81" s="1723">
        <v>88</v>
      </c>
      <c r="X81" s="1920" t="s">
        <v>163</v>
      </c>
      <c r="Y81" s="3281"/>
      <c r="Z81" s="3281"/>
      <c r="AA81" s="3281"/>
      <c r="AB81" s="3281"/>
      <c r="AC81" s="3281"/>
      <c r="AD81" s="2844"/>
      <c r="AE81" s="2844"/>
      <c r="AF81" s="1922"/>
      <c r="AG81" s="1922"/>
      <c r="AH81" s="1922"/>
      <c r="AI81" s="1922"/>
      <c r="AJ81" s="1922"/>
      <c r="AK81" s="1922"/>
      <c r="AL81" s="1922"/>
      <c r="AM81" s="1922"/>
      <c r="AN81" s="3276"/>
      <c r="AO81" s="3258"/>
      <c r="AP81" s="3258"/>
      <c r="AQ81" s="3307"/>
    </row>
    <row r="82" spans="1:43" ht="35.25" customHeight="1" x14ac:dyDescent="0.2">
      <c r="A82" s="3221"/>
      <c r="B82" s="3222"/>
      <c r="C82" s="3223"/>
      <c r="D82" s="3334"/>
      <c r="E82" s="3335"/>
      <c r="F82" s="3336"/>
      <c r="G82" s="3334"/>
      <c r="H82" s="3335"/>
      <c r="I82" s="3336"/>
      <c r="J82" s="2597"/>
      <c r="K82" s="2845"/>
      <c r="L82" s="2845"/>
      <c r="M82" s="2824"/>
      <c r="N82" s="2824"/>
      <c r="O82" s="2824"/>
      <c r="P82" s="2845"/>
      <c r="Q82" s="3250"/>
      <c r="R82" s="3330"/>
      <c r="S82" s="2845"/>
      <c r="T82" s="3318"/>
      <c r="U82" s="3329"/>
      <c r="V82" s="1967">
        <f>0+72966900</f>
        <v>72966900</v>
      </c>
      <c r="W82" s="1723">
        <v>94</v>
      </c>
      <c r="X82" s="1723" t="s">
        <v>1768</v>
      </c>
      <c r="Y82" s="3281"/>
      <c r="Z82" s="3281"/>
      <c r="AA82" s="3281"/>
      <c r="AB82" s="3281"/>
      <c r="AC82" s="3281"/>
      <c r="AD82" s="2844"/>
      <c r="AE82" s="2844"/>
      <c r="AF82" s="1922"/>
      <c r="AG82" s="1922"/>
      <c r="AH82" s="1922"/>
      <c r="AI82" s="1922"/>
      <c r="AJ82" s="1922"/>
      <c r="AK82" s="1922"/>
      <c r="AL82" s="1922"/>
      <c r="AM82" s="1922"/>
      <c r="AN82" s="3276"/>
      <c r="AO82" s="3258"/>
      <c r="AP82" s="3258"/>
      <c r="AQ82" s="3261"/>
    </row>
    <row r="83" spans="1:43" ht="47.25" customHeight="1" x14ac:dyDescent="0.2">
      <c r="A83" s="3221"/>
      <c r="B83" s="3222"/>
      <c r="C83" s="3223"/>
      <c r="D83" s="3334"/>
      <c r="E83" s="3335"/>
      <c r="F83" s="3336"/>
      <c r="G83" s="3334"/>
      <c r="H83" s="3335"/>
      <c r="I83" s="3336"/>
      <c r="J83" s="2597"/>
      <c r="K83" s="2845"/>
      <c r="L83" s="2845"/>
      <c r="M83" s="2824"/>
      <c r="N83" s="2824"/>
      <c r="O83" s="2824"/>
      <c r="P83" s="2845"/>
      <c r="Q83" s="3250"/>
      <c r="R83" s="3330"/>
      <c r="S83" s="2845"/>
      <c r="T83" s="3242"/>
      <c r="U83" s="3283" t="s">
        <v>743</v>
      </c>
      <c r="V83" s="3343">
        <v>74069164</v>
      </c>
      <c r="W83" s="3345">
        <v>52</v>
      </c>
      <c r="X83" s="3347" t="s">
        <v>742</v>
      </c>
      <c r="Y83" s="3281"/>
      <c r="Z83" s="3281"/>
      <c r="AA83" s="3281"/>
      <c r="AB83" s="3281"/>
      <c r="AC83" s="3281"/>
      <c r="AD83" s="2844"/>
      <c r="AE83" s="2844"/>
      <c r="AF83" s="1922"/>
      <c r="AG83" s="1922"/>
      <c r="AH83" s="1922"/>
      <c r="AI83" s="1922"/>
      <c r="AJ83" s="1922"/>
      <c r="AK83" s="1922"/>
      <c r="AL83" s="1922"/>
      <c r="AM83" s="1922"/>
      <c r="AN83" s="3276"/>
      <c r="AO83" s="3258"/>
      <c r="AP83" s="3258"/>
      <c r="AQ83" s="3261"/>
    </row>
    <row r="84" spans="1:43" ht="51.75" customHeight="1" thickBot="1" x14ac:dyDescent="0.25">
      <c r="A84" s="3221"/>
      <c r="B84" s="3222"/>
      <c r="C84" s="3223"/>
      <c r="D84" s="3334"/>
      <c r="E84" s="3335"/>
      <c r="F84" s="3336"/>
      <c r="G84" s="3334"/>
      <c r="H84" s="3335"/>
      <c r="I84" s="3336"/>
      <c r="J84" s="2597"/>
      <c r="K84" s="2845"/>
      <c r="L84" s="2845"/>
      <c r="M84" s="2824"/>
      <c r="N84" s="2824"/>
      <c r="O84" s="2824"/>
      <c r="P84" s="2845"/>
      <c r="Q84" s="3250"/>
      <c r="R84" s="3330"/>
      <c r="S84" s="2845"/>
      <c r="T84" s="3242"/>
      <c r="U84" s="3283"/>
      <c r="V84" s="3344"/>
      <c r="W84" s="3346"/>
      <c r="X84" s="3287"/>
      <c r="Y84" s="3281"/>
      <c r="Z84" s="3281"/>
      <c r="AA84" s="3281"/>
      <c r="AB84" s="3281"/>
      <c r="AC84" s="3281"/>
      <c r="AD84" s="2844"/>
      <c r="AE84" s="2844"/>
      <c r="AF84" s="1922"/>
      <c r="AG84" s="1922"/>
      <c r="AH84" s="1922"/>
      <c r="AI84" s="1922"/>
      <c r="AJ84" s="1922"/>
      <c r="AK84" s="1922"/>
      <c r="AL84" s="1922"/>
      <c r="AM84" s="1922"/>
      <c r="AN84" s="3276"/>
      <c r="AO84" s="3258"/>
      <c r="AP84" s="3258"/>
      <c r="AQ84" s="3261"/>
    </row>
    <row r="85" spans="1:43" ht="27.75" customHeight="1" thickBot="1" x14ac:dyDescent="0.25">
      <c r="A85" s="498"/>
      <c r="B85" s="244"/>
      <c r="C85" s="244"/>
      <c r="D85" s="244"/>
      <c r="E85" s="244"/>
      <c r="F85" s="244"/>
      <c r="G85" s="244"/>
      <c r="H85" s="244"/>
      <c r="I85" s="244"/>
      <c r="J85" s="244"/>
      <c r="K85" s="237"/>
      <c r="L85" s="238"/>
      <c r="M85" s="499"/>
      <c r="N85" s="499"/>
      <c r="O85" s="240"/>
      <c r="P85" s="500" t="s">
        <v>343</v>
      </c>
      <c r="Q85" s="369"/>
      <c r="R85" s="501">
        <f>R79+R66+R60+R49+R32+R22+R13</f>
        <v>2910880390</v>
      </c>
      <c r="S85" s="242"/>
      <c r="T85" s="237"/>
      <c r="U85" s="243"/>
      <c r="V85" s="1968">
        <f>SUM(V13:V84)</f>
        <v>2910880390</v>
      </c>
      <c r="W85" s="1969"/>
      <c r="X85" s="1970"/>
      <c r="Y85" s="502"/>
      <c r="Z85" s="502"/>
      <c r="AA85" s="244"/>
      <c r="AB85" s="244"/>
      <c r="AC85" s="244"/>
      <c r="AD85" s="244"/>
      <c r="AE85" s="244"/>
      <c r="AF85" s="244"/>
      <c r="AG85" s="244"/>
      <c r="AH85" s="244"/>
      <c r="AI85" s="244"/>
      <c r="AJ85" s="244"/>
      <c r="AK85" s="244"/>
      <c r="AL85" s="244"/>
      <c r="AM85" s="244"/>
      <c r="AN85" s="502"/>
      <c r="AO85" s="503"/>
      <c r="AP85" s="503"/>
      <c r="AQ85" s="247"/>
    </row>
    <row r="86" spans="1:43" x14ac:dyDescent="0.2">
      <c r="V86" s="505"/>
    </row>
    <row r="89" spans="1:43" ht="44.25" customHeight="1" x14ac:dyDescent="0.2">
      <c r="J89" s="2918"/>
      <c r="K89" s="2918"/>
      <c r="L89" s="2918"/>
      <c r="M89" s="2918"/>
      <c r="N89" s="2918"/>
      <c r="O89" s="2918"/>
      <c r="P89" s="2918"/>
    </row>
    <row r="90" spans="1:43" ht="44.25" customHeight="1" x14ac:dyDescent="0.2">
      <c r="J90" s="1971"/>
      <c r="K90" s="1971"/>
      <c r="L90" s="1971"/>
      <c r="M90" s="1971"/>
      <c r="N90" s="1971"/>
      <c r="O90" s="1971"/>
      <c r="P90" s="1971"/>
    </row>
    <row r="92" spans="1:43" x14ac:dyDescent="0.2">
      <c r="D92" s="1972"/>
      <c r="E92" s="1972"/>
      <c r="F92" s="25"/>
      <c r="G92" s="25"/>
      <c r="H92" s="25"/>
      <c r="I92" s="25"/>
      <c r="J92" s="25"/>
      <c r="K92" s="603"/>
      <c r="L92" s="684"/>
    </row>
    <row r="93" spans="1:43" ht="28.5" customHeight="1" x14ac:dyDescent="0.25">
      <c r="D93" s="3342" t="s">
        <v>744</v>
      </c>
      <c r="E93" s="3342"/>
      <c r="F93" s="3342"/>
      <c r="G93" s="3342"/>
      <c r="H93" s="3342"/>
      <c r="I93" s="3342"/>
      <c r="J93" s="3342"/>
      <c r="K93" s="3342"/>
      <c r="L93" s="3342"/>
    </row>
    <row r="94" spans="1:43" ht="15.75" x14ac:dyDescent="0.25">
      <c r="D94" s="3342" t="s">
        <v>745</v>
      </c>
      <c r="E94" s="3342"/>
      <c r="F94" s="3342"/>
      <c r="G94" s="3342"/>
      <c r="H94" s="3342"/>
      <c r="I94" s="3342"/>
      <c r="J94" s="3342"/>
      <c r="K94" s="3342"/>
      <c r="L94" s="3342"/>
    </row>
    <row r="95" spans="1:43" x14ac:dyDescent="0.2">
      <c r="D95" s="1972"/>
      <c r="E95" s="1972"/>
      <c r="F95" s="1972"/>
      <c r="G95" s="1972"/>
      <c r="H95" s="1972"/>
      <c r="I95" s="1972"/>
      <c r="J95" s="1972"/>
      <c r="K95" s="1973"/>
      <c r="L95" s="1974"/>
    </row>
    <row r="98" spans="1:43" x14ac:dyDescent="0.2">
      <c r="A98" s="3"/>
      <c r="K98" s="3"/>
      <c r="L98" s="3"/>
      <c r="M98" s="3"/>
      <c r="N98" s="3"/>
      <c r="Y98" s="3"/>
      <c r="Z98" s="3"/>
      <c r="AN98" s="3"/>
      <c r="AO98" s="3"/>
      <c r="AP98" s="3"/>
      <c r="AQ98" s="3"/>
    </row>
    <row r="99" spans="1:43" x14ac:dyDescent="0.2">
      <c r="A99" s="3"/>
      <c r="K99" s="3"/>
      <c r="L99" s="3"/>
      <c r="M99" s="3"/>
      <c r="N99" s="3"/>
      <c r="Y99" s="3"/>
      <c r="Z99" s="3"/>
      <c r="AN99" s="3"/>
      <c r="AO99" s="3"/>
      <c r="AP99" s="3"/>
      <c r="AQ99" s="3"/>
    </row>
  </sheetData>
  <sheetProtection password="A60F" sheet="1" objects="1" scenarios="1"/>
  <mergeCells count="324">
    <mergeCell ref="J89:P89"/>
    <mergeCell ref="D93:L93"/>
    <mergeCell ref="D94:L94"/>
    <mergeCell ref="AD79:AD84"/>
    <mergeCell ref="AE79:AE84"/>
    <mergeCell ref="AN79:AN84"/>
    <mergeCell ref="AO79:AO84"/>
    <mergeCell ref="AP79:AP84"/>
    <mergeCell ref="AQ79:AQ84"/>
    <mergeCell ref="U79:U82"/>
    <mergeCell ref="Y79:Y84"/>
    <mergeCell ref="Z79:Z84"/>
    <mergeCell ref="AA79:AA84"/>
    <mergeCell ref="AB79:AB84"/>
    <mergeCell ref="AC79:AC84"/>
    <mergeCell ref="U83:U84"/>
    <mergeCell ref="V83:V84"/>
    <mergeCell ref="W83:W84"/>
    <mergeCell ref="X83:X84"/>
    <mergeCell ref="O79:O84"/>
    <mergeCell ref="P79:P84"/>
    <mergeCell ref="Q79:Q84"/>
    <mergeCell ref="R79:R84"/>
    <mergeCell ref="S79:S84"/>
    <mergeCell ref="AE66:AE77"/>
    <mergeCell ref="AN66:AN77"/>
    <mergeCell ref="AO66:AO77"/>
    <mergeCell ref="AP66:AP77"/>
    <mergeCell ref="AQ66:AQ77"/>
    <mergeCell ref="U68:U69"/>
    <mergeCell ref="V68:V69"/>
    <mergeCell ref="W68:W69"/>
    <mergeCell ref="U70:U71"/>
    <mergeCell ref="V70:V71"/>
    <mergeCell ref="Y66:Y77"/>
    <mergeCell ref="Z66:Z77"/>
    <mergeCell ref="AA66:AA77"/>
    <mergeCell ref="AB66:AB77"/>
    <mergeCell ref="AC66:AC77"/>
    <mergeCell ref="AD66:AD77"/>
    <mergeCell ref="U66:U67"/>
    <mergeCell ref="V66:V67"/>
    <mergeCell ref="W66:W67"/>
    <mergeCell ref="X66:X77"/>
    <mergeCell ref="U74:U75"/>
    <mergeCell ref="V74:V75"/>
    <mergeCell ref="W70:W71"/>
    <mergeCell ref="U72:U73"/>
    <mergeCell ref="V72:V73"/>
    <mergeCell ref="W72:W73"/>
    <mergeCell ref="M66:M77"/>
    <mergeCell ref="N66:N77"/>
    <mergeCell ref="O66:O77"/>
    <mergeCell ref="P66:P77"/>
    <mergeCell ref="Q66:Q77"/>
    <mergeCell ref="R66:R77"/>
    <mergeCell ref="W74:W75"/>
    <mergeCell ref="U76:U77"/>
    <mergeCell ref="V76:V77"/>
    <mergeCell ref="W76:W77"/>
    <mergeCell ref="S66:S77"/>
    <mergeCell ref="T66:T77"/>
    <mergeCell ref="AO60:AO64"/>
    <mergeCell ref="AP60:AP64"/>
    <mergeCell ref="AQ60:AQ64"/>
    <mergeCell ref="J63:J64"/>
    <mergeCell ref="K63:K64"/>
    <mergeCell ref="L63:L64"/>
    <mergeCell ref="M63:M64"/>
    <mergeCell ref="Q63:Q64"/>
    <mergeCell ref="U63:U64"/>
    <mergeCell ref="V63:V64"/>
    <mergeCell ref="AA60:AA64"/>
    <mergeCell ref="AB60:AB64"/>
    <mergeCell ref="AC60:AC64"/>
    <mergeCell ref="AD60:AD64"/>
    <mergeCell ref="AE60:AE64"/>
    <mergeCell ref="AN60:AN64"/>
    <mergeCell ref="U60:U62"/>
    <mergeCell ref="V60:V62"/>
    <mergeCell ref="W60:W62"/>
    <mergeCell ref="X60:X62"/>
    <mergeCell ref="Y60:Y64"/>
    <mergeCell ref="Z60:Z64"/>
    <mergeCell ref="W63:W64"/>
    <mergeCell ref="X63:X64"/>
    <mergeCell ref="O60:O64"/>
    <mergeCell ref="P60:P64"/>
    <mergeCell ref="Q60:Q62"/>
    <mergeCell ref="R60:R64"/>
    <mergeCell ref="S60:S64"/>
    <mergeCell ref="T60:T64"/>
    <mergeCell ref="D59:F84"/>
    <mergeCell ref="J60:J62"/>
    <mergeCell ref="K60:K62"/>
    <mergeCell ref="L60:L62"/>
    <mergeCell ref="M60:M62"/>
    <mergeCell ref="N60:N64"/>
    <mergeCell ref="G66:I77"/>
    <mergeCell ref="J66:J77"/>
    <mergeCell ref="K66:K77"/>
    <mergeCell ref="L66:L77"/>
    <mergeCell ref="T79:T84"/>
    <mergeCell ref="G79:I84"/>
    <mergeCell ref="J79:J84"/>
    <mergeCell ref="K79:K84"/>
    <mergeCell ref="L79:L84"/>
    <mergeCell ref="M79:M84"/>
    <mergeCell ref="N79:N84"/>
    <mergeCell ref="Q55:Q57"/>
    <mergeCell ref="U55:U57"/>
    <mergeCell ref="V55:V57"/>
    <mergeCell ref="W55:W57"/>
    <mergeCell ref="X55:X57"/>
    <mergeCell ref="P49:P57"/>
    <mergeCell ref="Q49:Q51"/>
    <mergeCell ref="R49:R57"/>
    <mergeCell ref="S49:S57"/>
    <mergeCell ref="T49:T51"/>
    <mergeCell ref="U49:U51"/>
    <mergeCell ref="Q52:Q54"/>
    <mergeCell ref="T52:T57"/>
    <mergeCell ref="U52:U54"/>
    <mergeCell ref="AE49:AE57"/>
    <mergeCell ref="AN49:AN57"/>
    <mergeCell ref="AO49:AO57"/>
    <mergeCell ref="AP49:AP57"/>
    <mergeCell ref="AQ49:AQ57"/>
    <mergeCell ref="V50:V51"/>
    <mergeCell ref="W50:W51"/>
    <mergeCell ref="X50:X51"/>
    <mergeCell ref="V52:V54"/>
    <mergeCell ref="W52:W54"/>
    <mergeCell ref="Y49:Y57"/>
    <mergeCell ref="Z49:Z57"/>
    <mergeCell ref="AA49:AA57"/>
    <mergeCell ref="AB49:AB57"/>
    <mergeCell ref="AC49:AC57"/>
    <mergeCell ref="AD49:AD57"/>
    <mergeCell ref="X52:X54"/>
    <mergeCell ref="G49:I57"/>
    <mergeCell ref="J49:J51"/>
    <mergeCell ref="K49:K51"/>
    <mergeCell ref="L49:L51"/>
    <mergeCell ref="M49:M51"/>
    <mergeCell ref="O49:O57"/>
    <mergeCell ref="J52:J54"/>
    <mergeCell ref="K52:K54"/>
    <mergeCell ref="L52:L54"/>
    <mergeCell ref="M52:M54"/>
    <mergeCell ref="J55:J57"/>
    <mergeCell ref="K55:K57"/>
    <mergeCell ref="L55:L57"/>
    <mergeCell ref="M55:M57"/>
    <mergeCell ref="T38:T47"/>
    <mergeCell ref="J40:J43"/>
    <mergeCell ref="K40:K43"/>
    <mergeCell ref="L40:L43"/>
    <mergeCell ref="M40:M43"/>
    <mergeCell ref="R32:R47"/>
    <mergeCell ref="S32:S47"/>
    <mergeCell ref="T32:T37"/>
    <mergeCell ref="Q40:Q43"/>
    <mergeCell ref="J44:J47"/>
    <mergeCell ref="K44:K47"/>
    <mergeCell ref="L44:L47"/>
    <mergeCell ref="M44:M47"/>
    <mergeCell ref="Q44:Q47"/>
    <mergeCell ref="AO32:AO47"/>
    <mergeCell ref="AP32:AP47"/>
    <mergeCell ref="AQ32:AQ47"/>
    <mergeCell ref="V33:V34"/>
    <mergeCell ref="W33:W34"/>
    <mergeCell ref="X33:X34"/>
    <mergeCell ref="V35:V37"/>
    <mergeCell ref="W35:W37"/>
    <mergeCell ref="X35:X37"/>
    <mergeCell ref="V45:V47"/>
    <mergeCell ref="AA32:AA47"/>
    <mergeCell ref="AB32:AB47"/>
    <mergeCell ref="AC32:AC47"/>
    <mergeCell ref="AD32:AD47"/>
    <mergeCell ref="AE32:AE47"/>
    <mergeCell ref="AN32:AN47"/>
    <mergeCell ref="V40:V43"/>
    <mergeCell ref="W40:W43"/>
    <mergeCell ref="X40:X43"/>
    <mergeCell ref="U32:U34"/>
    <mergeCell ref="Y32:Y47"/>
    <mergeCell ref="Z32:Z47"/>
    <mergeCell ref="U35:U37"/>
    <mergeCell ref="U44:U47"/>
    <mergeCell ref="W45:W47"/>
    <mergeCell ref="X45:X47"/>
    <mergeCell ref="W28:W30"/>
    <mergeCell ref="X28:X30"/>
    <mergeCell ref="U28:U30"/>
    <mergeCell ref="U40:U43"/>
    <mergeCell ref="G32:I47"/>
    <mergeCell ref="J32:J37"/>
    <mergeCell ref="K32:K37"/>
    <mergeCell ref="L32:L37"/>
    <mergeCell ref="M32:M37"/>
    <mergeCell ref="O32:O47"/>
    <mergeCell ref="P32:P47"/>
    <mergeCell ref="Q32:Q37"/>
    <mergeCell ref="J28:J30"/>
    <mergeCell ref="K28:K30"/>
    <mergeCell ref="L28:L30"/>
    <mergeCell ref="M28:M30"/>
    <mergeCell ref="Q28:Q30"/>
    <mergeCell ref="J38:J39"/>
    <mergeCell ref="K38:K39"/>
    <mergeCell ref="L38:L39"/>
    <mergeCell ref="M38:M39"/>
    <mergeCell ref="Q38:Q39"/>
    <mergeCell ref="AN22:AN30"/>
    <mergeCell ref="AO22:AO30"/>
    <mergeCell ref="AP22:AP30"/>
    <mergeCell ref="AQ22:AQ30"/>
    <mergeCell ref="V23:V24"/>
    <mergeCell ref="W23:W24"/>
    <mergeCell ref="X23:X24"/>
    <mergeCell ref="V25:V27"/>
    <mergeCell ref="W25:W27"/>
    <mergeCell ref="X25:X27"/>
    <mergeCell ref="Z22:Z30"/>
    <mergeCell ref="AA22:AA30"/>
    <mergeCell ref="AB22:AB30"/>
    <mergeCell ref="AC22:AC30"/>
    <mergeCell ref="AD22:AD30"/>
    <mergeCell ref="AE22:AE30"/>
    <mergeCell ref="Q22:Q24"/>
    <mergeCell ref="R22:R30"/>
    <mergeCell ref="S22:S30"/>
    <mergeCell ref="T22:T24"/>
    <mergeCell ref="U22:U24"/>
    <mergeCell ref="Y22:Y30"/>
    <mergeCell ref="Q25:Q27"/>
    <mergeCell ref="T25:T30"/>
    <mergeCell ref="U25:U27"/>
    <mergeCell ref="V28:V30"/>
    <mergeCell ref="J22:J24"/>
    <mergeCell ref="K22:K24"/>
    <mergeCell ref="L22:L24"/>
    <mergeCell ref="M22:M24"/>
    <mergeCell ref="O22:O30"/>
    <mergeCell ref="P22:P30"/>
    <mergeCell ref="J25:J27"/>
    <mergeCell ref="K25:K27"/>
    <mergeCell ref="L25:L27"/>
    <mergeCell ref="M25:M27"/>
    <mergeCell ref="AO13:AO21"/>
    <mergeCell ref="AP13:AP21"/>
    <mergeCell ref="AQ13:AQ21"/>
    <mergeCell ref="U15:U16"/>
    <mergeCell ref="V15:V16"/>
    <mergeCell ref="W15:W16"/>
    <mergeCell ref="X15:X16"/>
    <mergeCell ref="V17:V21"/>
    <mergeCell ref="W17:W21"/>
    <mergeCell ref="X17:X21"/>
    <mergeCell ref="AA13:AA21"/>
    <mergeCell ref="AB13:AB21"/>
    <mergeCell ref="AC13:AC21"/>
    <mergeCell ref="AD13:AD21"/>
    <mergeCell ref="AE13:AE21"/>
    <mergeCell ref="AN13:AN21"/>
    <mergeCell ref="O13:O21"/>
    <mergeCell ref="P13:P21"/>
    <mergeCell ref="Q13:Q16"/>
    <mergeCell ref="J17:J21"/>
    <mergeCell ref="K17:K21"/>
    <mergeCell ref="L17:L21"/>
    <mergeCell ref="M17:M21"/>
    <mergeCell ref="Q17:Q21"/>
    <mergeCell ref="U17:U21"/>
    <mergeCell ref="R13:R21"/>
    <mergeCell ref="S13:S21"/>
    <mergeCell ref="A11:C84"/>
    <mergeCell ref="D12:F57"/>
    <mergeCell ref="G13:I30"/>
    <mergeCell ref="J13:J16"/>
    <mergeCell ref="K13:K16"/>
    <mergeCell ref="V7:V8"/>
    <mergeCell ref="W7:W9"/>
    <mergeCell ref="X7:X9"/>
    <mergeCell ref="Y7:Z7"/>
    <mergeCell ref="P7:P9"/>
    <mergeCell ref="Q7:Q9"/>
    <mergeCell ref="R7:R9"/>
    <mergeCell ref="S7:S9"/>
    <mergeCell ref="T7:T9"/>
    <mergeCell ref="U7:U9"/>
    <mergeCell ref="J7:J9"/>
    <mergeCell ref="K7:K9"/>
    <mergeCell ref="T13:T21"/>
    <mergeCell ref="U13:U14"/>
    <mergeCell ref="Y13:Y21"/>
    <mergeCell ref="Z13:Z21"/>
    <mergeCell ref="L13:L16"/>
    <mergeCell ref="M13:M16"/>
    <mergeCell ref="N13:N21"/>
    <mergeCell ref="L7:L9"/>
    <mergeCell ref="M7:M9"/>
    <mergeCell ref="N7:N9"/>
    <mergeCell ref="O7:O9"/>
    <mergeCell ref="A1:AP4"/>
    <mergeCell ref="A5:M6"/>
    <mergeCell ref="N5:AQ5"/>
    <mergeCell ref="Y6:AM6"/>
    <mergeCell ref="A7:A9"/>
    <mergeCell ref="B7:C9"/>
    <mergeCell ref="D7:D9"/>
    <mergeCell ref="E7:F9"/>
    <mergeCell ref="G7:G9"/>
    <mergeCell ref="H7:I9"/>
    <mergeCell ref="AK7:AM7"/>
    <mergeCell ref="AN7:AN8"/>
    <mergeCell ref="AO7:AO8"/>
    <mergeCell ref="AP7:AP8"/>
    <mergeCell ref="AQ7:AQ9"/>
    <mergeCell ref="AA7:AD7"/>
    <mergeCell ref="AE7:AJ7"/>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H85"/>
  <sheetViews>
    <sheetView showGridLines="0" zoomScale="60" zoomScaleNormal="60" workbookViewId="0">
      <selection sqref="A1:AL4"/>
    </sheetView>
  </sheetViews>
  <sheetFormatPr baseColWidth="10" defaultColWidth="11.42578125" defaultRowHeight="14.25" x14ac:dyDescent="0.25"/>
  <cols>
    <col min="1" max="1" width="20.42578125" style="963" customWidth="1"/>
    <col min="2" max="5" width="20.42578125" style="842" customWidth="1"/>
    <col min="6" max="6" width="27.140625" style="842" customWidth="1"/>
    <col min="7" max="7" width="20.42578125" style="849" customWidth="1"/>
    <col min="8" max="8" width="35.5703125" style="438" customWidth="1"/>
    <col min="9" max="9" width="24.42578125" style="841" customWidth="1"/>
    <col min="10" max="10" width="21.85546875" style="841" customWidth="1"/>
    <col min="11" max="11" width="27" style="841" customWidth="1"/>
    <col min="12" max="12" width="17.85546875" style="442" customWidth="1"/>
    <col min="13" max="13" width="22.140625" style="438" customWidth="1"/>
    <col min="14" max="14" width="19" style="964" customWidth="1"/>
    <col min="15" max="15" width="26.28515625" style="444" customWidth="1"/>
    <col min="16" max="16" width="29.7109375" style="438" customWidth="1"/>
    <col min="17" max="17" width="29.140625" style="438" customWidth="1"/>
    <col min="18" max="18" width="33.5703125" style="438" customWidth="1"/>
    <col min="19" max="19" width="25" style="445" customWidth="1"/>
    <col min="20" max="20" width="11.7109375" style="441" customWidth="1"/>
    <col min="21" max="21" width="17.28515625" style="442" customWidth="1"/>
    <col min="22" max="22" width="9.140625" style="842" customWidth="1"/>
    <col min="23" max="23" width="9.7109375" style="842" customWidth="1"/>
    <col min="24" max="24" width="9.85546875" style="842" customWidth="1"/>
    <col min="25" max="25" width="7.28515625" style="842" customWidth="1"/>
    <col min="26" max="26" width="10.42578125" style="842" customWidth="1"/>
    <col min="27" max="27" width="9.42578125" style="842" customWidth="1"/>
    <col min="28" max="36" width="7.28515625" style="842" customWidth="1"/>
    <col min="37" max="37" width="9.85546875" style="842" customWidth="1"/>
    <col min="38" max="38" width="13.7109375" style="834" customWidth="1"/>
    <col min="39" max="39" width="13.7109375" style="965" customWidth="1"/>
    <col min="40" max="40" width="20.85546875" style="835" customWidth="1"/>
    <col min="41" max="42" width="11.42578125" style="2422"/>
    <col min="43" max="256" width="11.42578125" style="842"/>
    <col min="257" max="257" width="13.140625" style="842" customWidth="1"/>
    <col min="258" max="258" width="35.28515625" style="842" customWidth="1"/>
    <col min="259" max="259" width="12.85546875" style="842" customWidth="1"/>
    <col min="260" max="260" width="19.5703125" style="842" customWidth="1"/>
    <col min="261" max="261" width="12.28515625" style="842" customWidth="1"/>
    <col min="262" max="262" width="21.28515625" style="842" customWidth="1"/>
    <col min="263" max="263" width="11.5703125" style="842" customWidth="1"/>
    <col min="264" max="264" width="33.140625" style="842" customWidth="1"/>
    <col min="265" max="265" width="22.7109375" style="842" customWidth="1"/>
    <col min="266" max="266" width="10.7109375" style="842" customWidth="1"/>
    <col min="267" max="267" width="27.7109375" style="842" customWidth="1"/>
    <col min="268" max="268" width="21.42578125" style="842" customWidth="1"/>
    <col min="269" max="269" width="22.140625" style="842" customWidth="1"/>
    <col min="270" max="270" width="12.7109375" style="842" customWidth="1"/>
    <col min="271" max="271" width="16.42578125" style="842" customWidth="1"/>
    <col min="272" max="272" width="29.7109375" style="842" customWidth="1"/>
    <col min="273" max="273" width="29.140625" style="842" customWidth="1"/>
    <col min="274" max="274" width="33.5703125" style="842" customWidth="1"/>
    <col min="275" max="275" width="25" style="842" customWidth="1"/>
    <col min="276" max="276" width="11.7109375" style="842" customWidth="1"/>
    <col min="277" max="277" width="17.28515625" style="842" customWidth="1"/>
    <col min="278" max="293" width="7.28515625" style="842" customWidth="1"/>
    <col min="294" max="295" width="13.7109375" style="842" customWidth="1"/>
    <col min="296" max="296" width="20.85546875" style="842" customWidth="1"/>
    <col min="297" max="512" width="11.42578125" style="842"/>
    <col min="513" max="513" width="13.140625" style="842" customWidth="1"/>
    <col min="514" max="514" width="35.28515625" style="842" customWidth="1"/>
    <col min="515" max="515" width="12.85546875" style="842" customWidth="1"/>
    <col min="516" max="516" width="19.5703125" style="842" customWidth="1"/>
    <col min="517" max="517" width="12.28515625" style="842" customWidth="1"/>
    <col min="518" max="518" width="21.28515625" style="842" customWidth="1"/>
    <col min="519" max="519" width="11.5703125" style="842" customWidth="1"/>
    <col min="520" max="520" width="33.140625" style="842" customWidth="1"/>
    <col min="521" max="521" width="22.7109375" style="842" customWidth="1"/>
    <col min="522" max="522" width="10.7109375" style="842" customWidth="1"/>
    <col min="523" max="523" width="27.7109375" style="842" customWidth="1"/>
    <col min="524" max="524" width="21.42578125" style="842" customWidth="1"/>
    <col min="525" max="525" width="22.140625" style="842" customWidth="1"/>
    <col min="526" max="526" width="12.7109375" style="842" customWidth="1"/>
    <col min="527" max="527" width="16.42578125" style="842" customWidth="1"/>
    <col min="528" max="528" width="29.7109375" style="842" customWidth="1"/>
    <col min="529" max="529" width="29.140625" style="842" customWidth="1"/>
    <col min="530" max="530" width="33.5703125" style="842" customWidth="1"/>
    <col min="531" max="531" width="25" style="842" customWidth="1"/>
    <col min="532" max="532" width="11.7109375" style="842" customWidth="1"/>
    <col min="533" max="533" width="17.28515625" style="842" customWidth="1"/>
    <col min="534" max="549" width="7.28515625" style="842" customWidth="1"/>
    <col min="550" max="551" width="13.7109375" style="842" customWidth="1"/>
    <col min="552" max="552" width="20.85546875" style="842" customWidth="1"/>
    <col min="553" max="768" width="11.42578125" style="842"/>
    <col min="769" max="769" width="13.140625" style="842" customWidth="1"/>
    <col min="770" max="770" width="35.28515625" style="842" customWidth="1"/>
    <col min="771" max="771" width="12.85546875" style="842" customWidth="1"/>
    <col min="772" max="772" width="19.5703125" style="842" customWidth="1"/>
    <col min="773" max="773" width="12.28515625" style="842" customWidth="1"/>
    <col min="774" max="774" width="21.28515625" style="842" customWidth="1"/>
    <col min="775" max="775" width="11.5703125" style="842" customWidth="1"/>
    <col min="776" max="776" width="33.140625" style="842" customWidth="1"/>
    <col min="777" max="777" width="22.7109375" style="842" customWidth="1"/>
    <col min="778" max="778" width="10.7109375" style="842" customWidth="1"/>
    <col min="779" max="779" width="27.7109375" style="842" customWidth="1"/>
    <col min="780" max="780" width="21.42578125" style="842" customWidth="1"/>
    <col min="781" max="781" width="22.140625" style="842" customWidth="1"/>
    <col min="782" max="782" width="12.7109375" style="842" customWidth="1"/>
    <col min="783" max="783" width="16.42578125" style="842" customWidth="1"/>
    <col min="784" max="784" width="29.7109375" style="842" customWidth="1"/>
    <col min="785" max="785" width="29.140625" style="842" customWidth="1"/>
    <col min="786" max="786" width="33.5703125" style="842" customWidth="1"/>
    <col min="787" max="787" width="25" style="842" customWidth="1"/>
    <col min="788" max="788" width="11.7109375" style="842" customWidth="1"/>
    <col min="789" max="789" width="17.28515625" style="842" customWidth="1"/>
    <col min="790" max="805" width="7.28515625" style="842" customWidth="1"/>
    <col min="806" max="807" width="13.7109375" style="842" customWidth="1"/>
    <col min="808" max="808" width="20.85546875" style="842" customWidth="1"/>
    <col min="809" max="1024" width="11.42578125" style="842"/>
    <col min="1025" max="1025" width="13.140625" style="842" customWidth="1"/>
    <col min="1026" max="1026" width="35.28515625" style="842" customWidth="1"/>
    <col min="1027" max="1027" width="12.85546875" style="842" customWidth="1"/>
    <col min="1028" max="1028" width="19.5703125" style="842" customWidth="1"/>
    <col min="1029" max="1029" width="12.28515625" style="842" customWidth="1"/>
    <col min="1030" max="1030" width="21.28515625" style="842" customWidth="1"/>
    <col min="1031" max="1031" width="11.5703125" style="842" customWidth="1"/>
    <col min="1032" max="1032" width="33.140625" style="842" customWidth="1"/>
    <col min="1033" max="1033" width="22.7109375" style="842" customWidth="1"/>
    <col min="1034" max="1034" width="10.7109375" style="842" customWidth="1"/>
    <col min="1035" max="1035" width="27.7109375" style="842" customWidth="1"/>
    <col min="1036" max="1036" width="21.42578125" style="842" customWidth="1"/>
    <col min="1037" max="1037" width="22.140625" style="842" customWidth="1"/>
    <col min="1038" max="1038" width="12.7109375" style="842" customWidth="1"/>
    <col min="1039" max="1039" width="16.42578125" style="842" customWidth="1"/>
    <col min="1040" max="1040" width="29.7109375" style="842" customWidth="1"/>
    <col min="1041" max="1041" width="29.140625" style="842" customWidth="1"/>
    <col min="1042" max="1042" width="33.5703125" style="842" customWidth="1"/>
    <col min="1043" max="1043" width="25" style="842" customWidth="1"/>
    <col min="1044" max="1044" width="11.7109375" style="842" customWidth="1"/>
    <col min="1045" max="1045" width="17.28515625" style="842" customWidth="1"/>
    <col min="1046" max="1061" width="7.28515625" style="842" customWidth="1"/>
    <col min="1062" max="1063" width="13.7109375" style="842" customWidth="1"/>
    <col min="1064" max="1064" width="20.85546875" style="842" customWidth="1"/>
    <col min="1065" max="1280" width="11.42578125" style="842"/>
    <col min="1281" max="1281" width="13.140625" style="842" customWidth="1"/>
    <col min="1282" max="1282" width="35.28515625" style="842" customWidth="1"/>
    <col min="1283" max="1283" width="12.85546875" style="842" customWidth="1"/>
    <col min="1284" max="1284" width="19.5703125" style="842" customWidth="1"/>
    <col min="1285" max="1285" width="12.28515625" style="842" customWidth="1"/>
    <col min="1286" max="1286" width="21.28515625" style="842" customWidth="1"/>
    <col min="1287" max="1287" width="11.5703125" style="842" customWidth="1"/>
    <col min="1288" max="1288" width="33.140625" style="842" customWidth="1"/>
    <col min="1289" max="1289" width="22.7109375" style="842" customWidth="1"/>
    <col min="1290" max="1290" width="10.7109375" style="842" customWidth="1"/>
    <col min="1291" max="1291" width="27.7109375" style="842" customWidth="1"/>
    <col min="1292" max="1292" width="21.42578125" style="842" customWidth="1"/>
    <col min="1293" max="1293" width="22.140625" style="842" customWidth="1"/>
    <col min="1294" max="1294" width="12.7109375" style="842" customWidth="1"/>
    <col min="1295" max="1295" width="16.42578125" style="842" customWidth="1"/>
    <col min="1296" max="1296" width="29.7109375" style="842" customWidth="1"/>
    <col min="1297" max="1297" width="29.140625" style="842" customWidth="1"/>
    <col min="1298" max="1298" width="33.5703125" style="842" customWidth="1"/>
    <col min="1299" max="1299" width="25" style="842" customWidth="1"/>
    <col min="1300" max="1300" width="11.7109375" style="842" customWidth="1"/>
    <col min="1301" max="1301" width="17.28515625" style="842" customWidth="1"/>
    <col min="1302" max="1317" width="7.28515625" style="842" customWidth="1"/>
    <col min="1318" max="1319" width="13.7109375" style="842" customWidth="1"/>
    <col min="1320" max="1320" width="20.85546875" style="842" customWidth="1"/>
    <col min="1321" max="1536" width="11.42578125" style="842"/>
    <col min="1537" max="1537" width="13.140625" style="842" customWidth="1"/>
    <col min="1538" max="1538" width="35.28515625" style="842" customWidth="1"/>
    <col min="1539" max="1539" width="12.85546875" style="842" customWidth="1"/>
    <col min="1540" max="1540" width="19.5703125" style="842" customWidth="1"/>
    <col min="1541" max="1541" width="12.28515625" style="842" customWidth="1"/>
    <col min="1542" max="1542" width="21.28515625" style="842" customWidth="1"/>
    <col min="1543" max="1543" width="11.5703125" style="842" customWidth="1"/>
    <col min="1544" max="1544" width="33.140625" style="842" customWidth="1"/>
    <col min="1545" max="1545" width="22.7109375" style="842" customWidth="1"/>
    <col min="1546" max="1546" width="10.7109375" style="842" customWidth="1"/>
    <col min="1547" max="1547" width="27.7109375" style="842" customWidth="1"/>
    <col min="1548" max="1548" width="21.42578125" style="842" customWidth="1"/>
    <col min="1549" max="1549" width="22.140625" style="842" customWidth="1"/>
    <col min="1550" max="1550" width="12.7109375" style="842" customWidth="1"/>
    <col min="1551" max="1551" width="16.42578125" style="842" customWidth="1"/>
    <col min="1552" max="1552" width="29.7109375" style="842" customWidth="1"/>
    <col min="1553" max="1553" width="29.140625" style="842" customWidth="1"/>
    <col min="1554" max="1554" width="33.5703125" style="842" customWidth="1"/>
    <col min="1555" max="1555" width="25" style="842" customWidth="1"/>
    <col min="1556" max="1556" width="11.7109375" style="842" customWidth="1"/>
    <col min="1557" max="1557" width="17.28515625" style="842" customWidth="1"/>
    <col min="1558" max="1573" width="7.28515625" style="842" customWidth="1"/>
    <col min="1574" max="1575" width="13.7109375" style="842" customWidth="1"/>
    <col min="1576" max="1576" width="20.85546875" style="842" customWidth="1"/>
    <col min="1577" max="1792" width="11.42578125" style="842"/>
    <col min="1793" max="1793" width="13.140625" style="842" customWidth="1"/>
    <col min="1794" max="1794" width="35.28515625" style="842" customWidth="1"/>
    <col min="1795" max="1795" width="12.85546875" style="842" customWidth="1"/>
    <col min="1796" max="1796" width="19.5703125" style="842" customWidth="1"/>
    <col min="1797" max="1797" width="12.28515625" style="842" customWidth="1"/>
    <col min="1798" max="1798" width="21.28515625" style="842" customWidth="1"/>
    <col min="1799" max="1799" width="11.5703125" style="842" customWidth="1"/>
    <col min="1800" max="1800" width="33.140625" style="842" customWidth="1"/>
    <col min="1801" max="1801" width="22.7109375" style="842" customWidth="1"/>
    <col min="1802" max="1802" width="10.7109375" style="842" customWidth="1"/>
    <col min="1803" max="1803" width="27.7109375" style="842" customWidth="1"/>
    <col min="1804" max="1804" width="21.42578125" style="842" customWidth="1"/>
    <col min="1805" max="1805" width="22.140625" style="842" customWidth="1"/>
    <col min="1806" max="1806" width="12.7109375" style="842" customWidth="1"/>
    <col min="1807" max="1807" width="16.42578125" style="842" customWidth="1"/>
    <col min="1808" max="1808" width="29.7109375" style="842" customWidth="1"/>
    <col min="1809" max="1809" width="29.140625" style="842" customWidth="1"/>
    <col min="1810" max="1810" width="33.5703125" style="842" customWidth="1"/>
    <col min="1811" max="1811" width="25" style="842" customWidth="1"/>
    <col min="1812" max="1812" width="11.7109375" style="842" customWidth="1"/>
    <col min="1813" max="1813" width="17.28515625" style="842" customWidth="1"/>
    <col min="1814" max="1829" width="7.28515625" style="842" customWidth="1"/>
    <col min="1830" max="1831" width="13.7109375" style="842" customWidth="1"/>
    <col min="1832" max="1832" width="20.85546875" style="842" customWidth="1"/>
    <col min="1833" max="2048" width="11.42578125" style="842"/>
    <col min="2049" max="2049" width="13.140625" style="842" customWidth="1"/>
    <col min="2050" max="2050" width="35.28515625" style="842" customWidth="1"/>
    <col min="2051" max="2051" width="12.85546875" style="842" customWidth="1"/>
    <col min="2052" max="2052" width="19.5703125" style="842" customWidth="1"/>
    <col min="2053" max="2053" width="12.28515625" style="842" customWidth="1"/>
    <col min="2054" max="2054" width="21.28515625" style="842" customWidth="1"/>
    <col min="2055" max="2055" width="11.5703125" style="842" customWidth="1"/>
    <col min="2056" max="2056" width="33.140625" style="842" customWidth="1"/>
    <col min="2057" max="2057" width="22.7109375" style="842" customWidth="1"/>
    <col min="2058" max="2058" width="10.7109375" style="842" customWidth="1"/>
    <col min="2059" max="2059" width="27.7109375" style="842" customWidth="1"/>
    <col min="2060" max="2060" width="21.42578125" style="842" customWidth="1"/>
    <col min="2061" max="2061" width="22.140625" style="842" customWidth="1"/>
    <col min="2062" max="2062" width="12.7109375" style="842" customWidth="1"/>
    <col min="2063" max="2063" width="16.42578125" style="842" customWidth="1"/>
    <col min="2064" max="2064" width="29.7109375" style="842" customWidth="1"/>
    <col min="2065" max="2065" width="29.140625" style="842" customWidth="1"/>
    <col min="2066" max="2066" width="33.5703125" style="842" customWidth="1"/>
    <col min="2067" max="2067" width="25" style="842" customWidth="1"/>
    <col min="2068" max="2068" width="11.7109375" style="842" customWidth="1"/>
    <col min="2069" max="2069" width="17.28515625" style="842" customWidth="1"/>
    <col min="2070" max="2085" width="7.28515625" style="842" customWidth="1"/>
    <col min="2086" max="2087" width="13.7109375" style="842" customWidth="1"/>
    <col min="2088" max="2088" width="20.85546875" style="842" customWidth="1"/>
    <col min="2089" max="2304" width="11.42578125" style="842"/>
    <col min="2305" max="2305" width="13.140625" style="842" customWidth="1"/>
    <col min="2306" max="2306" width="35.28515625" style="842" customWidth="1"/>
    <col min="2307" max="2307" width="12.85546875" style="842" customWidth="1"/>
    <col min="2308" max="2308" width="19.5703125" style="842" customWidth="1"/>
    <col min="2309" max="2309" width="12.28515625" style="842" customWidth="1"/>
    <col min="2310" max="2310" width="21.28515625" style="842" customWidth="1"/>
    <col min="2311" max="2311" width="11.5703125" style="842" customWidth="1"/>
    <col min="2312" max="2312" width="33.140625" style="842" customWidth="1"/>
    <col min="2313" max="2313" width="22.7109375" style="842" customWidth="1"/>
    <col min="2314" max="2314" width="10.7109375" style="842" customWidth="1"/>
    <col min="2315" max="2315" width="27.7109375" style="842" customWidth="1"/>
    <col min="2316" max="2316" width="21.42578125" style="842" customWidth="1"/>
    <col min="2317" max="2317" width="22.140625" style="842" customWidth="1"/>
    <col min="2318" max="2318" width="12.7109375" style="842" customWidth="1"/>
    <col min="2319" max="2319" width="16.42578125" style="842" customWidth="1"/>
    <col min="2320" max="2320" width="29.7109375" style="842" customWidth="1"/>
    <col min="2321" max="2321" width="29.140625" style="842" customWidth="1"/>
    <col min="2322" max="2322" width="33.5703125" style="842" customWidth="1"/>
    <col min="2323" max="2323" width="25" style="842" customWidth="1"/>
    <col min="2324" max="2324" width="11.7109375" style="842" customWidth="1"/>
    <col min="2325" max="2325" width="17.28515625" style="842" customWidth="1"/>
    <col min="2326" max="2341" width="7.28515625" style="842" customWidth="1"/>
    <col min="2342" max="2343" width="13.7109375" style="842" customWidth="1"/>
    <col min="2344" max="2344" width="20.85546875" style="842" customWidth="1"/>
    <col min="2345" max="2560" width="11.42578125" style="842"/>
    <col min="2561" max="2561" width="13.140625" style="842" customWidth="1"/>
    <col min="2562" max="2562" width="35.28515625" style="842" customWidth="1"/>
    <col min="2563" max="2563" width="12.85546875" style="842" customWidth="1"/>
    <col min="2564" max="2564" width="19.5703125" style="842" customWidth="1"/>
    <col min="2565" max="2565" width="12.28515625" style="842" customWidth="1"/>
    <col min="2566" max="2566" width="21.28515625" style="842" customWidth="1"/>
    <col min="2567" max="2567" width="11.5703125" style="842" customWidth="1"/>
    <col min="2568" max="2568" width="33.140625" style="842" customWidth="1"/>
    <col min="2569" max="2569" width="22.7109375" style="842" customWidth="1"/>
    <col min="2570" max="2570" width="10.7109375" style="842" customWidth="1"/>
    <col min="2571" max="2571" width="27.7109375" style="842" customWidth="1"/>
    <col min="2572" max="2572" width="21.42578125" style="842" customWidth="1"/>
    <col min="2573" max="2573" width="22.140625" style="842" customWidth="1"/>
    <col min="2574" max="2574" width="12.7109375" style="842" customWidth="1"/>
    <col min="2575" max="2575" width="16.42578125" style="842" customWidth="1"/>
    <col min="2576" max="2576" width="29.7109375" style="842" customWidth="1"/>
    <col min="2577" max="2577" width="29.140625" style="842" customWidth="1"/>
    <col min="2578" max="2578" width="33.5703125" style="842" customWidth="1"/>
    <col min="2579" max="2579" width="25" style="842" customWidth="1"/>
    <col min="2580" max="2580" width="11.7109375" style="842" customWidth="1"/>
    <col min="2581" max="2581" width="17.28515625" style="842" customWidth="1"/>
    <col min="2582" max="2597" width="7.28515625" style="842" customWidth="1"/>
    <col min="2598" max="2599" width="13.7109375" style="842" customWidth="1"/>
    <col min="2600" max="2600" width="20.85546875" style="842" customWidth="1"/>
    <col min="2601" max="2816" width="11.42578125" style="842"/>
    <col min="2817" max="2817" width="13.140625" style="842" customWidth="1"/>
    <col min="2818" max="2818" width="35.28515625" style="842" customWidth="1"/>
    <col min="2819" max="2819" width="12.85546875" style="842" customWidth="1"/>
    <col min="2820" max="2820" width="19.5703125" style="842" customWidth="1"/>
    <col min="2821" max="2821" width="12.28515625" style="842" customWidth="1"/>
    <col min="2822" max="2822" width="21.28515625" style="842" customWidth="1"/>
    <col min="2823" max="2823" width="11.5703125" style="842" customWidth="1"/>
    <col min="2824" max="2824" width="33.140625" style="842" customWidth="1"/>
    <col min="2825" max="2825" width="22.7109375" style="842" customWidth="1"/>
    <col min="2826" max="2826" width="10.7109375" style="842" customWidth="1"/>
    <col min="2827" max="2827" width="27.7109375" style="842" customWidth="1"/>
    <col min="2828" max="2828" width="21.42578125" style="842" customWidth="1"/>
    <col min="2829" max="2829" width="22.140625" style="842" customWidth="1"/>
    <col min="2830" max="2830" width="12.7109375" style="842" customWidth="1"/>
    <col min="2831" max="2831" width="16.42578125" style="842" customWidth="1"/>
    <col min="2832" max="2832" width="29.7109375" style="842" customWidth="1"/>
    <col min="2833" max="2833" width="29.140625" style="842" customWidth="1"/>
    <col min="2834" max="2834" width="33.5703125" style="842" customWidth="1"/>
    <col min="2835" max="2835" width="25" style="842" customWidth="1"/>
    <col min="2836" max="2836" width="11.7109375" style="842" customWidth="1"/>
    <col min="2837" max="2837" width="17.28515625" style="842" customWidth="1"/>
    <col min="2838" max="2853" width="7.28515625" style="842" customWidth="1"/>
    <col min="2854" max="2855" width="13.7109375" style="842" customWidth="1"/>
    <col min="2856" max="2856" width="20.85546875" style="842" customWidth="1"/>
    <col min="2857" max="3072" width="11.42578125" style="842"/>
    <col min="3073" max="3073" width="13.140625" style="842" customWidth="1"/>
    <col min="3074" max="3074" width="35.28515625" style="842" customWidth="1"/>
    <col min="3075" max="3075" width="12.85546875" style="842" customWidth="1"/>
    <col min="3076" max="3076" width="19.5703125" style="842" customWidth="1"/>
    <col min="3077" max="3077" width="12.28515625" style="842" customWidth="1"/>
    <col min="3078" max="3078" width="21.28515625" style="842" customWidth="1"/>
    <col min="3079" max="3079" width="11.5703125" style="842" customWidth="1"/>
    <col min="3080" max="3080" width="33.140625" style="842" customWidth="1"/>
    <col min="3081" max="3081" width="22.7109375" style="842" customWidth="1"/>
    <col min="3082" max="3082" width="10.7109375" style="842" customWidth="1"/>
    <col min="3083" max="3083" width="27.7109375" style="842" customWidth="1"/>
    <col min="3084" max="3084" width="21.42578125" style="842" customWidth="1"/>
    <col min="3085" max="3085" width="22.140625" style="842" customWidth="1"/>
    <col min="3086" max="3086" width="12.7109375" style="842" customWidth="1"/>
    <col min="3087" max="3087" width="16.42578125" style="842" customWidth="1"/>
    <col min="3088" max="3088" width="29.7109375" style="842" customWidth="1"/>
    <col min="3089" max="3089" width="29.140625" style="842" customWidth="1"/>
    <col min="3090" max="3090" width="33.5703125" style="842" customWidth="1"/>
    <col min="3091" max="3091" width="25" style="842" customWidth="1"/>
    <col min="3092" max="3092" width="11.7109375" style="842" customWidth="1"/>
    <col min="3093" max="3093" width="17.28515625" style="842" customWidth="1"/>
    <col min="3094" max="3109" width="7.28515625" style="842" customWidth="1"/>
    <col min="3110" max="3111" width="13.7109375" style="842" customWidth="1"/>
    <col min="3112" max="3112" width="20.85546875" style="842" customWidth="1"/>
    <col min="3113" max="3328" width="11.42578125" style="842"/>
    <col min="3329" max="3329" width="13.140625" style="842" customWidth="1"/>
    <col min="3330" max="3330" width="35.28515625" style="842" customWidth="1"/>
    <col min="3331" max="3331" width="12.85546875" style="842" customWidth="1"/>
    <col min="3332" max="3332" width="19.5703125" style="842" customWidth="1"/>
    <col min="3333" max="3333" width="12.28515625" style="842" customWidth="1"/>
    <col min="3334" max="3334" width="21.28515625" style="842" customWidth="1"/>
    <col min="3335" max="3335" width="11.5703125" style="842" customWidth="1"/>
    <col min="3336" max="3336" width="33.140625" style="842" customWidth="1"/>
    <col min="3337" max="3337" width="22.7109375" style="842" customWidth="1"/>
    <col min="3338" max="3338" width="10.7109375" style="842" customWidth="1"/>
    <col min="3339" max="3339" width="27.7109375" style="842" customWidth="1"/>
    <col min="3340" max="3340" width="21.42578125" style="842" customWidth="1"/>
    <col min="3341" max="3341" width="22.140625" style="842" customWidth="1"/>
    <col min="3342" max="3342" width="12.7109375" style="842" customWidth="1"/>
    <col min="3343" max="3343" width="16.42578125" style="842" customWidth="1"/>
    <col min="3344" max="3344" width="29.7109375" style="842" customWidth="1"/>
    <col min="3345" max="3345" width="29.140625" style="842" customWidth="1"/>
    <col min="3346" max="3346" width="33.5703125" style="842" customWidth="1"/>
    <col min="3347" max="3347" width="25" style="842" customWidth="1"/>
    <col min="3348" max="3348" width="11.7109375" style="842" customWidth="1"/>
    <col min="3349" max="3349" width="17.28515625" style="842" customWidth="1"/>
    <col min="3350" max="3365" width="7.28515625" style="842" customWidth="1"/>
    <col min="3366" max="3367" width="13.7109375" style="842" customWidth="1"/>
    <col min="3368" max="3368" width="20.85546875" style="842" customWidth="1"/>
    <col min="3369" max="3584" width="11.42578125" style="842"/>
    <col min="3585" max="3585" width="13.140625" style="842" customWidth="1"/>
    <col min="3586" max="3586" width="35.28515625" style="842" customWidth="1"/>
    <col min="3587" max="3587" width="12.85546875" style="842" customWidth="1"/>
    <col min="3588" max="3588" width="19.5703125" style="842" customWidth="1"/>
    <col min="3589" max="3589" width="12.28515625" style="842" customWidth="1"/>
    <col min="3590" max="3590" width="21.28515625" style="842" customWidth="1"/>
    <col min="3591" max="3591" width="11.5703125" style="842" customWidth="1"/>
    <col min="3592" max="3592" width="33.140625" style="842" customWidth="1"/>
    <col min="3593" max="3593" width="22.7109375" style="842" customWidth="1"/>
    <col min="3594" max="3594" width="10.7109375" style="842" customWidth="1"/>
    <col min="3595" max="3595" width="27.7109375" style="842" customWidth="1"/>
    <col min="3596" max="3596" width="21.42578125" style="842" customWidth="1"/>
    <col min="3597" max="3597" width="22.140625" style="842" customWidth="1"/>
    <col min="3598" max="3598" width="12.7109375" style="842" customWidth="1"/>
    <col min="3599" max="3599" width="16.42578125" style="842" customWidth="1"/>
    <col min="3600" max="3600" width="29.7109375" style="842" customWidth="1"/>
    <col min="3601" max="3601" width="29.140625" style="842" customWidth="1"/>
    <col min="3602" max="3602" width="33.5703125" style="842" customWidth="1"/>
    <col min="3603" max="3603" width="25" style="842" customWidth="1"/>
    <col min="3604" max="3604" width="11.7109375" style="842" customWidth="1"/>
    <col min="3605" max="3605" width="17.28515625" style="842" customWidth="1"/>
    <col min="3606" max="3621" width="7.28515625" style="842" customWidth="1"/>
    <col min="3622" max="3623" width="13.7109375" style="842" customWidth="1"/>
    <col min="3624" max="3624" width="20.85546875" style="842" customWidth="1"/>
    <col min="3625" max="3840" width="11.42578125" style="842"/>
    <col min="3841" max="3841" width="13.140625" style="842" customWidth="1"/>
    <col min="3842" max="3842" width="35.28515625" style="842" customWidth="1"/>
    <col min="3843" max="3843" width="12.85546875" style="842" customWidth="1"/>
    <col min="3844" max="3844" width="19.5703125" style="842" customWidth="1"/>
    <col min="3845" max="3845" width="12.28515625" style="842" customWidth="1"/>
    <col min="3846" max="3846" width="21.28515625" style="842" customWidth="1"/>
    <col min="3847" max="3847" width="11.5703125" style="842" customWidth="1"/>
    <col min="3848" max="3848" width="33.140625" style="842" customWidth="1"/>
    <col min="3849" max="3849" width="22.7109375" style="842" customWidth="1"/>
    <col min="3850" max="3850" width="10.7109375" style="842" customWidth="1"/>
    <col min="3851" max="3851" width="27.7109375" style="842" customWidth="1"/>
    <col min="3852" max="3852" width="21.42578125" style="842" customWidth="1"/>
    <col min="3853" max="3853" width="22.140625" style="842" customWidth="1"/>
    <col min="3854" max="3854" width="12.7109375" style="842" customWidth="1"/>
    <col min="3855" max="3855" width="16.42578125" style="842" customWidth="1"/>
    <col min="3856" max="3856" width="29.7109375" style="842" customWidth="1"/>
    <col min="3857" max="3857" width="29.140625" style="842" customWidth="1"/>
    <col min="3858" max="3858" width="33.5703125" style="842" customWidth="1"/>
    <col min="3859" max="3859" width="25" style="842" customWidth="1"/>
    <col min="3860" max="3860" width="11.7109375" style="842" customWidth="1"/>
    <col min="3861" max="3861" width="17.28515625" style="842" customWidth="1"/>
    <col min="3862" max="3877" width="7.28515625" style="842" customWidth="1"/>
    <col min="3878" max="3879" width="13.7109375" style="842" customWidth="1"/>
    <col min="3880" max="3880" width="20.85546875" style="842" customWidth="1"/>
    <col min="3881" max="4096" width="11.42578125" style="842"/>
    <col min="4097" max="4097" width="13.140625" style="842" customWidth="1"/>
    <col min="4098" max="4098" width="35.28515625" style="842" customWidth="1"/>
    <col min="4099" max="4099" width="12.85546875" style="842" customWidth="1"/>
    <col min="4100" max="4100" width="19.5703125" style="842" customWidth="1"/>
    <col min="4101" max="4101" width="12.28515625" style="842" customWidth="1"/>
    <col min="4102" max="4102" width="21.28515625" style="842" customWidth="1"/>
    <col min="4103" max="4103" width="11.5703125" style="842" customWidth="1"/>
    <col min="4104" max="4104" width="33.140625" style="842" customWidth="1"/>
    <col min="4105" max="4105" width="22.7109375" style="842" customWidth="1"/>
    <col min="4106" max="4106" width="10.7109375" style="842" customWidth="1"/>
    <col min="4107" max="4107" width="27.7109375" style="842" customWidth="1"/>
    <col min="4108" max="4108" width="21.42578125" style="842" customWidth="1"/>
    <col min="4109" max="4109" width="22.140625" style="842" customWidth="1"/>
    <col min="4110" max="4110" width="12.7109375" style="842" customWidth="1"/>
    <col min="4111" max="4111" width="16.42578125" style="842" customWidth="1"/>
    <col min="4112" max="4112" width="29.7109375" style="842" customWidth="1"/>
    <col min="4113" max="4113" width="29.140625" style="842" customWidth="1"/>
    <col min="4114" max="4114" width="33.5703125" style="842" customWidth="1"/>
    <col min="4115" max="4115" width="25" style="842" customWidth="1"/>
    <col min="4116" max="4116" width="11.7109375" style="842" customWidth="1"/>
    <col min="4117" max="4117" width="17.28515625" style="842" customWidth="1"/>
    <col min="4118" max="4133" width="7.28515625" style="842" customWidth="1"/>
    <col min="4134" max="4135" width="13.7109375" style="842" customWidth="1"/>
    <col min="4136" max="4136" width="20.85546875" style="842" customWidth="1"/>
    <col min="4137" max="4352" width="11.42578125" style="842"/>
    <col min="4353" max="4353" width="13.140625" style="842" customWidth="1"/>
    <col min="4354" max="4354" width="35.28515625" style="842" customWidth="1"/>
    <col min="4355" max="4355" width="12.85546875" style="842" customWidth="1"/>
    <col min="4356" max="4356" width="19.5703125" style="842" customWidth="1"/>
    <col min="4357" max="4357" width="12.28515625" style="842" customWidth="1"/>
    <col min="4358" max="4358" width="21.28515625" style="842" customWidth="1"/>
    <col min="4359" max="4359" width="11.5703125" style="842" customWidth="1"/>
    <col min="4360" max="4360" width="33.140625" style="842" customWidth="1"/>
    <col min="4361" max="4361" width="22.7109375" style="842" customWidth="1"/>
    <col min="4362" max="4362" width="10.7109375" style="842" customWidth="1"/>
    <col min="4363" max="4363" width="27.7109375" style="842" customWidth="1"/>
    <col min="4364" max="4364" width="21.42578125" style="842" customWidth="1"/>
    <col min="4365" max="4365" width="22.140625" style="842" customWidth="1"/>
    <col min="4366" max="4366" width="12.7109375" style="842" customWidth="1"/>
    <col min="4367" max="4367" width="16.42578125" style="842" customWidth="1"/>
    <col min="4368" max="4368" width="29.7109375" style="842" customWidth="1"/>
    <col min="4369" max="4369" width="29.140625" style="842" customWidth="1"/>
    <col min="4370" max="4370" width="33.5703125" style="842" customWidth="1"/>
    <col min="4371" max="4371" width="25" style="842" customWidth="1"/>
    <col min="4372" max="4372" width="11.7109375" style="842" customWidth="1"/>
    <col min="4373" max="4373" width="17.28515625" style="842" customWidth="1"/>
    <col min="4374" max="4389" width="7.28515625" style="842" customWidth="1"/>
    <col min="4390" max="4391" width="13.7109375" style="842" customWidth="1"/>
    <col min="4392" max="4392" width="20.85546875" style="842" customWidth="1"/>
    <col min="4393" max="4608" width="11.42578125" style="842"/>
    <col min="4609" max="4609" width="13.140625" style="842" customWidth="1"/>
    <col min="4610" max="4610" width="35.28515625" style="842" customWidth="1"/>
    <col min="4611" max="4611" width="12.85546875" style="842" customWidth="1"/>
    <col min="4612" max="4612" width="19.5703125" style="842" customWidth="1"/>
    <col min="4613" max="4613" width="12.28515625" style="842" customWidth="1"/>
    <col min="4614" max="4614" width="21.28515625" style="842" customWidth="1"/>
    <col min="4615" max="4615" width="11.5703125" style="842" customWidth="1"/>
    <col min="4616" max="4616" width="33.140625" style="842" customWidth="1"/>
    <col min="4617" max="4617" width="22.7109375" style="842" customWidth="1"/>
    <col min="4618" max="4618" width="10.7109375" style="842" customWidth="1"/>
    <col min="4619" max="4619" width="27.7109375" style="842" customWidth="1"/>
    <col min="4620" max="4620" width="21.42578125" style="842" customWidth="1"/>
    <col min="4621" max="4621" width="22.140625" style="842" customWidth="1"/>
    <col min="4622" max="4622" width="12.7109375" style="842" customWidth="1"/>
    <col min="4623" max="4623" width="16.42578125" style="842" customWidth="1"/>
    <col min="4624" max="4624" width="29.7109375" style="842" customWidth="1"/>
    <col min="4625" max="4625" width="29.140625" style="842" customWidth="1"/>
    <col min="4626" max="4626" width="33.5703125" style="842" customWidth="1"/>
    <col min="4627" max="4627" width="25" style="842" customWidth="1"/>
    <col min="4628" max="4628" width="11.7109375" style="842" customWidth="1"/>
    <col min="4629" max="4629" width="17.28515625" style="842" customWidth="1"/>
    <col min="4630" max="4645" width="7.28515625" style="842" customWidth="1"/>
    <col min="4646" max="4647" width="13.7109375" style="842" customWidth="1"/>
    <col min="4648" max="4648" width="20.85546875" style="842" customWidth="1"/>
    <col min="4649" max="4864" width="11.42578125" style="842"/>
    <col min="4865" max="4865" width="13.140625" style="842" customWidth="1"/>
    <col min="4866" max="4866" width="35.28515625" style="842" customWidth="1"/>
    <col min="4867" max="4867" width="12.85546875" style="842" customWidth="1"/>
    <col min="4868" max="4868" width="19.5703125" style="842" customWidth="1"/>
    <col min="4869" max="4869" width="12.28515625" style="842" customWidth="1"/>
    <col min="4870" max="4870" width="21.28515625" style="842" customWidth="1"/>
    <col min="4871" max="4871" width="11.5703125" style="842" customWidth="1"/>
    <col min="4872" max="4872" width="33.140625" style="842" customWidth="1"/>
    <col min="4873" max="4873" width="22.7109375" style="842" customWidth="1"/>
    <col min="4874" max="4874" width="10.7109375" style="842" customWidth="1"/>
    <col min="4875" max="4875" width="27.7109375" style="842" customWidth="1"/>
    <col min="4876" max="4876" width="21.42578125" style="842" customWidth="1"/>
    <col min="4877" max="4877" width="22.140625" style="842" customWidth="1"/>
    <col min="4878" max="4878" width="12.7109375" style="842" customWidth="1"/>
    <col min="4879" max="4879" width="16.42578125" style="842" customWidth="1"/>
    <col min="4880" max="4880" width="29.7109375" style="842" customWidth="1"/>
    <col min="4881" max="4881" width="29.140625" style="842" customWidth="1"/>
    <col min="4882" max="4882" width="33.5703125" style="842" customWidth="1"/>
    <col min="4883" max="4883" width="25" style="842" customWidth="1"/>
    <col min="4884" max="4884" width="11.7109375" style="842" customWidth="1"/>
    <col min="4885" max="4885" width="17.28515625" style="842" customWidth="1"/>
    <col min="4886" max="4901" width="7.28515625" style="842" customWidth="1"/>
    <col min="4902" max="4903" width="13.7109375" style="842" customWidth="1"/>
    <col min="4904" max="4904" width="20.85546875" style="842" customWidth="1"/>
    <col min="4905" max="5120" width="11.42578125" style="842"/>
    <col min="5121" max="5121" width="13.140625" style="842" customWidth="1"/>
    <col min="5122" max="5122" width="35.28515625" style="842" customWidth="1"/>
    <col min="5123" max="5123" width="12.85546875" style="842" customWidth="1"/>
    <col min="5124" max="5124" width="19.5703125" style="842" customWidth="1"/>
    <col min="5125" max="5125" width="12.28515625" style="842" customWidth="1"/>
    <col min="5126" max="5126" width="21.28515625" style="842" customWidth="1"/>
    <col min="5127" max="5127" width="11.5703125" style="842" customWidth="1"/>
    <col min="5128" max="5128" width="33.140625" style="842" customWidth="1"/>
    <col min="5129" max="5129" width="22.7109375" style="842" customWidth="1"/>
    <col min="5130" max="5130" width="10.7109375" style="842" customWidth="1"/>
    <col min="5131" max="5131" width="27.7109375" style="842" customWidth="1"/>
    <col min="5132" max="5132" width="21.42578125" style="842" customWidth="1"/>
    <col min="5133" max="5133" width="22.140625" style="842" customWidth="1"/>
    <col min="5134" max="5134" width="12.7109375" style="842" customWidth="1"/>
    <col min="5135" max="5135" width="16.42578125" style="842" customWidth="1"/>
    <col min="5136" max="5136" width="29.7109375" style="842" customWidth="1"/>
    <col min="5137" max="5137" width="29.140625" style="842" customWidth="1"/>
    <col min="5138" max="5138" width="33.5703125" style="842" customWidth="1"/>
    <col min="5139" max="5139" width="25" style="842" customWidth="1"/>
    <col min="5140" max="5140" width="11.7109375" style="842" customWidth="1"/>
    <col min="5141" max="5141" width="17.28515625" style="842" customWidth="1"/>
    <col min="5142" max="5157" width="7.28515625" style="842" customWidth="1"/>
    <col min="5158" max="5159" width="13.7109375" style="842" customWidth="1"/>
    <col min="5160" max="5160" width="20.85546875" style="842" customWidth="1"/>
    <col min="5161" max="5376" width="11.42578125" style="842"/>
    <col min="5377" max="5377" width="13.140625" style="842" customWidth="1"/>
    <col min="5378" max="5378" width="35.28515625" style="842" customWidth="1"/>
    <col min="5379" max="5379" width="12.85546875" style="842" customWidth="1"/>
    <col min="5380" max="5380" width="19.5703125" style="842" customWidth="1"/>
    <col min="5381" max="5381" width="12.28515625" style="842" customWidth="1"/>
    <col min="5382" max="5382" width="21.28515625" style="842" customWidth="1"/>
    <col min="5383" max="5383" width="11.5703125" style="842" customWidth="1"/>
    <col min="5384" max="5384" width="33.140625" style="842" customWidth="1"/>
    <col min="5385" max="5385" width="22.7109375" style="842" customWidth="1"/>
    <col min="5386" max="5386" width="10.7109375" style="842" customWidth="1"/>
    <col min="5387" max="5387" width="27.7109375" style="842" customWidth="1"/>
    <col min="5388" max="5388" width="21.42578125" style="842" customWidth="1"/>
    <col min="5389" max="5389" width="22.140625" style="842" customWidth="1"/>
    <col min="5390" max="5390" width="12.7109375" style="842" customWidth="1"/>
    <col min="5391" max="5391" width="16.42578125" style="842" customWidth="1"/>
    <col min="5392" max="5392" width="29.7109375" style="842" customWidth="1"/>
    <col min="5393" max="5393" width="29.140625" style="842" customWidth="1"/>
    <col min="5394" max="5394" width="33.5703125" style="842" customWidth="1"/>
    <col min="5395" max="5395" width="25" style="842" customWidth="1"/>
    <col min="5396" max="5396" width="11.7109375" style="842" customWidth="1"/>
    <col min="5397" max="5397" width="17.28515625" style="842" customWidth="1"/>
    <col min="5398" max="5413" width="7.28515625" style="842" customWidth="1"/>
    <col min="5414" max="5415" width="13.7109375" style="842" customWidth="1"/>
    <col min="5416" max="5416" width="20.85546875" style="842" customWidth="1"/>
    <col min="5417" max="5632" width="11.42578125" style="842"/>
    <col min="5633" max="5633" width="13.140625" style="842" customWidth="1"/>
    <col min="5634" max="5634" width="35.28515625" style="842" customWidth="1"/>
    <col min="5635" max="5635" width="12.85546875" style="842" customWidth="1"/>
    <col min="5636" max="5636" width="19.5703125" style="842" customWidth="1"/>
    <col min="5637" max="5637" width="12.28515625" style="842" customWidth="1"/>
    <col min="5638" max="5638" width="21.28515625" style="842" customWidth="1"/>
    <col min="5639" max="5639" width="11.5703125" style="842" customWidth="1"/>
    <col min="5640" max="5640" width="33.140625" style="842" customWidth="1"/>
    <col min="5641" max="5641" width="22.7109375" style="842" customWidth="1"/>
    <col min="5642" max="5642" width="10.7109375" style="842" customWidth="1"/>
    <col min="5643" max="5643" width="27.7109375" style="842" customWidth="1"/>
    <col min="5644" max="5644" width="21.42578125" style="842" customWidth="1"/>
    <col min="5645" max="5645" width="22.140625" style="842" customWidth="1"/>
    <col min="5646" max="5646" width="12.7109375" style="842" customWidth="1"/>
    <col min="5647" max="5647" width="16.42578125" style="842" customWidth="1"/>
    <col min="5648" max="5648" width="29.7109375" style="842" customWidth="1"/>
    <col min="5649" max="5649" width="29.140625" style="842" customWidth="1"/>
    <col min="5650" max="5650" width="33.5703125" style="842" customWidth="1"/>
    <col min="5651" max="5651" width="25" style="842" customWidth="1"/>
    <col min="5652" max="5652" width="11.7109375" style="842" customWidth="1"/>
    <col min="5653" max="5653" width="17.28515625" style="842" customWidth="1"/>
    <col min="5654" max="5669" width="7.28515625" style="842" customWidth="1"/>
    <col min="5670" max="5671" width="13.7109375" style="842" customWidth="1"/>
    <col min="5672" max="5672" width="20.85546875" style="842" customWidth="1"/>
    <col min="5673" max="5888" width="11.42578125" style="842"/>
    <col min="5889" max="5889" width="13.140625" style="842" customWidth="1"/>
    <col min="5890" max="5890" width="35.28515625" style="842" customWidth="1"/>
    <col min="5891" max="5891" width="12.85546875" style="842" customWidth="1"/>
    <col min="5892" max="5892" width="19.5703125" style="842" customWidth="1"/>
    <col min="5893" max="5893" width="12.28515625" style="842" customWidth="1"/>
    <col min="5894" max="5894" width="21.28515625" style="842" customWidth="1"/>
    <col min="5895" max="5895" width="11.5703125" style="842" customWidth="1"/>
    <col min="5896" max="5896" width="33.140625" style="842" customWidth="1"/>
    <col min="5897" max="5897" width="22.7109375" style="842" customWidth="1"/>
    <col min="5898" max="5898" width="10.7109375" style="842" customWidth="1"/>
    <col min="5899" max="5899" width="27.7109375" style="842" customWidth="1"/>
    <col min="5900" max="5900" width="21.42578125" style="842" customWidth="1"/>
    <col min="5901" max="5901" width="22.140625" style="842" customWidth="1"/>
    <col min="5902" max="5902" width="12.7109375" style="842" customWidth="1"/>
    <col min="5903" max="5903" width="16.42578125" style="842" customWidth="1"/>
    <col min="5904" max="5904" width="29.7109375" style="842" customWidth="1"/>
    <col min="5905" max="5905" width="29.140625" style="842" customWidth="1"/>
    <col min="5906" max="5906" width="33.5703125" style="842" customWidth="1"/>
    <col min="5907" max="5907" width="25" style="842" customWidth="1"/>
    <col min="5908" max="5908" width="11.7109375" style="842" customWidth="1"/>
    <col min="5909" max="5909" width="17.28515625" style="842" customWidth="1"/>
    <col min="5910" max="5925" width="7.28515625" style="842" customWidth="1"/>
    <col min="5926" max="5927" width="13.7109375" style="842" customWidth="1"/>
    <col min="5928" max="5928" width="20.85546875" style="842" customWidth="1"/>
    <col min="5929" max="6144" width="11.42578125" style="842"/>
    <col min="6145" max="6145" width="13.140625" style="842" customWidth="1"/>
    <col min="6146" max="6146" width="35.28515625" style="842" customWidth="1"/>
    <col min="6147" max="6147" width="12.85546875" style="842" customWidth="1"/>
    <col min="6148" max="6148" width="19.5703125" style="842" customWidth="1"/>
    <col min="6149" max="6149" width="12.28515625" style="842" customWidth="1"/>
    <col min="6150" max="6150" width="21.28515625" style="842" customWidth="1"/>
    <col min="6151" max="6151" width="11.5703125" style="842" customWidth="1"/>
    <col min="6152" max="6152" width="33.140625" style="842" customWidth="1"/>
    <col min="6153" max="6153" width="22.7109375" style="842" customWidth="1"/>
    <col min="6154" max="6154" width="10.7109375" style="842" customWidth="1"/>
    <col min="6155" max="6155" width="27.7109375" style="842" customWidth="1"/>
    <col min="6156" max="6156" width="21.42578125" style="842" customWidth="1"/>
    <col min="6157" max="6157" width="22.140625" style="842" customWidth="1"/>
    <col min="6158" max="6158" width="12.7109375" style="842" customWidth="1"/>
    <col min="6159" max="6159" width="16.42578125" style="842" customWidth="1"/>
    <col min="6160" max="6160" width="29.7109375" style="842" customWidth="1"/>
    <col min="6161" max="6161" width="29.140625" style="842" customWidth="1"/>
    <col min="6162" max="6162" width="33.5703125" style="842" customWidth="1"/>
    <col min="6163" max="6163" width="25" style="842" customWidth="1"/>
    <col min="6164" max="6164" width="11.7109375" style="842" customWidth="1"/>
    <col min="6165" max="6165" width="17.28515625" style="842" customWidth="1"/>
    <col min="6166" max="6181" width="7.28515625" style="842" customWidth="1"/>
    <col min="6182" max="6183" width="13.7109375" style="842" customWidth="1"/>
    <col min="6184" max="6184" width="20.85546875" style="842" customWidth="1"/>
    <col min="6185" max="6400" width="11.42578125" style="842"/>
    <col min="6401" max="6401" width="13.140625" style="842" customWidth="1"/>
    <col min="6402" max="6402" width="35.28515625" style="842" customWidth="1"/>
    <col min="6403" max="6403" width="12.85546875" style="842" customWidth="1"/>
    <col min="6404" max="6404" width="19.5703125" style="842" customWidth="1"/>
    <col min="6405" max="6405" width="12.28515625" style="842" customWidth="1"/>
    <col min="6406" max="6406" width="21.28515625" style="842" customWidth="1"/>
    <col min="6407" max="6407" width="11.5703125" style="842" customWidth="1"/>
    <col min="6408" max="6408" width="33.140625" style="842" customWidth="1"/>
    <col min="6409" max="6409" width="22.7109375" style="842" customWidth="1"/>
    <col min="6410" max="6410" width="10.7109375" style="842" customWidth="1"/>
    <col min="6411" max="6411" width="27.7109375" style="842" customWidth="1"/>
    <col min="6412" max="6412" width="21.42578125" style="842" customWidth="1"/>
    <col min="6413" max="6413" width="22.140625" style="842" customWidth="1"/>
    <col min="6414" max="6414" width="12.7109375" style="842" customWidth="1"/>
    <col min="6415" max="6415" width="16.42578125" style="842" customWidth="1"/>
    <col min="6416" max="6416" width="29.7109375" style="842" customWidth="1"/>
    <col min="6417" max="6417" width="29.140625" style="842" customWidth="1"/>
    <col min="6418" max="6418" width="33.5703125" style="842" customWidth="1"/>
    <col min="6419" max="6419" width="25" style="842" customWidth="1"/>
    <col min="6420" max="6420" width="11.7109375" style="842" customWidth="1"/>
    <col min="6421" max="6421" width="17.28515625" style="842" customWidth="1"/>
    <col min="6422" max="6437" width="7.28515625" style="842" customWidth="1"/>
    <col min="6438" max="6439" width="13.7109375" style="842" customWidth="1"/>
    <col min="6440" max="6440" width="20.85546875" style="842" customWidth="1"/>
    <col min="6441" max="6656" width="11.42578125" style="842"/>
    <col min="6657" max="6657" width="13.140625" style="842" customWidth="1"/>
    <col min="6658" max="6658" width="35.28515625" style="842" customWidth="1"/>
    <col min="6659" max="6659" width="12.85546875" style="842" customWidth="1"/>
    <col min="6660" max="6660" width="19.5703125" style="842" customWidth="1"/>
    <col min="6661" max="6661" width="12.28515625" style="842" customWidth="1"/>
    <col min="6662" max="6662" width="21.28515625" style="842" customWidth="1"/>
    <col min="6663" max="6663" width="11.5703125" style="842" customWidth="1"/>
    <col min="6664" max="6664" width="33.140625" style="842" customWidth="1"/>
    <col min="6665" max="6665" width="22.7109375" style="842" customWidth="1"/>
    <col min="6666" max="6666" width="10.7109375" style="842" customWidth="1"/>
    <col min="6667" max="6667" width="27.7109375" style="842" customWidth="1"/>
    <col min="6668" max="6668" width="21.42578125" style="842" customWidth="1"/>
    <col min="6669" max="6669" width="22.140625" style="842" customWidth="1"/>
    <col min="6670" max="6670" width="12.7109375" style="842" customWidth="1"/>
    <col min="6671" max="6671" width="16.42578125" style="842" customWidth="1"/>
    <col min="6672" max="6672" width="29.7109375" style="842" customWidth="1"/>
    <col min="6673" max="6673" width="29.140625" style="842" customWidth="1"/>
    <col min="6674" max="6674" width="33.5703125" style="842" customWidth="1"/>
    <col min="6675" max="6675" width="25" style="842" customWidth="1"/>
    <col min="6676" max="6676" width="11.7109375" style="842" customWidth="1"/>
    <col min="6677" max="6677" width="17.28515625" style="842" customWidth="1"/>
    <col min="6678" max="6693" width="7.28515625" style="842" customWidth="1"/>
    <col min="6694" max="6695" width="13.7109375" style="842" customWidth="1"/>
    <col min="6696" max="6696" width="20.85546875" style="842" customWidth="1"/>
    <col min="6697" max="6912" width="11.42578125" style="842"/>
    <col min="6913" max="6913" width="13.140625" style="842" customWidth="1"/>
    <col min="6914" max="6914" width="35.28515625" style="842" customWidth="1"/>
    <col min="6915" max="6915" width="12.85546875" style="842" customWidth="1"/>
    <col min="6916" max="6916" width="19.5703125" style="842" customWidth="1"/>
    <col min="6917" max="6917" width="12.28515625" style="842" customWidth="1"/>
    <col min="6918" max="6918" width="21.28515625" style="842" customWidth="1"/>
    <col min="6919" max="6919" width="11.5703125" style="842" customWidth="1"/>
    <col min="6920" max="6920" width="33.140625" style="842" customWidth="1"/>
    <col min="6921" max="6921" width="22.7109375" style="842" customWidth="1"/>
    <col min="6922" max="6922" width="10.7109375" style="842" customWidth="1"/>
    <col min="6923" max="6923" width="27.7109375" style="842" customWidth="1"/>
    <col min="6924" max="6924" width="21.42578125" style="842" customWidth="1"/>
    <col min="6925" max="6925" width="22.140625" style="842" customWidth="1"/>
    <col min="6926" max="6926" width="12.7109375" style="842" customWidth="1"/>
    <col min="6927" max="6927" width="16.42578125" style="842" customWidth="1"/>
    <col min="6928" max="6928" width="29.7109375" style="842" customWidth="1"/>
    <col min="6929" max="6929" width="29.140625" style="842" customWidth="1"/>
    <col min="6930" max="6930" width="33.5703125" style="842" customWidth="1"/>
    <col min="6931" max="6931" width="25" style="842" customWidth="1"/>
    <col min="6932" max="6932" width="11.7109375" style="842" customWidth="1"/>
    <col min="6933" max="6933" width="17.28515625" style="842" customWidth="1"/>
    <col min="6934" max="6949" width="7.28515625" style="842" customWidth="1"/>
    <col min="6950" max="6951" width="13.7109375" style="842" customWidth="1"/>
    <col min="6952" max="6952" width="20.85546875" style="842" customWidth="1"/>
    <col min="6953" max="7168" width="11.42578125" style="842"/>
    <col min="7169" max="7169" width="13.140625" style="842" customWidth="1"/>
    <col min="7170" max="7170" width="35.28515625" style="842" customWidth="1"/>
    <col min="7171" max="7171" width="12.85546875" style="842" customWidth="1"/>
    <col min="7172" max="7172" width="19.5703125" style="842" customWidth="1"/>
    <col min="7173" max="7173" width="12.28515625" style="842" customWidth="1"/>
    <col min="7174" max="7174" width="21.28515625" style="842" customWidth="1"/>
    <col min="7175" max="7175" width="11.5703125" style="842" customWidth="1"/>
    <col min="7176" max="7176" width="33.140625" style="842" customWidth="1"/>
    <col min="7177" max="7177" width="22.7109375" style="842" customWidth="1"/>
    <col min="7178" max="7178" width="10.7109375" style="842" customWidth="1"/>
    <col min="7179" max="7179" width="27.7109375" style="842" customWidth="1"/>
    <col min="7180" max="7180" width="21.42578125" style="842" customWidth="1"/>
    <col min="7181" max="7181" width="22.140625" style="842" customWidth="1"/>
    <col min="7182" max="7182" width="12.7109375" style="842" customWidth="1"/>
    <col min="7183" max="7183" width="16.42578125" style="842" customWidth="1"/>
    <col min="7184" max="7184" width="29.7109375" style="842" customWidth="1"/>
    <col min="7185" max="7185" width="29.140625" style="842" customWidth="1"/>
    <col min="7186" max="7186" width="33.5703125" style="842" customWidth="1"/>
    <col min="7187" max="7187" width="25" style="842" customWidth="1"/>
    <col min="7188" max="7188" width="11.7109375" style="842" customWidth="1"/>
    <col min="7189" max="7189" width="17.28515625" style="842" customWidth="1"/>
    <col min="7190" max="7205" width="7.28515625" style="842" customWidth="1"/>
    <col min="7206" max="7207" width="13.7109375" style="842" customWidth="1"/>
    <col min="7208" max="7208" width="20.85546875" style="842" customWidth="1"/>
    <col min="7209" max="7424" width="11.42578125" style="842"/>
    <col min="7425" max="7425" width="13.140625" style="842" customWidth="1"/>
    <col min="7426" max="7426" width="35.28515625" style="842" customWidth="1"/>
    <col min="7427" max="7427" width="12.85546875" style="842" customWidth="1"/>
    <col min="7428" max="7428" width="19.5703125" style="842" customWidth="1"/>
    <col min="7429" max="7429" width="12.28515625" style="842" customWidth="1"/>
    <col min="7430" max="7430" width="21.28515625" style="842" customWidth="1"/>
    <col min="7431" max="7431" width="11.5703125" style="842" customWidth="1"/>
    <col min="7432" max="7432" width="33.140625" style="842" customWidth="1"/>
    <col min="7433" max="7433" width="22.7109375" style="842" customWidth="1"/>
    <col min="7434" max="7434" width="10.7109375" style="842" customWidth="1"/>
    <col min="7435" max="7435" width="27.7109375" style="842" customWidth="1"/>
    <col min="7436" max="7436" width="21.42578125" style="842" customWidth="1"/>
    <col min="7437" max="7437" width="22.140625" style="842" customWidth="1"/>
    <col min="7438" max="7438" width="12.7109375" style="842" customWidth="1"/>
    <col min="7439" max="7439" width="16.42578125" style="842" customWidth="1"/>
    <col min="7440" max="7440" width="29.7109375" style="842" customWidth="1"/>
    <col min="7441" max="7441" width="29.140625" style="842" customWidth="1"/>
    <col min="7442" max="7442" width="33.5703125" style="842" customWidth="1"/>
    <col min="7443" max="7443" width="25" style="842" customWidth="1"/>
    <col min="7444" max="7444" width="11.7109375" style="842" customWidth="1"/>
    <col min="7445" max="7445" width="17.28515625" style="842" customWidth="1"/>
    <col min="7446" max="7461" width="7.28515625" style="842" customWidth="1"/>
    <col min="7462" max="7463" width="13.7109375" style="842" customWidth="1"/>
    <col min="7464" max="7464" width="20.85546875" style="842" customWidth="1"/>
    <col min="7465" max="7680" width="11.42578125" style="842"/>
    <col min="7681" max="7681" width="13.140625" style="842" customWidth="1"/>
    <col min="7682" max="7682" width="35.28515625" style="842" customWidth="1"/>
    <col min="7683" max="7683" width="12.85546875" style="842" customWidth="1"/>
    <col min="7684" max="7684" width="19.5703125" style="842" customWidth="1"/>
    <col min="7685" max="7685" width="12.28515625" style="842" customWidth="1"/>
    <col min="7686" max="7686" width="21.28515625" style="842" customWidth="1"/>
    <col min="7687" max="7687" width="11.5703125" style="842" customWidth="1"/>
    <col min="7688" max="7688" width="33.140625" style="842" customWidth="1"/>
    <col min="7689" max="7689" width="22.7109375" style="842" customWidth="1"/>
    <col min="7690" max="7690" width="10.7109375" style="842" customWidth="1"/>
    <col min="7691" max="7691" width="27.7109375" style="842" customWidth="1"/>
    <col min="7692" max="7692" width="21.42578125" style="842" customWidth="1"/>
    <col min="7693" max="7693" width="22.140625" style="842" customWidth="1"/>
    <col min="7694" max="7694" width="12.7109375" style="842" customWidth="1"/>
    <col min="7695" max="7695" width="16.42578125" style="842" customWidth="1"/>
    <col min="7696" max="7696" width="29.7109375" style="842" customWidth="1"/>
    <col min="7697" max="7697" width="29.140625" style="842" customWidth="1"/>
    <col min="7698" max="7698" width="33.5703125" style="842" customWidth="1"/>
    <col min="7699" max="7699" width="25" style="842" customWidth="1"/>
    <col min="7700" max="7700" width="11.7109375" style="842" customWidth="1"/>
    <col min="7701" max="7701" width="17.28515625" style="842" customWidth="1"/>
    <col min="7702" max="7717" width="7.28515625" style="842" customWidth="1"/>
    <col min="7718" max="7719" width="13.7109375" style="842" customWidth="1"/>
    <col min="7720" max="7720" width="20.85546875" style="842" customWidth="1"/>
    <col min="7721" max="7936" width="11.42578125" style="842"/>
    <col min="7937" max="7937" width="13.140625" style="842" customWidth="1"/>
    <col min="7938" max="7938" width="35.28515625" style="842" customWidth="1"/>
    <col min="7939" max="7939" width="12.85546875" style="842" customWidth="1"/>
    <col min="7940" max="7940" width="19.5703125" style="842" customWidth="1"/>
    <col min="7941" max="7941" width="12.28515625" style="842" customWidth="1"/>
    <col min="7942" max="7942" width="21.28515625" style="842" customWidth="1"/>
    <col min="7943" max="7943" width="11.5703125" style="842" customWidth="1"/>
    <col min="7944" max="7944" width="33.140625" style="842" customWidth="1"/>
    <col min="7945" max="7945" width="22.7109375" style="842" customWidth="1"/>
    <col min="7946" max="7946" width="10.7109375" style="842" customWidth="1"/>
    <col min="7947" max="7947" width="27.7109375" style="842" customWidth="1"/>
    <col min="7948" max="7948" width="21.42578125" style="842" customWidth="1"/>
    <col min="7949" max="7949" width="22.140625" style="842" customWidth="1"/>
    <col min="7950" max="7950" width="12.7109375" style="842" customWidth="1"/>
    <col min="7951" max="7951" width="16.42578125" style="842" customWidth="1"/>
    <col min="7952" max="7952" width="29.7109375" style="842" customWidth="1"/>
    <col min="7953" max="7953" width="29.140625" style="842" customWidth="1"/>
    <col min="7954" max="7954" width="33.5703125" style="842" customWidth="1"/>
    <col min="7955" max="7955" width="25" style="842" customWidth="1"/>
    <col min="7956" max="7956" width="11.7109375" style="842" customWidth="1"/>
    <col min="7957" max="7957" width="17.28515625" style="842" customWidth="1"/>
    <col min="7958" max="7973" width="7.28515625" style="842" customWidth="1"/>
    <col min="7974" max="7975" width="13.7109375" style="842" customWidth="1"/>
    <col min="7976" max="7976" width="20.85546875" style="842" customWidth="1"/>
    <col min="7977" max="8192" width="11.42578125" style="842"/>
    <col min="8193" max="8193" width="13.140625" style="842" customWidth="1"/>
    <col min="8194" max="8194" width="35.28515625" style="842" customWidth="1"/>
    <col min="8195" max="8195" width="12.85546875" style="842" customWidth="1"/>
    <col min="8196" max="8196" width="19.5703125" style="842" customWidth="1"/>
    <col min="8197" max="8197" width="12.28515625" style="842" customWidth="1"/>
    <col min="8198" max="8198" width="21.28515625" style="842" customWidth="1"/>
    <col min="8199" max="8199" width="11.5703125" style="842" customWidth="1"/>
    <col min="8200" max="8200" width="33.140625" style="842" customWidth="1"/>
    <col min="8201" max="8201" width="22.7109375" style="842" customWidth="1"/>
    <col min="8202" max="8202" width="10.7109375" style="842" customWidth="1"/>
    <col min="8203" max="8203" width="27.7109375" style="842" customWidth="1"/>
    <col min="8204" max="8204" width="21.42578125" style="842" customWidth="1"/>
    <col min="8205" max="8205" width="22.140625" style="842" customWidth="1"/>
    <col min="8206" max="8206" width="12.7109375" style="842" customWidth="1"/>
    <col min="8207" max="8207" width="16.42578125" style="842" customWidth="1"/>
    <col min="8208" max="8208" width="29.7109375" style="842" customWidth="1"/>
    <col min="8209" max="8209" width="29.140625" style="842" customWidth="1"/>
    <col min="8210" max="8210" width="33.5703125" style="842" customWidth="1"/>
    <col min="8211" max="8211" width="25" style="842" customWidth="1"/>
    <col min="8212" max="8212" width="11.7109375" style="842" customWidth="1"/>
    <col min="8213" max="8213" width="17.28515625" style="842" customWidth="1"/>
    <col min="8214" max="8229" width="7.28515625" style="842" customWidth="1"/>
    <col min="8230" max="8231" width="13.7109375" style="842" customWidth="1"/>
    <col min="8232" max="8232" width="20.85546875" style="842" customWidth="1"/>
    <col min="8233" max="8448" width="11.42578125" style="842"/>
    <col min="8449" max="8449" width="13.140625" style="842" customWidth="1"/>
    <col min="8450" max="8450" width="35.28515625" style="842" customWidth="1"/>
    <col min="8451" max="8451" width="12.85546875" style="842" customWidth="1"/>
    <col min="8452" max="8452" width="19.5703125" style="842" customWidth="1"/>
    <col min="8453" max="8453" width="12.28515625" style="842" customWidth="1"/>
    <col min="8454" max="8454" width="21.28515625" style="842" customWidth="1"/>
    <col min="8455" max="8455" width="11.5703125" style="842" customWidth="1"/>
    <col min="8456" max="8456" width="33.140625" style="842" customWidth="1"/>
    <col min="8457" max="8457" width="22.7109375" style="842" customWidth="1"/>
    <col min="8458" max="8458" width="10.7109375" style="842" customWidth="1"/>
    <col min="8459" max="8459" width="27.7109375" style="842" customWidth="1"/>
    <col min="8460" max="8460" width="21.42578125" style="842" customWidth="1"/>
    <col min="8461" max="8461" width="22.140625" style="842" customWidth="1"/>
    <col min="8462" max="8462" width="12.7109375" style="842" customWidth="1"/>
    <col min="8463" max="8463" width="16.42578125" style="842" customWidth="1"/>
    <col min="8464" max="8464" width="29.7109375" style="842" customWidth="1"/>
    <col min="8465" max="8465" width="29.140625" style="842" customWidth="1"/>
    <col min="8466" max="8466" width="33.5703125" style="842" customWidth="1"/>
    <col min="8467" max="8467" width="25" style="842" customWidth="1"/>
    <col min="8468" max="8468" width="11.7109375" style="842" customWidth="1"/>
    <col min="8469" max="8469" width="17.28515625" style="842" customWidth="1"/>
    <col min="8470" max="8485" width="7.28515625" style="842" customWidth="1"/>
    <col min="8486" max="8487" width="13.7109375" style="842" customWidth="1"/>
    <col min="8488" max="8488" width="20.85546875" style="842" customWidth="1"/>
    <col min="8489" max="8704" width="11.42578125" style="842"/>
    <col min="8705" max="8705" width="13.140625" style="842" customWidth="1"/>
    <col min="8706" max="8706" width="35.28515625" style="842" customWidth="1"/>
    <col min="8707" max="8707" width="12.85546875" style="842" customWidth="1"/>
    <col min="8708" max="8708" width="19.5703125" style="842" customWidth="1"/>
    <col min="8709" max="8709" width="12.28515625" style="842" customWidth="1"/>
    <col min="8710" max="8710" width="21.28515625" style="842" customWidth="1"/>
    <col min="8711" max="8711" width="11.5703125" style="842" customWidth="1"/>
    <col min="8712" max="8712" width="33.140625" style="842" customWidth="1"/>
    <col min="8713" max="8713" width="22.7109375" style="842" customWidth="1"/>
    <col min="8714" max="8714" width="10.7109375" style="842" customWidth="1"/>
    <col min="8715" max="8715" width="27.7109375" style="842" customWidth="1"/>
    <col min="8716" max="8716" width="21.42578125" style="842" customWidth="1"/>
    <col min="8717" max="8717" width="22.140625" style="842" customWidth="1"/>
    <col min="8718" max="8718" width="12.7109375" style="842" customWidth="1"/>
    <col min="8719" max="8719" width="16.42578125" style="842" customWidth="1"/>
    <col min="8720" max="8720" width="29.7109375" style="842" customWidth="1"/>
    <col min="8721" max="8721" width="29.140625" style="842" customWidth="1"/>
    <col min="8722" max="8722" width="33.5703125" style="842" customWidth="1"/>
    <col min="8723" max="8723" width="25" style="842" customWidth="1"/>
    <col min="8724" max="8724" width="11.7109375" style="842" customWidth="1"/>
    <col min="8725" max="8725" width="17.28515625" style="842" customWidth="1"/>
    <col min="8726" max="8741" width="7.28515625" style="842" customWidth="1"/>
    <col min="8742" max="8743" width="13.7109375" style="842" customWidth="1"/>
    <col min="8744" max="8744" width="20.85546875" style="842" customWidth="1"/>
    <col min="8745" max="8960" width="11.42578125" style="842"/>
    <col min="8961" max="8961" width="13.140625" style="842" customWidth="1"/>
    <col min="8962" max="8962" width="35.28515625" style="842" customWidth="1"/>
    <col min="8963" max="8963" width="12.85546875" style="842" customWidth="1"/>
    <col min="8964" max="8964" width="19.5703125" style="842" customWidth="1"/>
    <col min="8965" max="8965" width="12.28515625" style="842" customWidth="1"/>
    <col min="8966" max="8966" width="21.28515625" style="842" customWidth="1"/>
    <col min="8967" max="8967" width="11.5703125" style="842" customWidth="1"/>
    <col min="8968" max="8968" width="33.140625" style="842" customWidth="1"/>
    <col min="8969" max="8969" width="22.7109375" style="842" customWidth="1"/>
    <col min="8970" max="8970" width="10.7109375" style="842" customWidth="1"/>
    <col min="8971" max="8971" width="27.7109375" style="842" customWidth="1"/>
    <col min="8972" max="8972" width="21.42578125" style="842" customWidth="1"/>
    <col min="8973" max="8973" width="22.140625" style="842" customWidth="1"/>
    <col min="8974" max="8974" width="12.7109375" style="842" customWidth="1"/>
    <col min="8975" max="8975" width="16.42578125" style="842" customWidth="1"/>
    <col min="8976" max="8976" width="29.7109375" style="842" customWidth="1"/>
    <col min="8977" max="8977" width="29.140625" style="842" customWidth="1"/>
    <col min="8978" max="8978" width="33.5703125" style="842" customWidth="1"/>
    <col min="8979" max="8979" width="25" style="842" customWidth="1"/>
    <col min="8980" max="8980" width="11.7109375" style="842" customWidth="1"/>
    <col min="8981" max="8981" width="17.28515625" style="842" customWidth="1"/>
    <col min="8982" max="8997" width="7.28515625" style="842" customWidth="1"/>
    <col min="8998" max="8999" width="13.7109375" style="842" customWidth="1"/>
    <col min="9000" max="9000" width="20.85546875" style="842" customWidth="1"/>
    <col min="9001" max="9216" width="11.42578125" style="842"/>
    <col min="9217" max="9217" width="13.140625" style="842" customWidth="1"/>
    <col min="9218" max="9218" width="35.28515625" style="842" customWidth="1"/>
    <col min="9219" max="9219" width="12.85546875" style="842" customWidth="1"/>
    <col min="9220" max="9220" width="19.5703125" style="842" customWidth="1"/>
    <col min="9221" max="9221" width="12.28515625" style="842" customWidth="1"/>
    <col min="9222" max="9222" width="21.28515625" style="842" customWidth="1"/>
    <col min="9223" max="9223" width="11.5703125" style="842" customWidth="1"/>
    <col min="9224" max="9224" width="33.140625" style="842" customWidth="1"/>
    <col min="9225" max="9225" width="22.7109375" style="842" customWidth="1"/>
    <col min="9226" max="9226" width="10.7109375" style="842" customWidth="1"/>
    <col min="9227" max="9227" width="27.7109375" style="842" customWidth="1"/>
    <col min="9228" max="9228" width="21.42578125" style="842" customWidth="1"/>
    <col min="9229" max="9229" width="22.140625" style="842" customWidth="1"/>
    <col min="9230" max="9230" width="12.7109375" style="842" customWidth="1"/>
    <col min="9231" max="9231" width="16.42578125" style="842" customWidth="1"/>
    <col min="9232" max="9232" width="29.7109375" style="842" customWidth="1"/>
    <col min="9233" max="9233" width="29.140625" style="842" customWidth="1"/>
    <col min="9234" max="9234" width="33.5703125" style="842" customWidth="1"/>
    <col min="9235" max="9235" width="25" style="842" customWidth="1"/>
    <col min="9236" max="9236" width="11.7109375" style="842" customWidth="1"/>
    <col min="9237" max="9237" width="17.28515625" style="842" customWidth="1"/>
    <col min="9238" max="9253" width="7.28515625" style="842" customWidth="1"/>
    <col min="9254" max="9255" width="13.7109375" style="842" customWidth="1"/>
    <col min="9256" max="9256" width="20.85546875" style="842" customWidth="1"/>
    <col min="9257" max="9472" width="11.42578125" style="842"/>
    <col min="9473" max="9473" width="13.140625" style="842" customWidth="1"/>
    <col min="9474" max="9474" width="35.28515625" style="842" customWidth="1"/>
    <col min="9475" max="9475" width="12.85546875" style="842" customWidth="1"/>
    <col min="9476" max="9476" width="19.5703125" style="842" customWidth="1"/>
    <col min="9477" max="9477" width="12.28515625" style="842" customWidth="1"/>
    <col min="9478" max="9478" width="21.28515625" style="842" customWidth="1"/>
    <col min="9479" max="9479" width="11.5703125" style="842" customWidth="1"/>
    <col min="9480" max="9480" width="33.140625" style="842" customWidth="1"/>
    <col min="9481" max="9481" width="22.7109375" style="842" customWidth="1"/>
    <col min="9482" max="9482" width="10.7109375" style="842" customWidth="1"/>
    <col min="9483" max="9483" width="27.7109375" style="842" customWidth="1"/>
    <col min="9484" max="9484" width="21.42578125" style="842" customWidth="1"/>
    <col min="9485" max="9485" width="22.140625" style="842" customWidth="1"/>
    <col min="9486" max="9486" width="12.7109375" style="842" customWidth="1"/>
    <col min="9487" max="9487" width="16.42578125" style="842" customWidth="1"/>
    <col min="9488" max="9488" width="29.7109375" style="842" customWidth="1"/>
    <col min="9489" max="9489" width="29.140625" style="842" customWidth="1"/>
    <col min="9490" max="9490" width="33.5703125" style="842" customWidth="1"/>
    <col min="9491" max="9491" width="25" style="842" customWidth="1"/>
    <col min="9492" max="9492" width="11.7109375" style="842" customWidth="1"/>
    <col min="9493" max="9493" width="17.28515625" style="842" customWidth="1"/>
    <col min="9494" max="9509" width="7.28515625" style="842" customWidth="1"/>
    <col min="9510" max="9511" width="13.7109375" style="842" customWidth="1"/>
    <col min="9512" max="9512" width="20.85546875" style="842" customWidth="1"/>
    <col min="9513" max="9728" width="11.42578125" style="842"/>
    <col min="9729" max="9729" width="13.140625" style="842" customWidth="1"/>
    <col min="9730" max="9730" width="35.28515625" style="842" customWidth="1"/>
    <col min="9731" max="9731" width="12.85546875" style="842" customWidth="1"/>
    <col min="9732" max="9732" width="19.5703125" style="842" customWidth="1"/>
    <col min="9733" max="9733" width="12.28515625" style="842" customWidth="1"/>
    <col min="9734" max="9734" width="21.28515625" style="842" customWidth="1"/>
    <col min="9735" max="9735" width="11.5703125" style="842" customWidth="1"/>
    <col min="9736" max="9736" width="33.140625" style="842" customWidth="1"/>
    <col min="9737" max="9737" width="22.7109375" style="842" customWidth="1"/>
    <col min="9738" max="9738" width="10.7109375" style="842" customWidth="1"/>
    <col min="9739" max="9739" width="27.7109375" style="842" customWidth="1"/>
    <col min="9740" max="9740" width="21.42578125" style="842" customWidth="1"/>
    <col min="9741" max="9741" width="22.140625" style="842" customWidth="1"/>
    <col min="9742" max="9742" width="12.7109375" style="842" customWidth="1"/>
    <col min="9743" max="9743" width="16.42578125" style="842" customWidth="1"/>
    <col min="9744" max="9744" width="29.7109375" style="842" customWidth="1"/>
    <col min="9745" max="9745" width="29.140625" style="842" customWidth="1"/>
    <col min="9746" max="9746" width="33.5703125" style="842" customWidth="1"/>
    <col min="9747" max="9747" width="25" style="842" customWidth="1"/>
    <col min="9748" max="9748" width="11.7109375" style="842" customWidth="1"/>
    <col min="9749" max="9749" width="17.28515625" style="842" customWidth="1"/>
    <col min="9750" max="9765" width="7.28515625" style="842" customWidth="1"/>
    <col min="9766" max="9767" width="13.7109375" style="842" customWidth="1"/>
    <col min="9768" max="9768" width="20.85546875" style="842" customWidth="1"/>
    <col min="9769" max="9984" width="11.42578125" style="842"/>
    <col min="9985" max="9985" width="13.140625" style="842" customWidth="1"/>
    <col min="9986" max="9986" width="35.28515625" style="842" customWidth="1"/>
    <col min="9987" max="9987" width="12.85546875" style="842" customWidth="1"/>
    <col min="9988" max="9988" width="19.5703125" style="842" customWidth="1"/>
    <col min="9989" max="9989" width="12.28515625" style="842" customWidth="1"/>
    <col min="9990" max="9990" width="21.28515625" style="842" customWidth="1"/>
    <col min="9991" max="9991" width="11.5703125" style="842" customWidth="1"/>
    <col min="9992" max="9992" width="33.140625" style="842" customWidth="1"/>
    <col min="9993" max="9993" width="22.7109375" style="842" customWidth="1"/>
    <col min="9994" max="9994" width="10.7109375" style="842" customWidth="1"/>
    <col min="9995" max="9995" width="27.7109375" style="842" customWidth="1"/>
    <col min="9996" max="9996" width="21.42578125" style="842" customWidth="1"/>
    <col min="9997" max="9997" width="22.140625" style="842" customWidth="1"/>
    <col min="9998" max="9998" width="12.7109375" style="842" customWidth="1"/>
    <col min="9999" max="9999" width="16.42578125" style="842" customWidth="1"/>
    <col min="10000" max="10000" width="29.7109375" style="842" customWidth="1"/>
    <col min="10001" max="10001" width="29.140625" style="842" customWidth="1"/>
    <col min="10002" max="10002" width="33.5703125" style="842" customWidth="1"/>
    <col min="10003" max="10003" width="25" style="842" customWidth="1"/>
    <col min="10004" max="10004" width="11.7109375" style="842" customWidth="1"/>
    <col min="10005" max="10005" width="17.28515625" style="842" customWidth="1"/>
    <col min="10006" max="10021" width="7.28515625" style="842" customWidth="1"/>
    <col min="10022" max="10023" width="13.7109375" style="842" customWidth="1"/>
    <col min="10024" max="10024" width="20.85546875" style="842" customWidth="1"/>
    <col min="10025" max="10240" width="11.42578125" style="842"/>
    <col min="10241" max="10241" width="13.140625" style="842" customWidth="1"/>
    <col min="10242" max="10242" width="35.28515625" style="842" customWidth="1"/>
    <col min="10243" max="10243" width="12.85546875" style="842" customWidth="1"/>
    <col min="10244" max="10244" width="19.5703125" style="842" customWidth="1"/>
    <col min="10245" max="10245" width="12.28515625" style="842" customWidth="1"/>
    <col min="10246" max="10246" width="21.28515625" style="842" customWidth="1"/>
    <col min="10247" max="10247" width="11.5703125" style="842" customWidth="1"/>
    <col min="10248" max="10248" width="33.140625" style="842" customWidth="1"/>
    <col min="10249" max="10249" width="22.7109375" style="842" customWidth="1"/>
    <col min="10250" max="10250" width="10.7109375" style="842" customWidth="1"/>
    <col min="10251" max="10251" width="27.7109375" style="842" customWidth="1"/>
    <col min="10252" max="10252" width="21.42578125" style="842" customWidth="1"/>
    <col min="10253" max="10253" width="22.140625" style="842" customWidth="1"/>
    <col min="10254" max="10254" width="12.7109375" style="842" customWidth="1"/>
    <col min="10255" max="10255" width="16.42578125" style="842" customWidth="1"/>
    <col min="10256" max="10256" width="29.7109375" style="842" customWidth="1"/>
    <col min="10257" max="10257" width="29.140625" style="842" customWidth="1"/>
    <col min="10258" max="10258" width="33.5703125" style="842" customWidth="1"/>
    <col min="10259" max="10259" width="25" style="842" customWidth="1"/>
    <col min="10260" max="10260" width="11.7109375" style="842" customWidth="1"/>
    <col min="10261" max="10261" width="17.28515625" style="842" customWidth="1"/>
    <col min="10262" max="10277" width="7.28515625" style="842" customWidth="1"/>
    <col min="10278" max="10279" width="13.7109375" style="842" customWidth="1"/>
    <col min="10280" max="10280" width="20.85546875" style="842" customWidth="1"/>
    <col min="10281" max="10496" width="11.42578125" style="842"/>
    <col min="10497" max="10497" width="13.140625" style="842" customWidth="1"/>
    <col min="10498" max="10498" width="35.28515625" style="842" customWidth="1"/>
    <col min="10499" max="10499" width="12.85546875" style="842" customWidth="1"/>
    <col min="10500" max="10500" width="19.5703125" style="842" customWidth="1"/>
    <col min="10501" max="10501" width="12.28515625" style="842" customWidth="1"/>
    <col min="10502" max="10502" width="21.28515625" style="842" customWidth="1"/>
    <col min="10503" max="10503" width="11.5703125" style="842" customWidth="1"/>
    <col min="10504" max="10504" width="33.140625" style="842" customWidth="1"/>
    <col min="10505" max="10505" width="22.7109375" style="842" customWidth="1"/>
    <col min="10506" max="10506" width="10.7109375" style="842" customWidth="1"/>
    <col min="10507" max="10507" width="27.7109375" style="842" customWidth="1"/>
    <col min="10508" max="10508" width="21.42578125" style="842" customWidth="1"/>
    <col min="10509" max="10509" width="22.140625" style="842" customWidth="1"/>
    <col min="10510" max="10510" width="12.7109375" style="842" customWidth="1"/>
    <col min="10511" max="10511" width="16.42578125" style="842" customWidth="1"/>
    <col min="10512" max="10512" width="29.7109375" style="842" customWidth="1"/>
    <col min="10513" max="10513" width="29.140625" style="842" customWidth="1"/>
    <col min="10514" max="10514" width="33.5703125" style="842" customWidth="1"/>
    <col min="10515" max="10515" width="25" style="842" customWidth="1"/>
    <col min="10516" max="10516" width="11.7109375" style="842" customWidth="1"/>
    <col min="10517" max="10517" width="17.28515625" style="842" customWidth="1"/>
    <col min="10518" max="10533" width="7.28515625" style="842" customWidth="1"/>
    <col min="10534" max="10535" width="13.7109375" style="842" customWidth="1"/>
    <col min="10536" max="10536" width="20.85546875" style="842" customWidth="1"/>
    <col min="10537" max="10752" width="11.42578125" style="842"/>
    <col min="10753" max="10753" width="13.140625" style="842" customWidth="1"/>
    <col min="10754" max="10754" width="35.28515625" style="842" customWidth="1"/>
    <col min="10755" max="10755" width="12.85546875" style="842" customWidth="1"/>
    <col min="10756" max="10756" width="19.5703125" style="842" customWidth="1"/>
    <col min="10757" max="10757" width="12.28515625" style="842" customWidth="1"/>
    <col min="10758" max="10758" width="21.28515625" style="842" customWidth="1"/>
    <col min="10759" max="10759" width="11.5703125" style="842" customWidth="1"/>
    <col min="10760" max="10760" width="33.140625" style="842" customWidth="1"/>
    <col min="10761" max="10761" width="22.7109375" style="842" customWidth="1"/>
    <col min="10762" max="10762" width="10.7109375" style="842" customWidth="1"/>
    <col min="10763" max="10763" width="27.7109375" style="842" customWidth="1"/>
    <col min="10764" max="10764" width="21.42578125" style="842" customWidth="1"/>
    <col min="10765" max="10765" width="22.140625" style="842" customWidth="1"/>
    <col min="10766" max="10766" width="12.7109375" style="842" customWidth="1"/>
    <col min="10767" max="10767" width="16.42578125" style="842" customWidth="1"/>
    <col min="10768" max="10768" width="29.7109375" style="842" customWidth="1"/>
    <col min="10769" max="10769" width="29.140625" style="842" customWidth="1"/>
    <col min="10770" max="10770" width="33.5703125" style="842" customWidth="1"/>
    <col min="10771" max="10771" width="25" style="842" customWidth="1"/>
    <col min="10772" max="10772" width="11.7109375" style="842" customWidth="1"/>
    <col min="10773" max="10773" width="17.28515625" style="842" customWidth="1"/>
    <col min="10774" max="10789" width="7.28515625" style="842" customWidth="1"/>
    <col min="10790" max="10791" width="13.7109375" style="842" customWidth="1"/>
    <col min="10792" max="10792" width="20.85546875" style="842" customWidth="1"/>
    <col min="10793" max="11008" width="11.42578125" style="842"/>
    <col min="11009" max="11009" width="13.140625" style="842" customWidth="1"/>
    <col min="11010" max="11010" width="35.28515625" style="842" customWidth="1"/>
    <col min="11011" max="11011" width="12.85546875" style="842" customWidth="1"/>
    <col min="11012" max="11012" width="19.5703125" style="842" customWidth="1"/>
    <col min="11013" max="11013" width="12.28515625" style="842" customWidth="1"/>
    <col min="11014" max="11014" width="21.28515625" style="842" customWidth="1"/>
    <col min="11015" max="11015" width="11.5703125" style="842" customWidth="1"/>
    <col min="11016" max="11016" width="33.140625" style="842" customWidth="1"/>
    <col min="11017" max="11017" width="22.7109375" style="842" customWidth="1"/>
    <col min="11018" max="11018" width="10.7109375" style="842" customWidth="1"/>
    <col min="11019" max="11019" width="27.7109375" style="842" customWidth="1"/>
    <col min="11020" max="11020" width="21.42578125" style="842" customWidth="1"/>
    <col min="11021" max="11021" width="22.140625" style="842" customWidth="1"/>
    <col min="11022" max="11022" width="12.7109375" style="842" customWidth="1"/>
    <col min="11023" max="11023" width="16.42578125" style="842" customWidth="1"/>
    <col min="11024" max="11024" width="29.7109375" style="842" customWidth="1"/>
    <col min="11025" max="11025" width="29.140625" style="842" customWidth="1"/>
    <col min="11026" max="11026" width="33.5703125" style="842" customWidth="1"/>
    <col min="11027" max="11027" width="25" style="842" customWidth="1"/>
    <col min="11028" max="11028" width="11.7109375" style="842" customWidth="1"/>
    <col min="11029" max="11029" width="17.28515625" style="842" customWidth="1"/>
    <col min="11030" max="11045" width="7.28515625" style="842" customWidth="1"/>
    <col min="11046" max="11047" width="13.7109375" style="842" customWidth="1"/>
    <col min="11048" max="11048" width="20.85546875" style="842" customWidth="1"/>
    <col min="11049" max="11264" width="11.42578125" style="842"/>
    <col min="11265" max="11265" width="13.140625" style="842" customWidth="1"/>
    <col min="11266" max="11266" width="35.28515625" style="842" customWidth="1"/>
    <col min="11267" max="11267" width="12.85546875" style="842" customWidth="1"/>
    <col min="11268" max="11268" width="19.5703125" style="842" customWidth="1"/>
    <col min="11269" max="11269" width="12.28515625" style="842" customWidth="1"/>
    <col min="11270" max="11270" width="21.28515625" style="842" customWidth="1"/>
    <col min="11271" max="11271" width="11.5703125" style="842" customWidth="1"/>
    <col min="11272" max="11272" width="33.140625" style="842" customWidth="1"/>
    <col min="11273" max="11273" width="22.7109375" style="842" customWidth="1"/>
    <col min="11274" max="11274" width="10.7109375" style="842" customWidth="1"/>
    <col min="11275" max="11275" width="27.7109375" style="842" customWidth="1"/>
    <col min="11276" max="11276" width="21.42578125" style="842" customWidth="1"/>
    <col min="11277" max="11277" width="22.140625" style="842" customWidth="1"/>
    <col min="11278" max="11278" width="12.7109375" style="842" customWidth="1"/>
    <col min="11279" max="11279" width="16.42578125" style="842" customWidth="1"/>
    <col min="11280" max="11280" width="29.7109375" style="842" customWidth="1"/>
    <col min="11281" max="11281" width="29.140625" style="842" customWidth="1"/>
    <col min="11282" max="11282" width="33.5703125" style="842" customWidth="1"/>
    <col min="11283" max="11283" width="25" style="842" customWidth="1"/>
    <col min="11284" max="11284" width="11.7109375" style="842" customWidth="1"/>
    <col min="11285" max="11285" width="17.28515625" style="842" customWidth="1"/>
    <col min="11286" max="11301" width="7.28515625" style="842" customWidth="1"/>
    <col min="11302" max="11303" width="13.7109375" style="842" customWidth="1"/>
    <col min="11304" max="11304" width="20.85546875" style="842" customWidth="1"/>
    <col min="11305" max="11520" width="11.42578125" style="842"/>
    <col min="11521" max="11521" width="13.140625" style="842" customWidth="1"/>
    <col min="11522" max="11522" width="35.28515625" style="842" customWidth="1"/>
    <col min="11523" max="11523" width="12.85546875" style="842" customWidth="1"/>
    <col min="11524" max="11524" width="19.5703125" style="842" customWidth="1"/>
    <col min="11525" max="11525" width="12.28515625" style="842" customWidth="1"/>
    <col min="11526" max="11526" width="21.28515625" style="842" customWidth="1"/>
    <col min="11527" max="11527" width="11.5703125" style="842" customWidth="1"/>
    <col min="11528" max="11528" width="33.140625" style="842" customWidth="1"/>
    <col min="11529" max="11529" width="22.7109375" style="842" customWidth="1"/>
    <col min="11530" max="11530" width="10.7109375" style="842" customWidth="1"/>
    <col min="11531" max="11531" width="27.7109375" style="842" customWidth="1"/>
    <col min="11532" max="11532" width="21.42578125" style="842" customWidth="1"/>
    <col min="11533" max="11533" width="22.140625" style="842" customWidth="1"/>
    <col min="11534" max="11534" width="12.7109375" style="842" customWidth="1"/>
    <col min="11535" max="11535" width="16.42578125" style="842" customWidth="1"/>
    <col min="11536" max="11536" width="29.7109375" style="842" customWidth="1"/>
    <col min="11537" max="11537" width="29.140625" style="842" customWidth="1"/>
    <col min="11538" max="11538" width="33.5703125" style="842" customWidth="1"/>
    <col min="11539" max="11539" width="25" style="842" customWidth="1"/>
    <col min="11540" max="11540" width="11.7109375" style="842" customWidth="1"/>
    <col min="11541" max="11541" width="17.28515625" style="842" customWidth="1"/>
    <col min="11542" max="11557" width="7.28515625" style="842" customWidth="1"/>
    <col min="11558" max="11559" width="13.7109375" style="842" customWidth="1"/>
    <col min="11560" max="11560" width="20.85546875" style="842" customWidth="1"/>
    <col min="11561" max="11776" width="11.42578125" style="842"/>
    <col min="11777" max="11777" width="13.140625" style="842" customWidth="1"/>
    <col min="11778" max="11778" width="35.28515625" style="842" customWidth="1"/>
    <col min="11779" max="11779" width="12.85546875" style="842" customWidth="1"/>
    <col min="11780" max="11780" width="19.5703125" style="842" customWidth="1"/>
    <col min="11781" max="11781" width="12.28515625" style="842" customWidth="1"/>
    <col min="11782" max="11782" width="21.28515625" style="842" customWidth="1"/>
    <col min="11783" max="11783" width="11.5703125" style="842" customWidth="1"/>
    <col min="11784" max="11784" width="33.140625" style="842" customWidth="1"/>
    <col min="11785" max="11785" width="22.7109375" style="842" customWidth="1"/>
    <col min="11786" max="11786" width="10.7109375" style="842" customWidth="1"/>
    <col min="11787" max="11787" width="27.7109375" style="842" customWidth="1"/>
    <col min="11788" max="11788" width="21.42578125" style="842" customWidth="1"/>
    <col min="11789" max="11789" width="22.140625" style="842" customWidth="1"/>
    <col min="11790" max="11790" width="12.7109375" style="842" customWidth="1"/>
    <col min="11791" max="11791" width="16.42578125" style="842" customWidth="1"/>
    <col min="11792" max="11792" width="29.7109375" style="842" customWidth="1"/>
    <col min="11793" max="11793" width="29.140625" style="842" customWidth="1"/>
    <col min="11794" max="11794" width="33.5703125" style="842" customWidth="1"/>
    <col min="11795" max="11795" width="25" style="842" customWidth="1"/>
    <col min="11796" max="11796" width="11.7109375" style="842" customWidth="1"/>
    <col min="11797" max="11797" width="17.28515625" style="842" customWidth="1"/>
    <col min="11798" max="11813" width="7.28515625" style="842" customWidth="1"/>
    <col min="11814" max="11815" width="13.7109375" style="842" customWidth="1"/>
    <col min="11816" max="11816" width="20.85546875" style="842" customWidth="1"/>
    <col min="11817" max="12032" width="11.42578125" style="842"/>
    <col min="12033" max="12033" width="13.140625" style="842" customWidth="1"/>
    <col min="12034" max="12034" width="35.28515625" style="842" customWidth="1"/>
    <col min="12035" max="12035" width="12.85546875" style="842" customWidth="1"/>
    <col min="12036" max="12036" width="19.5703125" style="842" customWidth="1"/>
    <col min="12037" max="12037" width="12.28515625" style="842" customWidth="1"/>
    <col min="12038" max="12038" width="21.28515625" style="842" customWidth="1"/>
    <col min="12039" max="12039" width="11.5703125" style="842" customWidth="1"/>
    <col min="12040" max="12040" width="33.140625" style="842" customWidth="1"/>
    <col min="12041" max="12041" width="22.7109375" style="842" customWidth="1"/>
    <col min="12042" max="12042" width="10.7109375" style="842" customWidth="1"/>
    <col min="12043" max="12043" width="27.7109375" style="842" customWidth="1"/>
    <col min="12044" max="12044" width="21.42578125" style="842" customWidth="1"/>
    <col min="12045" max="12045" width="22.140625" style="842" customWidth="1"/>
    <col min="12046" max="12046" width="12.7109375" style="842" customWidth="1"/>
    <col min="12047" max="12047" width="16.42578125" style="842" customWidth="1"/>
    <col min="12048" max="12048" width="29.7109375" style="842" customWidth="1"/>
    <col min="12049" max="12049" width="29.140625" style="842" customWidth="1"/>
    <col min="12050" max="12050" width="33.5703125" style="842" customWidth="1"/>
    <col min="12051" max="12051" width="25" style="842" customWidth="1"/>
    <col min="12052" max="12052" width="11.7109375" style="842" customWidth="1"/>
    <col min="12053" max="12053" width="17.28515625" style="842" customWidth="1"/>
    <col min="12054" max="12069" width="7.28515625" style="842" customWidth="1"/>
    <col min="12070" max="12071" width="13.7109375" style="842" customWidth="1"/>
    <col min="12072" max="12072" width="20.85546875" style="842" customWidth="1"/>
    <col min="12073" max="12288" width="11.42578125" style="842"/>
    <col min="12289" max="12289" width="13.140625" style="842" customWidth="1"/>
    <col min="12290" max="12290" width="35.28515625" style="842" customWidth="1"/>
    <col min="12291" max="12291" width="12.85546875" style="842" customWidth="1"/>
    <col min="12292" max="12292" width="19.5703125" style="842" customWidth="1"/>
    <col min="12293" max="12293" width="12.28515625" style="842" customWidth="1"/>
    <col min="12294" max="12294" width="21.28515625" style="842" customWidth="1"/>
    <col min="12295" max="12295" width="11.5703125" style="842" customWidth="1"/>
    <col min="12296" max="12296" width="33.140625" style="842" customWidth="1"/>
    <col min="12297" max="12297" width="22.7109375" style="842" customWidth="1"/>
    <col min="12298" max="12298" width="10.7109375" style="842" customWidth="1"/>
    <col min="12299" max="12299" width="27.7109375" style="842" customWidth="1"/>
    <col min="12300" max="12300" width="21.42578125" style="842" customWidth="1"/>
    <col min="12301" max="12301" width="22.140625" style="842" customWidth="1"/>
    <col min="12302" max="12302" width="12.7109375" style="842" customWidth="1"/>
    <col min="12303" max="12303" width="16.42578125" style="842" customWidth="1"/>
    <col min="12304" max="12304" width="29.7109375" style="842" customWidth="1"/>
    <col min="12305" max="12305" width="29.140625" style="842" customWidth="1"/>
    <col min="12306" max="12306" width="33.5703125" style="842" customWidth="1"/>
    <col min="12307" max="12307" width="25" style="842" customWidth="1"/>
    <col min="12308" max="12308" width="11.7109375" style="842" customWidth="1"/>
    <col min="12309" max="12309" width="17.28515625" style="842" customWidth="1"/>
    <col min="12310" max="12325" width="7.28515625" style="842" customWidth="1"/>
    <col min="12326" max="12327" width="13.7109375" style="842" customWidth="1"/>
    <col min="12328" max="12328" width="20.85546875" style="842" customWidth="1"/>
    <col min="12329" max="12544" width="11.42578125" style="842"/>
    <col min="12545" max="12545" width="13.140625" style="842" customWidth="1"/>
    <col min="12546" max="12546" width="35.28515625" style="842" customWidth="1"/>
    <col min="12547" max="12547" width="12.85546875" style="842" customWidth="1"/>
    <col min="12548" max="12548" width="19.5703125" style="842" customWidth="1"/>
    <col min="12549" max="12549" width="12.28515625" style="842" customWidth="1"/>
    <col min="12550" max="12550" width="21.28515625" style="842" customWidth="1"/>
    <col min="12551" max="12551" width="11.5703125" style="842" customWidth="1"/>
    <col min="12552" max="12552" width="33.140625" style="842" customWidth="1"/>
    <col min="12553" max="12553" width="22.7109375" style="842" customWidth="1"/>
    <col min="12554" max="12554" width="10.7109375" style="842" customWidth="1"/>
    <col min="12555" max="12555" width="27.7109375" style="842" customWidth="1"/>
    <col min="12556" max="12556" width="21.42578125" style="842" customWidth="1"/>
    <col min="12557" max="12557" width="22.140625" style="842" customWidth="1"/>
    <col min="12558" max="12558" width="12.7109375" style="842" customWidth="1"/>
    <col min="12559" max="12559" width="16.42578125" style="842" customWidth="1"/>
    <col min="12560" max="12560" width="29.7109375" style="842" customWidth="1"/>
    <col min="12561" max="12561" width="29.140625" style="842" customWidth="1"/>
    <col min="12562" max="12562" width="33.5703125" style="842" customWidth="1"/>
    <col min="12563" max="12563" width="25" style="842" customWidth="1"/>
    <col min="12564" max="12564" width="11.7109375" style="842" customWidth="1"/>
    <col min="12565" max="12565" width="17.28515625" style="842" customWidth="1"/>
    <col min="12566" max="12581" width="7.28515625" style="842" customWidth="1"/>
    <col min="12582" max="12583" width="13.7109375" style="842" customWidth="1"/>
    <col min="12584" max="12584" width="20.85546875" style="842" customWidth="1"/>
    <col min="12585" max="12800" width="11.42578125" style="842"/>
    <col min="12801" max="12801" width="13.140625" style="842" customWidth="1"/>
    <col min="12802" max="12802" width="35.28515625" style="842" customWidth="1"/>
    <col min="12803" max="12803" width="12.85546875" style="842" customWidth="1"/>
    <col min="12804" max="12804" width="19.5703125" style="842" customWidth="1"/>
    <col min="12805" max="12805" width="12.28515625" style="842" customWidth="1"/>
    <col min="12806" max="12806" width="21.28515625" style="842" customWidth="1"/>
    <col min="12807" max="12807" width="11.5703125" style="842" customWidth="1"/>
    <col min="12808" max="12808" width="33.140625" style="842" customWidth="1"/>
    <col min="12809" max="12809" width="22.7109375" style="842" customWidth="1"/>
    <col min="12810" max="12810" width="10.7109375" style="842" customWidth="1"/>
    <col min="12811" max="12811" width="27.7109375" style="842" customWidth="1"/>
    <col min="12812" max="12812" width="21.42578125" style="842" customWidth="1"/>
    <col min="12813" max="12813" width="22.140625" style="842" customWidth="1"/>
    <col min="12814" max="12814" width="12.7109375" style="842" customWidth="1"/>
    <col min="12815" max="12815" width="16.42578125" style="842" customWidth="1"/>
    <col min="12816" max="12816" width="29.7109375" style="842" customWidth="1"/>
    <col min="12817" max="12817" width="29.140625" style="842" customWidth="1"/>
    <col min="12818" max="12818" width="33.5703125" style="842" customWidth="1"/>
    <col min="12819" max="12819" width="25" style="842" customWidth="1"/>
    <col min="12820" max="12820" width="11.7109375" style="842" customWidth="1"/>
    <col min="12821" max="12821" width="17.28515625" style="842" customWidth="1"/>
    <col min="12822" max="12837" width="7.28515625" style="842" customWidth="1"/>
    <col min="12838" max="12839" width="13.7109375" style="842" customWidth="1"/>
    <col min="12840" max="12840" width="20.85546875" style="842" customWidth="1"/>
    <col min="12841" max="13056" width="11.42578125" style="842"/>
    <col min="13057" max="13057" width="13.140625" style="842" customWidth="1"/>
    <col min="13058" max="13058" width="35.28515625" style="842" customWidth="1"/>
    <col min="13059" max="13059" width="12.85546875" style="842" customWidth="1"/>
    <col min="13060" max="13060" width="19.5703125" style="842" customWidth="1"/>
    <col min="13061" max="13061" width="12.28515625" style="842" customWidth="1"/>
    <col min="13062" max="13062" width="21.28515625" style="842" customWidth="1"/>
    <col min="13063" max="13063" width="11.5703125" style="842" customWidth="1"/>
    <col min="13064" max="13064" width="33.140625" style="842" customWidth="1"/>
    <col min="13065" max="13065" width="22.7109375" style="842" customWidth="1"/>
    <col min="13066" max="13066" width="10.7109375" style="842" customWidth="1"/>
    <col min="13067" max="13067" width="27.7109375" style="842" customWidth="1"/>
    <col min="13068" max="13068" width="21.42578125" style="842" customWidth="1"/>
    <col min="13069" max="13069" width="22.140625" style="842" customWidth="1"/>
    <col min="13070" max="13070" width="12.7109375" style="842" customWidth="1"/>
    <col min="13071" max="13071" width="16.42578125" style="842" customWidth="1"/>
    <col min="13072" max="13072" width="29.7109375" style="842" customWidth="1"/>
    <col min="13073" max="13073" width="29.140625" style="842" customWidth="1"/>
    <col min="13074" max="13074" width="33.5703125" style="842" customWidth="1"/>
    <col min="13075" max="13075" width="25" style="842" customWidth="1"/>
    <col min="13076" max="13076" width="11.7109375" style="842" customWidth="1"/>
    <col min="13077" max="13077" width="17.28515625" style="842" customWidth="1"/>
    <col min="13078" max="13093" width="7.28515625" style="842" customWidth="1"/>
    <col min="13094" max="13095" width="13.7109375" style="842" customWidth="1"/>
    <col min="13096" max="13096" width="20.85546875" style="842" customWidth="1"/>
    <col min="13097" max="13312" width="11.42578125" style="842"/>
    <col min="13313" max="13313" width="13.140625" style="842" customWidth="1"/>
    <col min="13314" max="13314" width="35.28515625" style="842" customWidth="1"/>
    <col min="13315" max="13315" width="12.85546875" style="842" customWidth="1"/>
    <col min="13316" max="13316" width="19.5703125" style="842" customWidth="1"/>
    <col min="13317" max="13317" width="12.28515625" style="842" customWidth="1"/>
    <col min="13318" max="13318" width="21.28515625" style="842" customWidth="1"/>
    <col min="13319" max="13319" width="11.5703125" style="842" customWidth="1"/>
    <col min="13320" max="13320" width="33.140625" style="842" customWidth="1"/>
    <col min="13321" max="13321" width="22.7109375" style="842" customWidth="1"/>
    <col min="13322" max="13322" width="10.7109375" style="842" customWidth="1"/>
    <col min="13323" max="13323" width="27.7109375" style="842" customWidth="1"/>
    <col min="13324" max="13324" width="21.42578125" style="842" customWidth="1"/>
    <col min="13325" max="13325" width="22.140625" style="842" customWidth="1"/>
    <col min="13326" max="13326" width="12.7109375" style="842" customWidth="1"/>
    <col min="13327" max="13327" width="16.42578125" style="842" customWidth="1"/>
    <col min="13328" max="13328" width="29.7109375" style="842" customWidth="1"/>
    <col min="13329" max="13329" width="29.140625" style="842" customWidth="1"/>
    <col min="13330" max="13330" width="33.5703125" style="842" customWidth="1"/>
    <col min="13331" max="13331" width="25" style="842" customWidth="1"/>
    <col min="13332" max="13332" width="11.7109375" style="842" customWidth="1"/>
    <col min="13333" max="13333" width="17.28515625" style="842" customWidth="1"/>
    <col min="13334" max="13349" width="7.28515625" style="842" customWidth="1"/>
    <col min="13350" max="13351" width="13.7109375" style="842" customWidth="1"/>
    <col min="13352" max="13352" width="20.85546875" style="842" customWidth="1"/>
    <col min="13353" max="13568" width="11.42578125" style="842"/>
    <col min="13569" max="13569" width="13.140625" style="842" customWidth="1"/>
    <col min="13570" max="13570" width="35.28515625" style="842" customWidth="1"/>
    <col min="13571" max="13571" width="12.85546875" style="842" customWidth="1"/>
    <col min="13572" max="13572" width="19.5703125" style="842" customWidth="1"/>
    <col min="13573" max="13573" width="12.28515625" style="842" customWidth="1"/>
    <col min="13574" max="13574" width="21.28515625" style="842" customWidth="1"/>
    <col min="13575" max="13575" width="11.5703125" style="842" customWidth="1"/>
    <col min="13576" max="13576" width="33.140625" style="842" customWidth="1"/>
    <col min="13577" max="13577" width="22.7109375" style="842" customWidth="1"/>
    <col min="13578" max="13578" width="10.7109375" style="842" customWidth="1"/>
    <col min="13579" max="13579" width="27.7109375" style="842" customWidth="1"/>
    <col min="13580" max="13580" width="21.42578125" style="842" customWidth="1"/>
    <col min="13581" max="13581" width="22.140625" style="842" customWidth="1"/>
    <col min="13582" max="13582" width="12.7109375" style="842" customWidth="1"/>
    <col min="13583" max="13583" width="16.42578125" style="842" customWidth="1"/>
    <col min="13584" max="13584" width="29.7109375" style="842" customWidth="1"/>
    <col min="13585" max="13585" width="29.140625" style="842" customWidth="1"/>
    <col min="13586" max="13586" width="33.5703125" style="842" customWidth="1"/>
    <col min="13587" max="13587" width="25" style="842" customWidth="1"/>
    <col min="13588" max="13588" width="11.7109375" style="842" customWidth="1"/>
    <col min="13589" max="13589" width="17.28515625" style="842" customWidth="1"/>
    <col min="13590" max="13605" width="7.28515625" style="842" customWidth="1"/>
    <col min="13606" max="13607" width="13.7109375" style="842" customWidth="1"/>
    <col min="13608" max="13608" width="20.85546875" style="842" customWidth="1"/>
    <col min="13609" max="13824" width="11.42578125" style="842"/>
    <col min="13825" max="13825" width="13.140625" style="842" customWidth="1"/>
    <col min="13826" max="13826" width="35.28515625" style="842" customWidth="1"/>
    <col min="13827" max="13827" width="12.85546875" style="842" customWidth="1"/>
    <col min="13828" max="13828" width="19.5703125" style="842" customWidth="1"/>
    <col min="13829" max="13829" width="12.28515625" style="842" customWidth="1"/>
    <col min="13830" max="13830" width="21.28515625" style="842" customWidth="1"/>
    <col min="13831" max="13831" width="11.5703125" style="842" customWidth="1"/>
    <col min="13832" max="13832" width="33.140625" style="842" customWidth="1"/>
    <col min="13833" max="13833" width="22.7109375" style="842" customWidth="1"/>
    <col min="13834" max="13834" width="10.7109375" style="842" customWidth="1"/>
    <col min="13835" max="13835" width="27.7109375" style="842" customWidth="1"/>
    <col min="13836" max="13836" width="21.42578125" style="842" customWidth="1"/>
    <col min="13837" max="13837" width="22.140625" style="842" customWidth="1"/>
    <col min="13838" max="13838" width="12.7109375" style="842" customWidth="1"/>
    <col min="13839" max="13839" width="16.42578125" style="842" customWidth="1"/>
    <col min="13840" max="13840" width="29.7109375" style="842" customWidth="1"/>
    <col min="13841" max="13841" width="29.140625" style="842" customWidth="1"/>
    <col min="13842" max="13842" width="33.5703125" style="842" customWidth="1"/>
    <col min="13843" max="13843" width="25" style="842" customWidth="1"/>
    <col min="13844" max="13844" width="11.7109375" style="842" customWidth="1"/>
    <col min="13845" max="13845" width="17.28515625" style="842" customWidth="1"/>
    <col min="13846" max="13861" width="7.28515625" style="842" customWidth="1"/>
    <col min="13862" max="13863" width="13.7109375" style="842" customWidth="1"/>
    <col min="13864" max="13864" width="20.85546875" style="842" customWidth="1"/>
    <col min="13865" max="14080" width="11.42578125" style="842"/>
    <col min="14081" max="14081" width="13.140625" style="842" customWidth="1"/>
    <col min="14082" max="14082" width="35.28515625" style="842" customWidth="1"/>
    <col min="14083" max="14083" width="12.85546875" style="842" customWidth="1"/>
    <col min="14084" max="14084" width="19.5703125" style="842" customWidth="1"/>
    <col min="14085" max="14085" width="12.28515625" style="842" customWidth="1"/>
    <col min="14086" max="14086" width="21.28515625" style="842" customWidth="1"/>
    <col min="14087" max="14087" width="11.5703125" style="842" customWidth="1"/>
    <col min="14088" max="14088" width="33.140625" style="842" customWidth="1"/>
    <col min="14089" max="14089" width="22.7109375" style="842" customWidth="1"/>
    <col min="14090" max="14090" width="10.7109375" style="842" customWidth="1"/>
    <col min="14091" max="14091" width="27.7109375" style="842" customWidth="1"/>
    <col min="14092" max="14092" width="21.42578125" style="842" customWidth="1"/>
    <col min="14093" max="14093" width="22.140625" style="842" customWidth="1"/>
    <col min="14094" max="14094" width="12.7109375" style="842" customWidth="1"/>
    <col min="14095" max="14095" width="16.42578125" style="842" customWidth="1"/>
    <col min="14096" max="14096" width="29.7109375" style="842" customWidth="1"/>
    <col min="14097" max="14097" width="29.140625" style="842" customWidth="1"/>
    <col min="14098" max="14098" width="33.5703125" style="842" customWidth="1"/>
    <col min="14099" max="14099" width="25" style="842" customWidth="1"/>
    <col min="14100" max="14100" width="11.7109375" style="842" customWidth="1"/>
    <col min="14101" max="14101" width="17.28515625" style="842" customWidth="1"/>
    <col min="14102" max="14117" width="7.28515625" style="842" customWidth="1"/>
    <col min="14118" max="14119" width="13.7109375" style="842" customWidth="1"/>
    <col min="14120" max="14120" width="20.85546875" style="842" customWidth="1"/>
    <col min="14121" max="14336" width="11.42578125" style="842"/>
    <col min="14337" max="14337" width="13.140625" style="842" customWidth="1"/>
    <col min="14338" max="14338" width="35.28515625" style="842" customWidth="1"/>
    <col min="14339" max="14339" width="12.85546875" style="842" customWidth="1"/>
    <col min="14340" max="14340" width="19.5703125" style="842" customWidth="1"/>
    <col min="14341" max="14341" width="12.28515625" style="842" customWidth="1"/>
    <col min="14342" max="14342" width="21.28515625" style="842" customWidth="1"/>
    <col min="14343" max="14343" width="11.5703125" style="842" customWidth="1"/>
    <col min="14344" max="14344" width="33.140625" style="842" customWidth="1"/>
    <col min="14345" max="14345" width="22.7109375" style="842" customWidth="1"/>
    <col min="14346" max="14346" width="10.7109375" style="842" customWidth="1"/>
    <col min="14347" max="14347" width="27.7109375" style="842" customWidth="1"/>
    <col min="14348" max="14348" width="21.42578125" style="842" customWidth="1"/>
    <col min="14349" max="14349" width="22.140625" style="842" customWidth="1"/>
    <col min="14350" max="14350" width="12.7109375" style="842" customWidth="1"/>
    <col min="14351" max="14351" width="16.42578125" style="842" customWidth="1"/>
    <col min="14352" max="14352" width="29.7109375" style="842" customWidth="1"/>
    <col min="14353" max="14353" width="29.140625" style="842" customWidth="1"/>
    <col min="14354" max="14354" width="33.5703125" style="842" customWidth="1"/>
    <col min="14355" max="14355" width="25" style="842" customWidth="1"/>
    <col min="14356" max="14356" width="11.7109375" style="842" customWidth="1"/>
    <col min="14357" max="14357" width="17.28515625" style="842" customWidth="1"/>
    <col min="14358" max="14373" width="7.28515625" style="842" customWidth="1"/>
    <col min="14374" max="14375" width="13.7109375" style="842" customWidth="1"/>
    <col min="14376" max="14376" width="20.85546875" style="842" customWidth="1"/>
    <col min="14377" max="14592" width="11.42578125" style="842"/>
    <col min="14593" max="14593" width="13.140625" style="842" customWidth="1"/>
    <col min="14594" max="14594" width="35.28515625" style="842" customWidth="1"/>
    <col min="14595" max="14595" width="12.85546875" style="842" customWidth="1"/>
    <col min="14596" max="14596" width="19.5703125" style="842" customWidth="1"/>
    <col min="14597" max="14597" width="12.28515625" style="842" customWidth="1"/>
    <col min="14598" max="14598" width="21.28515625" style="842" customWidth="1"/>
    <col min="14599" max="14599" width="11.5703125" style="842" customWidth="1"/>
    <col min="14600" max="14600" width="33.140625" style="842" customWidth="1"/>
    <col min="14601" max="14601" width="22.7109375" style="842" customWidth="1"/>
    <col min="14602" max="14602" width="10.7109375" style="842" customWidth="1"/>
    <col min="14603" max="14603" width="27.7109375" style="842" customWidth="1"/>
    <col min="14604" max="14604" width="21.42578125" style="842" customWidth="1"/>
    <col min="14605" max="14605" width="22.140625" style="842" customWidth="1"/>
    <col min="14606" max="14606" width="12.7109375" style="842" customWidth="1"/>
    <col min="14607" max="14607" width="16.42578125" style="842" customWidth="1"/>
    <col min="14608" max="14608" width="29.7109375" style="842" customWidth="1"/>
    <col min="14609" max="14609" width="29.140625" style="842" customWidth="1"/>
    <col min="14610" max="14610" width="33.5703125" style="842" customWidth="1"/>
    <col min="14611" max="14611" width="25" style="842" customWidth="1"/>
    <col min="14612" max="14612" width="11.7109375" style="842" customWidth="1"/>
    <col min="14613" max="14613" width="17.28515625" style="842" customWidth="1"/>
    <col min="14614" max="14629" width="7.28515625" style="842" customWidth="1"/>
    <col min="14630" max="14631" width="13.7109375" style="842" customWidth="1"/>
    <col min="14632" max="14632" width="20.85546875" style="842" customWidth="1"/>
    <col min="14633" max="14848" width="11.42578125" style="842"/>
    <col min="14849" max="14849" width="13.140625" style="842" customWidth="1"/>
    <col min="14850" max="14850" width="35.28515625" style="842" customWidth="1"/>
    <col min="14851" max="14851" width="12.85546875" style="842" customWidth="1"/>
    <col min="14852" max="14852" width="19.5703125" style="842" customWidth="1"/>
    <col min="14853" max="14853" width="12.28515625" style="842" customWidth="1"/>
    <col min="14854" max="14854" width="21.28515625" style="842" customWidth="1"/>
    <col min="14855" max="14855" width="11.5703125" style="842" customWidth="1"/>
    <col min="14856" max="14856" width="33.140625" style="842" customWidth="1"/>
    <col min="14857" max="14857" width="22.7109375" style="842" customWidth="1"/>
    <col min="14858" max="14858" width="10.7109375" style="842" customWidth="1"/>
    <col min="14859" max="14859" width="27.7109375" style="842" customWidth="1"/>
    <col min="14860" max="14860" width="21.42578125" style="842" customWidth="1"/>
    <col min="14861" max="14861" width="22.140625" style="842" customWidth="1"/>
    <col min="14862" max="14862" width="12.7109375" style="842" customWidth="1"/>
    <col min="14863" max="14863" width="16.42578125" style="842" customWidth="1"/>
    <col min="14864" max="14864" width="29.7109375" style="842" customWidth="1"/>
    <col min="14865" max="14865" width="29.140625" style="842" customWidth="1"/>
    <col min="14866" max="14866" width="33.5703125" style="842" customWidth="1"/>
    <col min="14867" max="14867" width="25" style="842" customWidth="1"/>
    <col min="14868" max="14868" width="11.7109375" style="842" customWidth="1"/>
    <col min="14869" max="14869" width="17.28515625" style="842" customWidth="1"/>
    <col min="14870" max="14885" width="7.28515625" style="842" customWidth="1"/>
    <col min="14886" max="14887" width="13.7109375" style="842" customWidth="1"/>
    <col min="14888" max="14888" width="20.85546875" style="842" customWidth="1"/>
    <col min="14889" max="15104" width="11.42578125" style="842"/>
    <col min="15105" max="15105" width="13.140625" style="842" customWidth="1"/>
    <col min="15106" max="15106" width="35.28515625" style="842" customWidth="1"/>
    <col min="15107" max="15107" width="12.85546875" style="842" customWidth="1"/>
    <col min="15108" max="15108" width="19.5703125" style="842" customWidth="1"/>
    <col min="15109" max="15109" width="12.28515625" style="842" customWidth="1"/>
    <col min="15110" max="15110" width="21.28515625" style="842" customWidth="1"/>
    <col min="15111" max="15111" width="11.5703125" style="842" customWidth="1"/>
    <col min="15112" max="15112" width="33.140625" style="842" customWidth="1"/>
    <col min="15113" max="15113" width="22.7109375" style="842" customWidth="1"/>
    <col min="15114" max="15114" width="10.7109375" style="842" customWidth="1"/>
    <col min="15115" max="15115" width="27.7109375" style="842" customWidth="1"/>
    <col min="15116" max="15116" width="21.42578125" style="842" customWidth="1"/>
    <col min="15117" max="15117" width="22.140625" style="842" customWidth="1"/>
    <col min="15118" max="15118" width="12.7109375" style="842" customWidth="1"/>
    <col min="15119" max="15119" width="16.42578125" style="842" customWidth="1"/>
    <col min="15120" max="15120" width="29.7109375" style="842" customWidth="1"/>
    <col min="15121" max="15121" width="29.140625" style="842" customWidth="1"/>
    <col min="15122" max="15122" width="33.5703125" style="842" customWidth="1"/>
    <col min="15123" max="15123" width="25" style="842" customWidth="1"/>
    <col min="15124" max="15124" width="11.7109375" style="842" customWidth="1"/>
    <col min="15125" max="15125" width="17.28515625" style="842" customWidth="1"/>
    <col min="15126" max="15141" width="7.28515625" style="842" customWidth="1"/>
    <col min="15142" max="15143" width="13.7109375" style="842" customWidth="1"/>
    <col min="15144" max="15144" width="20.85546875" style="842" customWidth="1"/>
    <col min="15145" max="15360" width="11.42578125" style="842"/>
    <col min="15361" max="15361" width="13.140625" style="842" customWidth="1"/>
    <col min="15362" max="15362" width="35.28515625" style="842" customWidth="1"/>
    <col min="15363" max="15363" width="12.85546875" style="842" customWidth="1"/>
    <col min="15364" max="15364" width="19.5703125" style="842" customWidth="1"/>
    <col min="15365" max="15365" width="12.28515625" style="842" customWidth="1"/>
    <col min="15366" max="15366" width="21.28515625" style="842" customWidth="1"/>
    <col min="15367" max="15367" width="11.5703125" style="842" customWidth="1"/>
    <col min="15368" max="15368" width="33.140625" style="842" customWidth="1"/>
    <col min="15369" max="15369" width="22.7109375" style="842" customWidth="1"/>
    <col min="15370" max="15370" width="10.7109375" style="842" customWidth="1"/>
    <col min="15371" max="15371" width="27.7109375" style="842" customWidth="1"/>
    <col min="15372" max="15372" width="21.42578125" style="842" customWidth="1"/>
    <col min="15373" max="15373" width="22.140625" style="842" customWidth="1"/>
    <col min="15374" max="15374" width="12.7109375" style="842" customWidth="1"/>
    <col min="15375" max="15375" width="16.42578125" style="842" customWidth="1"/>
    <col min="15376" max="15376" width="29.7109375" style="842" customWidth="1"/>
    <col min="15377" max="15377" width="29.140625" style="842" customWidth="1"/>
    <col min="15378" max="15378" width="33.5703125" style="842" customWidth="1"/>
    <col min="15379" max="15379" width="25" style="842" customWidth="1"/>
    <col min="15380" max="15380" width="11.7109375" style="842" customWidth="1"/>
    <col min="15381" max="15381" width="17.28515625" style="842" customWidth="1"/>
    <col min="15382" max="15397" width="7.28515625" style="842" customWidth="1"/>
    <col min="15398" max="15399" width="13.7109375" style="842" customWidth="1"/>
    <col min="15400" max="15400" width="20.85546875" style="842" customWidth="1"/>
    <col min="15401" max="15616" width="11.42578125" style="842"/>
    <col min="15617" max="15617" width="13.140625" style="842" customWidth="1"/>
    <col min="15618" max="15618" width="35.28515625" style="842" customWidth="1"/>
    <col min="15619" max="15619" width="12.85546875" style="842" customWidth="1"/>
    <col min="15620" max="15620" width="19.5703125" style="842" customWidth="1"/>
    <col min="15621" max="15621" width="12.28515625" style="842" customWidth="1"/>
    <col min="15622" max="15622" width="21.28515625" style="842" customWidth="1"/>
    <col min="15623" max="15623" width="11.5703125" style="842" customWidth="1"/>
    <col min="15624" max="15624" width="33.140625" style="842" customWidth="1"/>
    <col min="15625" max="15625" width="22.7109375" style="842" customWidth="1"/>
    <col min="15626" max="15626" width="10.7109375" style="842" customWidth="1"/>
    <col min="15627" max="15627" width="27.7109375" style="842" customWidth="1"/>
    <col min="15628" max="15628" width="21.42578125" style="842" customWidth="1"/>
    <col min="15629" max="15629" width="22.140625" style="842" customWidth="1"/>
    <col min="15630" max="15630" width="12.7109375" style="842" customWidth="1"/>
    <col min="15631" max="15631" width="16.42578125" style="842" customWidth="1"/>
    <col min="15632" max="15632" width="29.7109375" style="842" customWidth="1"/>
    <col min="15633" max="15633" width="29.140625" style="842" customWidth="1"/>
    <col min="15634" max="15634" width="33.5703125" style="842" customWidth="1"/>
    <col min="15635" max="15635" width="25" style="842" customWidth="1"/>
    <col min="15636" max="15636" width="11.7109375" style="842" customWidth="1"/>
    <col min="15637" max="15637" width="17.28515625" style="842" customWidth="1"/>
    <col min="15638" max="15653" width="7.28515625" style="842" customWidth="1"/>
    <col min="15654" max="15655" width="13.7109375" style="842" customWidth="1"/>
    <col min="15656" max="15656" width="20.85546875" style="842" customWidth="1"/>
    <col min="15657" max="15872" width="11.42578125" style="842"/>
    <col min="15873" max="15873" width="13.140625" style="842" customWidth="1"/>
    <col min="15874" max="15874" width="35.28515625" style="842" customWidth="1"/>
    <col min="15875" max="15875" width="12.85546875" style="842" customWidth="1"/>
    <col min="15876" max="15876" width="19.5703125" style="842" customWidth="1"/>
    <col min="15877" max="15877" width="12.28515625" style="842" customWidth="1"/>
    <col min="15878" max="15878" width="21.28515625" style="842" customWidth="1"/>
    <col min="15879" max="15879" width="11.5703125" style="842" customWidth="1"/>
    <col min="15880" max="15880" width="33.140625" style="842" customWidth="1"/>
    <col min="15881" max="15881" width="22.7109375" style="842" customWidth="1"/>
    <col min="15882" max="15882" width="10.7109375" style="842" customWidth="1"/>
    <col min="15883" max="15883" width="27.7109375" style="842" customWidth="1"/>
    <col min="15884" max="15884" width="21.42578125" style="842" customWidth="1"/>
    <col min="15885" max="15885" width="22.140625" style="842" customWidth="1"/>
    <col min="15886" max="15886" width="12.7109375" style="842" customWidth="1"/>
    <col min="15887" max="15887" width="16.42578125" style="842" customWidth="1"/>
    <col min="15888" max="15888" width="29.7109375" style="842" customWidth="1"/>
    <col min="15889" max="15889" width="29.140625" style="842" customWidth="1"/>
    <col min="15890" max="15890" width="33.5703125" style="842" customWidth="1"/>
    <col min="15891" max="15891" width="25" style="842" customWidth="1"/>
    <col min="15892" max="15892" width="11.7109375" style="842" customWidth="1"/>
    <col min="15893" max="15893" width="17.28515625" style="842" customWidth="1"/>
    <col min="15894" max="15909" width="7.28515625" style="842" customWidth="1"/>
    <col min="15910" max="15911" width="13.7109375" style="842" customWidth="1"/>
    <col min="15912" max="15912" width="20.85546875" style="842" customWidth="1"/>
    <col min="15913" max="16128" width="11.42578125" style="842"/>
    <col min="16129" max="16129" width="13.140625" style="842" customWidth="1"/>
    <col min="16130" max="16130" width="35.28515625" style="842" customWidth="1"/>
    <col min="16131" max="16131" width="12.85546875" style="842" customWidth="1"/>
    <col min="16132" max="16132" width="19.5703125" style="842" customWidth="1"/>
    <col min="16133" max="16133" width="12.28515625" style="842" customWidth="1"/>
    <col min="16134" max="16134" width="21.28515625" style="842" customWidth="1"/>
    <col min="16135" max="16135" width="11.5703125" style="842" customWidth="1"/>
    <col min="16136" max="16136" width="33.140625" style="842" customWidth="1"/>
    <col min="16137" max="16137" width="22.7109375" style="842" customWidth="1"/>
    <col min="16138" max="16138" width="10.7109375" style="842" customWidth="1"/>
    <col min="16139" max="16139" width="27.7109375" style="842" customWidth="1"/>
    <col min="16140" max="16140" width="21.42578125" style="842" customWidth="1"/>
    <col min="16141" max="16141" width="22.140625" style="842" customWidth="1"/>
    <col min="16142" max="16142" width="12.7109375" style="842" customWidth="1"/>
    <col min="16143" max="16143" width="16.42578125" style="842" customWidth="1"/>
    <col min="16144" max="16144" width="29.7109375" style="842" customWidth="1"/>
    <col min="16145" max="16145" width="29.140625" style="842" customWidth="1"/>
    <col min="16146" max="16146" width="33.5703125" style="842" customWidth="1"/>
    <col min="16147" max="16147" width="25" style="842" customWidth="1"/>
    <col min="16148" max="16148" width="11.7109375" style="842" customWidth="1"/>
    <col min="16149" max="16149" width="17.28515625" style="842" customWidth="1"/>
    <col min="16150" max="16165" width="7.28515625" style="842" customWidth="1"/>
    <col min="16166" max="16167" width="13.7109375" style="842" customWidth="1"/>
    <col min="16168" max="16168" width="20.85546875" style="842" customWidth="1"/>
    <col min="16169" max="16384" width="11.42578125" style="842"/>
  </cols>
  <sheetData>
    <row r="1" spans="1:60" ht="22.5" customHeight="1" x14ac:dyDescent="0.25">
      <c r="A1" s="2678" t="s">
        <v>1754</v>
      </c>
      <c r="B1" s="3412"/>
      <c r="C1" s="3412"/>
      <c r="D1" s="3412"/>
      <c r="E1" s="3412"/>
      <c r="F1" s="3412"/>
      <c r="G1" s="3412"/>
      <c r="H1" s="3412"/>
      <c r="I1" s="3412"/>
      <c r="J1" s="3412"/>
      <c r="K1" s="3412"/>
      <c r="L1" s="3412"/>
      <c r="M1" s="3412"/>
      <c r="N1" s="3412"/>
      <c r="O1" s="3412"/>
      <c r="P1" s="3412"/>
      <c r="Q1" s="3412"/>
      <c r="R1" s="3412"/>
      <c r="S1" s="3412"/>
      <c r="T1" s="3412"/>
      <c r="U1" s="3412"/>
      <c r="V1" s="3412"/>
      <c r="W1" s="3412"/>
      <c r="X1" s="3412"/>
      <c r="Y1" s="3412"/>
      <c r="Z1" s="3412"/>
      <c r="AA1" s="3412"/>
      <c r="AB1" s="3412"/>
      <c r="AC1" s="3412"/>
      <c r="AD1" s="3412"/>
      <c r="AE1" s="3412"/>
      <c r="AF1" s="3412"/>
      <c r="AG1" s="3412"/>
      <c r="AH1" s="3412"/>
      <c r="AI1" s="3412"/>
      <c r="AJ1" s="3412"/>
      <c r="AK1" s="3412"/>
      <c r="AL1" s="3413"/>
      <c r="AM1" s="710" t="s">
        <v>0</v>
      </c>
      <c r="AN1" s="710" t="s">
        <v>346</v>
      </c>
      <c r="AQ1" s="841"/>
      <c r="AR1" s="841"/>
      <c r="AS1" s="841"/>
      <c r="AT1" s="841"/>
      <c r="AU1" s="841"/>
      <c r="AV1" s="841"/>
      <c r="AW1" s="841"/>
      <c r="AX1" s="841"/>
      <c r="AY1" s="841"/>
      <c r="AZ1" s="841"/>
      <c r="BA1" s="841"/>
      <c r="BB1" s="841"/>
      <c r="BC1" s="841"/>
      <c r="BD1" s="841"/>
      <c r="BE1" s="841"/>
      <c r="BF1" s="841"/>
      <c r="BG1" s="841"/>
      <c r="BH1" s="841"/>
    </row>
    <row r="2" spans="1:60" ht="22.5" customHeight="1" x14ac:dyDescent="0.25">
      <c r="A2" s="3412"/>
      <c r="B2" s="3412"/>
      <c r="C2" s="3412"/>
      <c r="D2" s="3412"/>
      <c r="E2" s="3412"/>
      <c r="F2" s="3412"/>
      <c r="G2" s="3412"/>
      <c r="H2" s="3412"/>
      <c r="I2" s="3412"/>
      <c r="J2" s="3412"/>
      <c r="K2" s="3412"/>
      <c r="L2" s="3412"/>
      <c r="M2" s="3412"/>
      <c r="N2" s="3412"/>
      <c r="O2" s="3412"/>
      <c r="P2" s="3412"/>
      <c r="Q2" s="3412"/>
      <c r="R2" s="3412"/>
      <c r="S2" s="3412"/>
      <c r="T2" s="3412"/>
      <c r="U2" s="3412"/>
      <c r="V2" s="3412"/>
      <c r="W2" s="3412"/>
      <c r="X2" s="3412"/>
      <c r="Y2" s="3412"/>
      <c r="Z2" s="3412"/>
      <c r="AA2" s="3412"/>
      <c r="AB2" s="3412"/>
      <c r="AC2" s="3412"/>
      <c r="AD2" s="3412"/>
      <c r="AE2" s="3412"/>
      <c r="AF2" s="3412"/>
      <c r="AG2" s="3412"/>
      <c r="AH2" s="3412"/>
      <c r="AI2" s="3412"/>
      <c r="AJ2" s="3412"/>
      <c r="AK2" s="3412"/>
      <c r="AL2" s="3413"/>
      <c r="AM2" s="726" t="s">
        <v>2</v>
      </c>
      <c r="AN2" s="710" t="s">
        <v>114</v>
      </c>
      <c r="AQ2" s="841"/>
      <c r="AR2" s="841"/>
      <c r="AS2" s="841"/>
      <c r="AT2" s="841"/>
      <c r="AU2" s="841"/>
      <c r="AV2" s="841"/>
      <c r="AW2" s="841"/>
      <c r="AX2" s="841"/>
      <c r="AY2" s="841"/>
      <c r="AZ2" s="841"/>
      <c r="BA2" s="841"/>
      <c r="BB2" s="841"/>
      <c r="BC2" s="841"/>
      <c r="BD2" s="841"/>
      <c r="BE2" s="841"/>
      <c r="BF2" s="841"/>
      <c r="BG2" s="841"/>
      <c r="BH2" s="841"/>
    </row>
    <row r="3" spans="1:60" ht="22.5" customHeight="1" x14ac:dyDescent="0.25">
      <c r="A3" s="3412"/>
      <c r="B3" s="3412"/>
      <c r="C3" s="3412"/>
      <c r="D3" s="3412"/>
      <c r="E3" s="3412"/>
      <c r="F3" s="3412"/>
      <c r="G3" s="3412"/>
      <c r="H3" s="3412"/>
      <c r="I3" s="3412"/>
      <c r="J3" s="3412"/>
      <c r="K3" s="3412"/>
      <c r="L3" s="3412"/>
      <c r="M3" s="3412"/>
      <c r="N3" s="3412"/>
      <c r="O3" s="3412"/>
      <c r="P3" s="3412"/>
      <c r="Q3" s="3412"/>
      <c r="R3" s="3412"/>
      <c r="S3" s="3412"/>
      <c r="T3" s="3412"/>
      <c r="U3" s="3412"/>
      <c r="V3" s="3412"/>
      <c r="W3" s="3412"/>
      <c r="X3" s="3412"/>
      <c r="Y3" s="3412"/>
      <c r="Z3" s="3412"/>
      <c r="AA3" s="3412"/>
      <c r="AB3" s="3412"/>
      <c r="AC3" s="3412"/>
      <c r="AD3" s="3412"/>
      <c r="AE3" s="3412"/>
      <c r="AF3" s="3412"/>
      <c r="AG3" s="3412"/>
      <c r="AH3" s="3412"/>
      <c r="AI3" s="3412"/>
      <c r="AJ3" s="3412"/>
      <c r="AK3" s="3412"/>
      <c r="AL3" s="3413"/>
      <c r="AM3" s="710" t="s">
        <v>4</v>
      </c>
      <c r="AN3" s="727" t="s">
        <v>5</v>
      </c>
      <c r="AQ3" s="841"/>
      <c r="AR3" s="841"/>
      <c r="AS3" s="841"/>
      <c r="AT3" s="841"/>
      <c r="AU3" s="841"/>
      <c r="AV3" s="841"/>
      <c r="AW3" s="841"/>
      <c r="AX3" s="841"/>
      <c r="AY3" s="841"/>
      <c r="AZ3" s="841"/>
      <c r="BA3" s="841"/>
      <c r="BB3" s="841"/>
      <c r="BC3" s="841"/>
      <c r="BD3" s="841"/>
      <c r="BE3" s="841"/>
      <c r="BF3" s="841"/>
      <c r="BG3" s="841"/>
      <c r="BH3" s="841"/>
    </row>
    <row r="4" spans="1:60" ht="22.5" customHeight="1" x14ac:dyDescent="0.25">
      <c r="A4" s="3414"/>
      <c r="B4" s="3414"/>
      <c r="C4" s="3414"/>
      <c r="D4" s="3414"/>
      <c r="E4" s="3414"/>
      <c r="F4" s="3414"/>
      <c r="G4" s="3414"/>
      <c r="H4" s="3414"/>
      <c r="I4" s="3414"/>
      <c r="J4" s="3414"/>
      <c r="K4" s="3414"/>
      <c r="L4" s="3414"/>
      <c r="M4" s="3414"/>
      <c r="N4" s="3414"/>
      <c r="O4" s="3414"/>
      <c r="P4" s="3414"/>
      <c r="Q4" s="3414"/>
      <c r="R4" s="3414"/>
      <c r="S4" s="3414"/>
      <c r="T4" s="3414"/>
      <c r="U4" s="3414"/>
      <c r="V4" s="3414"/>
      <c r="W4" s="3414"/>
      <c r="X4" s="3414"/>
      <c r="Y4" s="3414"/>
      <c r="Z4" s="3414"/>
      <c r="AA4" s="3414"/>
      <c r="AB4" s="3414"/>
      <c r="AC4" s="3414"/>
      <c r="AD4" s="3414"/>
      <c r="AE4" s="3414"/>
      <c r="AF4" s="3414"/>
      <c r="AG4" s="3414"/>
      <c r="AH4" s="3414"/>
      <c r="AI4" s="3414"/>
      <c r="AJ4" s="3414"/>
      <c r="AK4" s="3414"/>
      <c r="AL4" s="3415"/>
      <c r="AM4" s="710" t="s">
        <v>6</v>
      </c>
      <c r="AN4" s="758" t="s">
        <v>7</v>
      </c>
      <c r="AQ4" s="841"/>
      <c r="AR4" s="841"/>
      <c r="AS4" s="841"/>
      <c r="AT4" s="841"/>
      <c r="AU4" s="841"/>
      <c r="AV4" s="841"/>
      <c r="AW4" s="841"/>
      <c r="AX4" s="841"/>
      <c r="AY4" s="841"/>
      <c r="AZ4" s="841"/>
      <c r="BA4" s="841"/>
      <c r="BB4" s="841"/>
      <c r="BC4" s="841"/>
      <c r="BD4" s="841"/>
      <c r="BE4" s="841"/>
      <c r="BF4" s="841"/>
      <c r="BG4" s="841"/>
      <c r="BH4" s="841"/>
    </row>
    <row r="5" spans="1:60" ht="33.75" customHeight="1" x14ac:dyDescent="0.25">
      <c r="A5" s="2846" t="s">
        <v>8</v>
      </c>
      <c r="B5" s="2846"/>
      <c r="C5" s="2846"/>
      <c r="D5" s="2846"/>
      <c r="E5" s="2846"/>
      <c r="F5" s="2846"/>
      <c r="G5" s="2846"/>
      <c r="H5" s="2846"/>
      <c r="I5" s="2846"/>
      <c r="J5" s="2846"/>
      <c r="K5" s="2847" t="s">
        <v>9</v>
      </c>
      <c r="L5" s="2847"/>
      <c r="M5" s="2847"/>
      <c r="N5" s="2847"/>
      <c r="O5" s="2847"/>
      <c r="P5" s="2847"/>
      <c r="Q5" s="2847"/>
      <c r="R5" s="2847"/>
      <c r="S5" s="2847"/>
      <c r="T5" s="2847"/>
      <c r="U5" s="2847"/>
      <c r="V5" s="2847"/>
      <c r="W5" s="2847"/>
      <c r="X5" s="2847"/>
      <c r="Y5" s="2847"/>
      <c r="Z5" s="2847"/>
      <c r="AA5" s="2847"/>
      <c r="AB5" s="2847"/>
      <c r="AC5" s="2847"/>
      <c r="AD5" s="2847"/>
      <c r="AE5" s="2847"/>
      <c r="AF5" s="2847"/>
      <c r="AG5" s="2847"/>
      <c r="AH5" s="2847"/>
      <c r="AI5" s="2847"/>
      <c r="AJ5" s="2847"/>
      <c r="AK5" s="2847"/>
      <c r="AL5" s="2847"/>
      <c r="AM5" s="2847"/>
      <c r="AN5" s="2847"/>
      <c r="AQ5" s="841"/>
      <c r="AR5" s="841"/>
      <c r="AS5" s="841"/>
      <c r="AT5" s="841"/>
      <c r="AU5" s="841"/>
      <c r="AV5" s="841"/>
      <c r="AW5" s="841"/>
      <c r="AX5" s="841"/>
      <c r="AY5" s="841"/>
      <c r="AZ5" s="841"/>
      <c r="BA5" s="841"/>
      <c r="BB5" s="841"/>
      <c r="BC5" s="841"/>
      <c r="BD5" s="841"/>
      <c r="BE5" s="841"/>
      <c r="BF5" s="841"/>
      <c r="BG5" s="841"/>
      <c r="BH5" s="841"/>
    </row>
    <row r="6" spans="1:60" ht="33.75" customHeight="1" x14ac:dyDescent="0.25">
      <c r="A6" s="2828"/>
      <c r="B6" s="2828"/>
      <c r="C6" s="2828"/>
      <c r="D6" s="2828"/>
      <c r="E6" s="2828"/>
      <c r="F6" s="2828"/>
      <c r="G6" s="2828"/>
      <c r="H6" s="2828"/>
      <c r="I6" s="2828"/>
      <c r="J6" s="2828"/>
      <c r="K6" s="759"/>
      <c r="L6" s="760"/>
      <c r="M6" s="760"/>
      <c r="N6" s="843"/>
      <c r="O6" s="760"/>
      <c r="P6" s="760"/>
      <c r="Q6" s="760"/>
      <c r="R6" s="760"/>
      <c r="S6" s="760"/>
      <c r="T6" s="760"/>
      <c r="U6" s="760"/>
      <c r="V6" s="2827" t="s">
        <v>10</v>
      </c>
      <c r="W6" s="2828"/>
      <c r="X6" s="2828"/>
      <c r="Y6" s="2828"/>
      <c r="Z6" s="2828"/>
      <c r="AA6" s="2828"/>
      <c r="AB6" s="2828"/>
      <c r="AC6" s="2828"/>
      <c r="AD6" s="2828"/>
      <c r="AE6" s="2828"/>
      <c r="AF6" s="2828"/>
      <c r="AG6" s="2828"/>
      <c r="AH6" s="2828"/>
      <c r="AI6" s="2828"/>
      <c r="AJ6" s="2829"/>
      <c r="AK6" s="1500"/>
      <c r="AL6" s="760"/>
      <c r="AM6" s="760"/>
      <c r="AN6" s="762"/>
      <c r="AQ6" s="841"/>
      <c r="AR6" s="841"/>
      <c r="AS6" s="841"/>
      <c r="AT6" s="841"/>
      <c r="AU6" s="841"/>
      <c r="AV6" s="841"/>
      <c r="AW6" s="841"/>
      <c r="AX6" s="841"/>
      <c r="AY6" s="841"/>
      <c r="AZ6" s="841"/>
      <c r="BA6" s="841"/>
      <c r="BB6" s="841"/>
      <c r="BC6" s="841"/>
      <c r="BD6" s="841"/>
      <c r="BE6" s="841"/>
      <c r="BF6" s="841"/>
      <c r="BG6" s="841"/>
      <c r="BH6" s="841"/>
    </row>
    <row r="7" spans="1:60" ht="33.75" customHeight="1" x14ac:dyDescent="0.25">
      <c r="A7" s="2848" t="s">
        <v>11</v>
      </c>
      <c r="B7" s="2850" t="s">
        <v>12</v>
      </c>
      <c r="C7" s="3397" t="s">
        <v>11</v>
      </c>
      <c r="D7" s="2850" t="s">
        <v>13</v>
      </c>
      <c r="E7" s="3397" t="s">
        <v>11</v>
      </c>
      <c r="F7" s="3397" t="s">
        <v>14</v>
      </c>
      <c r="G7" s="2851" t="s">
        <v>11</v>
      </c>
      <c r="H7" s="2858" t="s">
        <v>15</v>
      </c>
      <c r="I7" s="2834" t="s">
        <v>16</v>
      </c>
      <c r="J7" s="1577" t="s">
        <v>17</v>
      </c>
      <c r="K7" s="2834" t="s">
        <v>18</v>
      </c>
      <c r="L7" s="2834" t="s">
        <v>19</v>
      </c>
      <c r="M7" s="2834" t="s">
        <v>9</v>
      </c>
      <c r="N7" s="3398" t="s">
        <v>20</v>
      </c>
      <c r="O7" s="2856" t="s">
        <v>21</v>
      </c>
      <c r="P7" s="2858" t="s">
        <v>22</v>
      </c>
      <c r="Q7" s="2850" t="s">
        <v>23</v>
      </c>
      <c r="R7" s="2834" t="s">
        <v>24</v>
      </c>
      <c r="S7" s="3400" t="s">
        <v>21</v>
      </c>
      <c r="T7" s="1657"/>
      <c r="U7" s="2834" t="s">
        <v>25</v>
      </c>
      <c r="V7" s="2838" t="s">
        <v>26</v>
      </c>
      <c r="W7" s="2838"/>
      <c r="X7" s="2839" t="s">
        <v>27</v>
      </c>
      <c r="Y7" s="2839"/>
      <c r="Z7" s="2839"/>
      <c r="AA7" s="2839"/>
      <c r="AB7" s="2860" t="s">
        <v>28</v>
      </c>
      <c r="AC7" s="2861"/>
      <c r="AD7" s="2861"/>
      <c r="AE7" s="2861"/>
      <c r="AF7" s="2861"/>
      <c r="AG7" s="2862"/>
      <c r="AH7" s="2839" t="s">
        <v>29</v>
      </c>
      <c r="AI7" s="2839"/>
      <c r="AJ7" s="2839"/>
      <c r="AK7" s="1502" t="s">
        <v>30</v>
      </c>
      <c r="AL7" s="2863" t="s">
        <v>31</v>
      </c>
      <c r="AM7" s="2863" t="s">
        <v>32</v>
      </c>
      <c r="AN7" s="2832" t="s">
        <v>33</v>
      </c>
      <c r="AQ7" s="841"/>
      <c r="AR7" s="841"/>
      <c r="AS7" s="841"/>
      <c r="AT7" s="841"/>
      <c r="AU7" s="841"/>
      <c r="AV7" s="841"/>
      <c r="AW7" s="841"/>
      <c r="AX7" s="841"/>
      <c r="AY7" s="841"/>
      <c r="AZ7" s="841"/>
      <c r="BA7" s="841"/>
      <c r="BB7" s="841"/>
      <c r="BC7" s="841"/>
      <c r="BD7" s="841"/>
      <c r="BE7" s="841"/>
      <c r="BF7" s="841"/>
      <c r="BG7" s="841"/>
      <c r="BH7" s="841"/>
    </row>
    <row r="8" spans="1:60" s="849" customFormat="1" ht="83.25" customHeight="1" x14ac:dyDescent="0.25">
      <c r="A8" s="2849"/>
      <c r="B8" s="3396"/>
      <c r="C8" s="3397"/>
      <c r="D8" s="3396"/>
      <c r="E8" s="3397"/>
      <c r="F8" s="3397"/>
      <c r="G8" s="2853"/>
      <c r="H8" s="2859"/>
      <c r="I8" s="2835"/>
      <c r="J8" s="844" t="s">
        <v>633</v>
      </c>
      <c r="K8" s="2835"/>
      <c r="L8" s="2835"/>
      <c r="M8" s="2835"/>
      <c r="N8" s="3399"/>
      <c r="O8" s="2857"/>
      <c r="P8" s="2859"/>
      <c r="Q8" s="2852"/>
      <c r="R8" s="2835"/>
      <c r="S8" s="3401"/>
      <c r="T8" s="845" t="s">
        <v>11</v>
      </c>
      <c r="U8" s="2835"/>
      <c r="V8" s="846" t="s">
        <v>34</v>
      </c>
      <c r="W8" s="847" t="s">
        <v>35</v>
      </c>
      <c r="X8" s="848" t="s">
        <v>36</v>
      </c>
      <c r="Y8" s="848" t="s">
        <v>115</v>
      </c>
      <c r="Z8" s="848" t="s">
        <v>384</v>
      </c>
      <c r="AA8" s="848" t="s">
        <v>117</v>
      </c>
      <c r="AB8" s="848" t="s">
        <v>40</v>
      </c>
      <c r="AC8" s="848" t="s">
        <v>41</v>
      </c>
      <c r="AD8" s="848" t="s">
        <v>42</v>
      </c>
      <c r="AE8" s="848" t="s">
        <v>43</v>
      </c>
      <c r="AF8" s="848" t="s">
        <v>44</v>
      </c>
      <c r="AG8" s="848" t="s">
        <v>45</v>
      </c>
      <c r="AH8" s="848" t="s">
        <v>46</v>
      </c>
      <c r="AI8" s="848" t="s">
        <v>47</v>
      </c>
      <c r="AJ8" s="848" t="s">
        <v>48</v>
      </c>
      <c r="AK8" s="848" t="s">
        <v>30</v>
      </c>
      <c r="AL8" s="2864"/>
      <c r="AM8" s="2864"/>
      <c r="AN8" s="2833"/>
      <c r="AO8" s="2423"/>
      <c r="AP8" s="2423"/>
      <c r="AQ8" s="1534"/>
      <c r="AR8" s="1534"/>
      <c r="AS8" s="1534"/>
      <c r="AT8" s="1534"/>
      <c r="AU8" s="1534"/>
      <c r="AV8" s="1534"/>
      <c r="AW8" s="1534"/>
      <c r="AX8" s="1534"/>
      <c r="AY8" s="1534"/>
      <c r="AZ8" s="1534"/>
      <c r="BA8" s="1534"/>
      <c r="BB8" s="1534"/>
      <c r="BC8" s="1534"/>
      <c r="BD8" s="1534"/>
      <c r="BE8" s="1534"/>
      <c r="BF8" s="1534"/>
      <c r="BG8" s="1534"/>
      <c r="BH8" s="1534"/>
    </row>
    <row r="9" spans="1:60" ht="15" x14ac:dyDescent="0.25">
      <c r="A9" s="767">
        <v>1</v>
      </c>
      <c r="B9" s="3419" t="s">
        <v>385</v>
      </c>
      <c r="C9" s="3420"/>
      <c r="D9" s="3419"/>
      <c r="E9" s="850"/>
      <c r="F9" s="850"/>
      <c r="G9" s="851"/>
      <c r="H9" s="850"/>
      <c r="I9" s="850"/>
      <c r="J9" s="850"/>
      <c r="K9" s="850"/>
      <c r="L9" s="850"/>
      <c r="M9" s="850"/>
      <c r="N9" s="852"/>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3"/>
      <c r="AQ9" s="841"/>
      <c r="AR9" s="841"/>
      <c r="AS9" s="841"/>
      <c r="AT9" s="841"/>
      <c r="AU9" s="841"/>
      <c r="AV9" s="841"/>
      <c r="AW9" s="841"/>
      <c r="AX9" s="841"/>
      <c r="AY9" s="841"/>
      <c r="AZ9" s="841"/>
      <c r="BA9" s="841"/>
      <c r="BB9" s="841"/>
      <c r="BC9" s="841"/>
      <c r="BD9" s="841"/>
      <c r="BE9" s="841"/>
      <c r="BF9" s="841"/>
      <c r="BG9" s="841"/>
      <c r="BH9" s="841"/>
    </row>
    <row r="10" spans="1:60" s="841" customFormat="1" ht="15" x14ac:dyDescent="0.25">
      <c r="A10" s="3421"/>
      <c r="B10" s="3421"/>
      <c r="C10" s="854">
        <v>1</v>
      </c>
      <c r="D10" s="855" t="s">
        <v>746</v>
      </c>
      <c r="E10" s="855"/>
      <c r="F10" s="855"/>
      <c r="G10" s="856"/>
      <c r="H10" s="857"/>
      <c r="I10" s="855"/>
      <c r="J10" s="855"/>
      <c r="K10" s="855"/>
      <c r="L10" s="856"/>
      <c r="M10" s="857"/>
      <c r="N10" s="858"/>
      <c r="O10" s="859"/>
      <c r="P10" s="857"/>
      <c r="Q10" s="857"/>
      <c r="R10" s="857"/>
      <c r="S10" s="860"/>
      <c r="T10" s="861"/>
      <c r="U10" s="856"/>
      <c r="V10" s="855"/>
      <c r="W10" s="855"/>
      <c r="X10" s="855"/>
      <c r="Y10" s="855"/>
      <c r="Z10" s="855"/>
      <c r="AA10" s="855"/>
      <c r="AB10" s="855"/>
      <c r="AC10" s="855"/>
      <c r="AD10" s="855"/>
      <c r="AE10" s="855"/>
      <c r="AF10" s="855"/>
      <c r="AG10" s="855"/>
      <c r="AH10" s="855"/>
      <c r="AI10" s="855"/>
      <c r="AJ10" s="855"/>
      <c r="AK10" s="855"/>
      <c r="AL10" s="862"/>
      <c r="AM10" s="862"/>
      <c r="AN10" s="863"/>
      <c r="AO10" s="2422"/>
      <c r="AP10" s="2422"/>
    </row>
    <row r="11" spans="1:60" s="841" customFormat="1" ht="15" x14ac:dyDescent="0.25">
      <c r="A11" s="3422"/>
      <c r="B11" s="3422"/>
      <c r="C11" s="3423"/>
      <c r="D11" s="3424"/>
      <c r="E11" s="785">
        <v>1</v>
      </c>
      <c r="F11" s="864" t="s">
        <v>747</v>
      </c>
      <c r="G11" s="865"/>
      <c r="H11" s="866"/>
      <c r="I11" s="864"/>
      <c r="J11" s="864"/>
      <c r="K11" s="864"/>
      <c r="L11" s="865"/>
      <c r="M11" s="866"/>
      <c r="N11" s="867"/>
      <c r="O11" s="868"/>
      <c r="P11" s="866"/>
      <c r="Q11" s="866"/>
      <c r="R11" s="866"/>
      <c r="S11" s="869"/>
      <c r="T11" s="870"/>
      <c r="U11" s="865"/>
      <c r="V11" s="864"/>
      <c r="W11" s="864"/>
      <c r="X11" s="864"/>
      <c r="Y11" s="864"/>
      <c r="Z11" s="864"/>
      <c r="AA11" s="864"/>
      <c r="AB11" s="864"/>
      <c r="AC11" s="864"/>
      <c r="AD11" s="864"/>
      <c r="AE11" s="864"/>
      <c r="AF11" s="864"/>
      <c r="AG11" s="864"/>
      <c r="AH11" s="864"/>
      <c r="AI11" s="864"/>
      <c r="AJ11" s="864"/>
      <c r="AK11" s="864"/>
      <c r="AL11" s="871"/>
      <c r="AM11" s="871"/>
      <c r="AN11" s="872"/>
      <c r="AO11" s="2422"/>
      <c r="AP11" s="2422"/>
    </row>
    <row r="12" spans="1:60" s="841" customFormat="1" ht="28.5" x14ac:dyDescent="0.25">
      <c r="A12" s="3422"/>
      <c r="B12" s="3422"/>
      <c r="C12" s="3425"/>
      <c r="D12" s="3426"/>
      <c r="E12" s="3427"/>
      <c r="F12" s="3428"/>
      <c r="G12" s="2842">
        <v>1</v>
      </c>
      <c r="H12" s="3029" t="s">
        <v>748</v>
      </c>
      <c r="I12" s="3029" t="s">
        <v>749</v>
      </c>
      <c r="J12" s="2842">
        <v>1</v>
      </c>
      <c r="K12" s="3378" t="s">
        <v>750</v>
      </c>
      <c r="L12" s="3213" t="s">
        <v>751</v>
      </c>
      <c r="M12" s="3029" t="s">
        <v>752</v>
      </c>
      <c r="N12" s="3431">
        <f>+(S12+S13)/O12</f>
        <v>7.0570319609263285E-2</v>
      </c>
      <c r="O12" s="3433">
        <v>134617500</v>
      </c>
      <c r="P12" s="3029" t="s">
        <v>753</v>
      </c>
      <c r="Q12" s="3029" t="s">
        <v>754</v>
      </c>
      <c r="R12" s="1523" t="s">
        <v>755</v>
      </c>
      <c r="S12" s="1862">
        <v>4500000</v>
      </c>
      <c r="T12" s="1568">
        <v>20</v>
      </c>
      <c r="U12" s="1661" t="s">
        <v>756</v>
      </c>
      <c r="V12" s="3434">
        <v>35373</v>
      </c>
      <c r="W12" s="3213">
        <v>33985</v>
      </c>
      <c r="X12" s="3213">
        <v>16632</v>
      </c>
      <c r="Y12" s="3213">
        <v>3361</v>
      </c>
      <c r="Z12" s="3213">
        <v>39432</v>
      </c>
      <c r="AA12" s="3213">
        <v>9933</v>
      </c>
      <c r="AB12" s="3213"/>
      <c r="AC12" s="3213"/>
      <c r="AD12" s="3213"/>
      <c r="AE12" s="3213"/>
      <c r="AF12" s="3213"/>
      <c r="AG12" s="3213"/>
      <c r="AH12" s="3213"/>
      <c r="AI12" s="3213"/>
      <c r="AJ12" s="3213"/>
      <c r="AK12" s="3213">
        <f>V12+W12</f>
        <v>69358</v>
      </c>
      <c r="AL12" s="3403">
        <v>43466</v>
      </c>
      <c r="AM12" s="3403">
        <v>43830</v>
      </c>
      <c r="AN12" s="2830" t="s">
        <v>757</v>
      </c>
      <c r="AO12" s="2422"/>
      <c r="AP12" s="2422"/>
    </row>
    <row r="13" spans="1:60" s="841" customFormat="1" ht="28.5" x14ac:dyDescent="0.25">
      <c r="A13" s="3422"/>
      <c r="B13" s="3422"/>
      <c r="C13" s="3425"/>
      <c r="D13" s="3426"/>
      <c r="E13" s="3429"/>
      <c r="F13" s="3210"/>
      <c r="G13" s="3134"/>
      <c r="H13" s="3030"/>
      <c r="I13" s="3030"/>
      <c r="J13" s="3134"/>
      <c r="K13" s="3378"/>
      <c r="L13" s="3213"/>
      <c r="M13" s="3159"/>
      <c r="N13" s="3432"/>
      <c r="O13" s="3433"/>
      <c r="P13" s="3159"/>
      <c r="Q13" s="3159"/>
      <c r="R13" s="1443" t="s">
        <v>758</v>
      </c>
      <c r="S13" s="1863">
        <v>5000000</v>
      </c>
      <c r="T13" s="1526">
        <v>20</v>
      </c>
      <c r="U13" s="873" t="s">
        <v>756</v>
      </c>
      <c r="V13" s="3434"/>
      <c r="W13" s="3213"/>
      <c r="X13" s="3213"/>
      <c r="Y13" s="3213"/>
      <c r="Z13" s="3213"/>
      <c r="AA13" s="3213"/>
      <c r="AB13" s="3213"/>
      <c r="AC13" s="3213"/>
      <c r="AD13" s="3213"/>
      <c r="AE13" s="3213"/>
      <c r="AF13" s="3213"/>
      <c r="AG13" s="3213"/>
      <c r="AH13" s="3213"/>
      <c r="AI13" s="3213"/>
      <c r="AJ13" s="3213"/>
      <c r="AK13" s="3213"/>
      <c r="AL13" s="3403"/>
      <c r="AM13" s="3403"/>
      <c r="AN13" s="2830"/>
      <c r="AO13" s="2422"/>
      <c r="AP13" s="2422"/>
    </row>
    <row r="14" spans="1:60" s="841" customFormat="1" ht="57" x14ac:dyDescent="0.25">
      <c r="A14" s="3422"/>
      <c r="B14" s="3422"/>
      <c r="C14" s="3425"/>
      <c r="D14" s="3426"/>
      <c r="E14" s="3429"/>
      <c r="F14" s="3210"/>
      <c r="G14" s="1503">
        <v>2</v>
      </c>
      <c r="H14" s="1527" t="s">
        <v>759</v>
      </c>
      <c r="I14" s="1527" t="s">
        <v>760</v>
      </c>
      <c r="J14" s="874">
        <v>4</v>
      </c>
      <c r="K14" s="3378"/>
      <c r="L14" s="3213"/>
      <c r="M14" s="3159"/>
      <c r="N14" s="875">
        <f>+(S14)/O12</f>
        <v>0.19982543131465078</v>
      </c>
      <c r="O14" s="3433"/>
      <c r="P14" s="3159"/>
      <c r="Q14" s="3159"/>
      <c r="R14" s="1533" t="s">
        <v>761</v>
      </c>
      <c r="S14" s="1862">
        <v>26900000</v>
      </c>
      <c r="T14" s="1526">
        <v>20</v>
      </c>
      <c r="U14" s="1503" t="s">
        <v>756</v>
      </c>
      <c r="V14" s="3434"/>
      <c r="W14" s="3213"/>
      <c r="X14" s="3213"/>
      <c r="Y14" s="3213"/>
      <c r="Z14" s="3213"/>
      <c r="AA14" s="3213"/>
      <c r="AB14" s="3213"/>
      <c r="AC14" s="3213"/>
      <c r="AD14" s="3213"/>
      <c r="AE14" s="3213"/>
      <c r="AF14" s="3213"/>
      <c r="AG14" s="3213"/>
      <c r="AH14" s="3213"/>
      <c r="AI14" s="3213"/>
      <c r="AJ14" s="3213"/>
      <c r="AK14" s="3213"/>
      <c r="AL14" s="3403"/>
      <c r="AM14" s="3403"/>
      <c r="AN14" s="2830"/>
      <c r="AO14" s="2422"/>
      <c r="AP14" s="2422"/>
    </row>
    <row r="15" spans="1:60" s="841" customFormat="1" ht="76.5" customHeight="1" x14ac:dyDescent="0.25">
      <c r="A15" s="3422"/>
      <c r="B15" s="3422"/>
      <c r="C15" s="3425"/>
      <c r="D15" s="3426"/>
      <c r="E15" s="3429"/>
      <c r="F15" s="3210"/>
      <c r="G15" s="1503">
        <v>3</v>
      </c>
      <c r="H15" s="1527" t="s">
        <v>762</v>
      </c>
      <c r="I15" s="1527" t="s">
        <v>763</v>
      </c>
      <c r="J15" s="874">
        <v>1</v>
      </c>
      <c r="K15" s="3378"/>
      <c r="L15" s="3213"/>
      <c r="M15" s="3159"/>
      <c r="N15" s="875">
        <f>+(S15)/O12</f>
        <v>0.15228332126209446</v>
      </c>
      <c r="O15" s="3433"/>
      <c r="P15" s="3159"/>
      <c r="Q15" s="3212" t="s">
        <v>764</v>
      </c>
      <c r="R15" s="1533" t="s">
        <v>765</v>
      </c>
      <c r="S15" s="1863">
        <v>20500000</v>
      </c>
      <c r="T15" s="1569">
        <v>20</v>
      </c>
      <c r="U15" s="1522" t="s">
        <v>756</v>
      </c>
      <c r="V15" s="3434"/>
      <c r="W15" s="3213"/>
      <c r="X15" s="3213"/>
      <c r="Y15" s="3213"/>
      <c r="Z15" s="3213"/>
      <c r="AA15" s="3213"/>
      <c r="AB15" s="3213"/>
      <c r="AC15" s="3213"/>
      <c r="AD15" s="3213"/>
      <c r="AE15" s="3213"/>
      <c r="AF15" s="3213"/>
      <c r="AG15" s="3213"/>
      <c r="AH15" s="3213"/>
      <c r="AI15" s="3213"/>
      <c r="AJ15" s="3213"/>
      <c r="AK15" s="3213"/>
      <c r="AL15" s="3403"/>
      <c r="AM15" s="3403"/>
      <c r="AN15" s="2830"/>
      <c r="AO15" s="2422"/>
      <c r="AP15" s="2422"/>
    </row>
    <row r="16" spans="1:60" s="841" customFormat="1" ht="80.25" customHeight="1" x14ac:dyDescent="0.25">
      <c r="A16" s="3422"/>
      <c r="B16" s="3422"/>
      <c r="C16" s="3425"/>
      <c r="D16" s="3426"/>
      <c r="E16" s="3429"/>
      <c r="F16" s="3210"/>
      <c r="G16" s="1503">
        <v>4</v>
      </c>
      <c r="H16" s="1527" t="s">
        <v>766</v>
      </c>
      <c r="I16" s="1527" t="s">
        <v>767</v>
      </c>
      <c r="J16" s="874">
        <v>1</v>
      </c>
      <c r="K16" s="3378"/>
      <c r="L16" s="3213"/>
      <c r="M16" s="3159"/>
      <c r="N16" s="875">
        <f>+(S16)/O12</f>
        <v>0.49399223726484298</v>
      </c>
      <c r="O16" s="3433"/>
      <c r="P16" s="3159"/>
      <c r="Q16" s="3212"/>
      <c r="R16" s="1533" t="s">
        <v>768</v>
      </c>
      <c r="S16" s="1863">
        <v>66500000</v>
      </c>
      <c r="T16" s="1569">
        <v>20</v>
      </c>
      <c r="U16" s="1522" t="s">
        <v>756</v>
      </c>
      <c r="V16" s="3434"/>
      <c r="W16" s="3213"/>
      <c r="X16" s="3213"/>
      <c r="Y16" s="3213"/>
      <c r="Z16" s="3213"/>
      <c r="AA16" s="3213"/>
      <c r="AB16" s="3213"/>
      <c r="AC16" s="3213"/>
      <c r="AD16" s="3213"/>
      <c r="AE16" s="3213"/>
      <c r="AF16" s="3213"/>
      <c r="AG16" s="3213"/>
      <c r="AH16" s="3213"/>
      <c r="AI16" s="3213"/>
      <c r="AJ16" s="3213"/>
      <c r="AK16" s="3213"/>
      <c r="AL16" s="3403"/>
      <c r="AM16" s="3403"/>
      <c r="AN16" s="2830"/>
      <c r="AO16" s="2422"/>
      <c r="AP16" s="2422"/>
    </row>
    <row r="17" spans="1:42" s="841" customFormat="1" ht="85.5" customHeight="1" x14ac:dyDescent="0.25">
      <c r="A17" s="3422"/>
      <c r="B17" s="3422"/>
      <c r="C17" s="3425"/>
      <c r="D17" s="3426"/>
      <c r="E17" s="3430"/>
      <c r="F17" s="3211"/>
      <c r="G17" s="1520">
        <v>6</v>
      </c>
      <c r="H17" s="1517" t="s">
        <v>769</v>
      </c>
      <c r="I17" s="1517" t="s">
        <v>770</v>
      </c>
      <c r="J17" s="874">
        <v>12</v>
      </c>
      <c r="K17" s="2842"/>
      <c r="L17" s="3402"/>
      <c r="M17" s="3030"/>
      <c r="N17" s="875">
        <f>+S17/O12</f>
        <v>8.3328690549148515E-2</v>
      </c>
      <c r="O17" s="3385"/>
      <c r="P17" s="3159"/>
      <c r="Q17" s="3029"/>
      <c r="R17" s="1576" t="s">
        <v>771</v>
      </c>
      <c r="S17" s="1864">
        <v>11217500</v>
      </c>
      <c r="T17" s="1672">
        <v>20</v>
      </c>
      <c r="U17" s="1521" t="s">
        <v>756</v>
      </c>
      <c r="V17" s="3404"/>
      <c r="W17" s="3402"/>
      <c r="X17" s="3402"/>
      <c r="Y17" s="3402"/>
      <c r="Z17" s="3402"/>
      <c r="AA17" s="3402"/>
      <c r="AB17" s="3402"/>
      <c r="AC17" s="3402"/>
      <c r="AD17" s="3402"/>
      <c r="AE17" s="3402"/>
      <c r="AF17" s="3402"/>
      <c r="AG17" s="3402"/>
      <c r="AH17" s="3402"/>
      <c r="AI17" s="3402"/>
      <c r="AJ17" s="3402"/>
      <c r="AK17" s="3402"/>
      <c r="AL17" s="3379"/>
      <c r="AM17" s="3379"/>
      <c r="AN17" s="3143"/>
      <c r="AO17" s="2422"/>
      <c r="AP17" s="2422"/>
    </row>
    <row r="18" spans="1:42" s="841" customFormat="1" ht="24" customHeight="1" x14ac:dyDescent="0.25">
      <c r="A18" s="3422"/>
      <c r="B18" s="3422"/>
      <c r="C18" s="3425"/>
      <c r="D18" s="3426"/>
      <c r="E18" s="876">
        <v>2</v>
      </c>
      <c r="F18" s="3148" t="s">
        <v>772</v>
      </c>
      <c r="G18" s="3149"/>
      <c r="H18" s="3149"/>
      <c r="I18" s="3377"/>
      <c r="J18" s="877"/>
      <c r="K18" s="877"/>
      <c r="L18" s="877"/>
      <c r="M18" s="879"/>
      <c r="N18" s="878"/>
      <c r="O18" s="1853"/>
      <c r="P18" s="879"/>
      <c r="Q18" s="879"/>
      <c r="R18" s="879"/>
      <c r="S18" s="1865"/>
      <c r="T18" s="880"/>
      <c r="U18" s="881"/>
      <c r="V18" s="882"/>
      <c r="W18" s="883"/>
      <c r="X18" s="883"/>
      <c r="Y18" s="883"/>
      <c r="Z18" s="883"/>
      <c r="AA18" s="883"/>
      <c r="AB18" s="884"/>
      <c r="AC18" s="884"/>
      <c r="AD18" s="884"/>
      <c r="AE18" s="885"/>
      <c r="AF18" s="885"/>
      <c r="AG18" s="885"/>
      <c r="AH18" s="884"/>
      <c r="AI18" s="884"/>
      <c r="AJ18" s="883"/>
      <c r="AK18" s="886"/>
      <c r="AL18" s="887"/>
      <c r="AM18" s="887"/>
      <c r="AN18" s="888"/>
      <c r="AO18" s="2422"/>
      <c r="AP18" s="2422"/>
    </row>
    <row r="19" spans="1:42" s="841" customFormat="1" ht="39.75" customHeight="1" x14ac:dyDescent="0.25">
      <c r="A19" s="3422"/>
      <c r="B19" s="3422"/>
      <c r="C19" s="3425"/>
      <c r="D19" s="3426"/>
      <c r="E19" s="3378"/>
      <c r="F19" s="3378"/>
      <c r="G19" s="1521">
        <v>7</v>
      </c>
      <c r="H19" s="1517" t="s">
        <v>773</v>
      </c>
      <c r="I19" s="1518" t="s">
        <v>774</v>
      </c>
      <c r="J19" s="874">
        <v>1</v>
      </c>
      <c r="K19" s="3378" t="s">
        <v>775</v>
      </c>
      <c r="L19" s="2842" t="s">
        <v>776</v>
      </c>
      <c r="M19" s="3029" t="s">
        <v>777</v>
      </c>
      <c r="N19" s="1575">
        <f>+S19/O19</f>
        <v>0.79984028770363513</v>
      </c>
      <c r="O19" s="3385">
        <v>158373529</v>
      </c>
      <c r="P19" s="3387" t="s">
        <v>778</v>
      </c>
      <c r="Q19" s="3387" t="s">
        <v>779</v>
      </c>
      <c r="R19" s="1518" t="s">
        <v>780</v>
      </c>
      <c r="S19" s="1864">
        <v>126673529</v>
      </c>
      <c r="T19" s="1672">
        <v>20</v>
      </c>
      <c r="U19" s="1521" t="s">
        <v>756</v>
      </c>
      <c r="V19" s="3404">
        <v>252568</v>
      </c>
      <c r="W19" s="3402">
        <v>243650</v>
      </c>
      <c r="X19" s="3402">
        <v>97896</v>
      </c>
      <c r="Y19" s="3402">
        <v>53351</v>
      </c>
      <c r="Z19" s="3402">
        <v>140316</v>
      </c>
      <c r="AA19" s="3402">
        <v>30825</v>
      </c>
      <c r="AB19" s="3402"/>
      <c r="AC19" s="3402"/>
      <c r="AD19" s="3402"/>
      <c r="AE19" s="3402"/>
      <c r="AF19" s="3402"/>
      <c r="AG19" s="3402"/>
      <c r="AH19" s="3402"/>
      <c r="AI19" s="3402"/>
      <c r="AJ19" s="3402"/>
      <c r="AK19" s="3402">
        <f>V19+W19</f>
        <v>496218</v>
      </c>
      <c r="AL19" s="3403">
        <v>43466</v>
      </c>
      <c r="AM19" s="3403">
        <v>43830</v>
      </c>
      <c r="AN19" s="2830" t="s">
        <v>757</v>
      </c>
      <c r="AO19" s="2422"/>
      <c r="AP19" s="2422"/>
    </row>
    <row r="20" spans="1:42" ht="85.5" x14ac:dyDescent="0.25">
      <c r="A20" s="3422"/>
      <c r="B20" s="3422"/>
      <c r="C20" s="3425"/>
      <c r="D20" s="3426"/>
      <c r="E20" s="3378"/>
      <c r="F20" s="3378"/>
      <c r="G20" s="1563">
        <v>8</v>
      </c>
      <c r="H20" s="1527" t="s">
        <v>781</v>
      </c>
      <c r="I20" s="1527" t="s">
        <v>782</v>
      </c>
      <c r="J20" s="874">
        <v>1</v>
      </c>
      <c r="K20" s="3378"/>
      <c r="L20" s="3134"/>
      <c r="M20" s="3030"/>
      <c r="N20" s="875">
        <f>+S20/O19</f>
        <v>0.20015971229636487</v>
      </c>
      <c r="O20" s="3386"/>
      <c r="P20" s="3388"/>
      <c r="Q20" s="3388"/>
      <c r="R20" s="1527" t="s">
        <v>783</v>
      </c>
      <c r="S20" s="1856">
        <v>31700000</v>
      </c>
      <c r="T20" s="1638">
        <v>20</v>
      </c>
      <c r="U20" s="1637" t="s">
        <v>756</v>
      </c>
      <c r="V20" s="3405"/>
      <c r="W20" s="3406"/>
      <c r="X20" s="3406"/>
      <c r="Y20" s="3406"/>
      <c r="Z20" s="3406"/>
      <c r="AA20" s="3406"/>
      <c r="AB20" s="3406"/>
      <c r="AC20" s="3406"/>
      <c r="AD20" s="3406"/>
      <c r="AE20" s="3406"/>
      <c r="AF20" s="3406"/>
      <c r="AG20" s="3406"/>
      <c r="AH20" s="3406"/>
      <c r="AI20" s="3406"/>
      <c r="AJ20" s="3406"/>
      <c r="AK20" s="3406"/>
      <c r="AL20" s="3403"/>
      <c r="AM20" s="3403"/>
      <c r="AN20" s="2830"/>
    </row>
    <row r="21" spans="1:42" ht="15" x14ac:dyDescent="0.25">
      <c r="A21" s="3422"/>
      <c r="B21" s="3422"/>
      <c r="C21" s="3425"/>
      <c r="D21" s="3426"/>
      <c r="E21" s="788">
        <v>3</v>
      </c>
      <c r="F21" s="786" t="s">
        <v>784</v>
      </c>
      <c r="G21" s="890"/>
      <c r="H21" s="891"/>
      <c r="I21" s="892"/>
      <c r="J21" s="892"/>
      <c r="K21" s="893"/>
      <c r="L21" s="890"/>
      <c r="M21" s="891"/>
      <c r="N21" s="894"/>
      <c r="O21" s="895"/>
      <c r="P21" s="1195"/>
      <c r="Q21" s="1195"/>
      <c r="R21" s="1195"/>
      <c r="S21" s="1866"/>
      <c r="T21" s="896"/>
      <c r="U21" s="890"/>
      <c r="V21" s="892"/>
      <c r="W21" s="892"/>
      <c r="X21" s="892"/>
      <c r="Y21" s="892"/>
      <c r="Z21" s="892"/>
      <c r="AA21" s="892"/>
      <c r="AB21" s="892"/>
      <c r="AC21" s="892"/>
      <c r="AD21" s="892"/>
      <c r="AE21" s="892"/>
      <c r="AF21" s="892"/>
      <c r="AG21" s="892"/>
      <c r="AH21" s="892"/>
      <c r="AI21" s="892"/>
      <c r="AJ21" s="892"/>
      <c r="AK21" s="892"/>
      <c r="AL21" s="1209"/>
      <c r="AM21" s="1209"/>
      <c r="AN21" s="1210"/>
    </row>
    <row r="22" spans="1:42" ht="36" customHeight="1" x14ac:dyDescent="0.25">
      <c r="A22" s="3422"/>
      <c r="B22" s="3422"/>
      <c r="C22" s="3425"/>
      <c r="D22" s="3426"/>
      <c r="E22" s="3389"/>
      <c r="F22" s="3390"/>
      <c r="G22" s="3393">
        <v>14</v>
      </c>
      <c r="H22" s="2674" t="s">
        <v>785</v>
      </c>
      <c r="I22" s="3203" t="s">
        <v>786</v>
      </c>
      <c r="J22" s="3366">
        <v>6</v>
      </c>
      <c r="K22" s="3351" t="s">
        <v>787</v>
      </c>
      <c r="L22" s="2842" t="s">
        <v>788</v>
      </c>
      <c r="M22" s="3351" t="s">
        <v>789</v>
      </c>
      <c r="N22" s="3395">
        <f>+(S22+S23+S24)/O22</f>
        <v>0.18742090844306694</v>
      </c>
      <c r="O22" s="3374">
        <f>SUM(S22:S26)</f>
        <v>1693514361</v>
      </c>
      <c r="P22" s="3351" t="s">
        <v>790</v>
      </c>
      <c r="Q22" s="3351" t="s">
        <v>754</v>
      </c>
      <c r="R22" s="2657" t="s">
        <v>791</v>
      </c>
      <c r="S22" s="1867">
        <v>133700000</v>
      </c>
      <c r="T22" s="1377">
        <v>20</v>
      </c>
      <c r="U22" s="1379" t="s">
        <v>792</v>
      </c>
      <c r="V22" s="3382">
        <v>35373</v>
      </c>
      <c r="W22" s="3354">
        <v>33985</v>
      </c>
      <c r="X22" s="3354">
        <v>16632</v>
      </c>
      <c r="Y22" s="3354">
        <v>3361</v>
      </c>
      <c r="Z22" s="3354">
        <v>39432</v>
      </c>
      <c r="AA22" s="3354">
        <v>9933</v>
      </c>
      <c r="AB22" s="3354"/>
      <c r="AC22" s="3354"/>
      <c r="AD22" s="3354"/>
      <c r="AE22" s="3354"/>
      <c r="AF22" s="3354"/>
      <c r="AG22" s="3354"/>
      <c r="AH22" s="3354"/>
      <c r="AI22" s="3354"/>
      <c r="AJ22" s="3354"/>
      <c r="AK22" s="3354">
        <f>V22+W22</f>
        <v>69358</v>
      </c>
      <c r="AL22" s="3379">
        <v>43466</v>
      </c>
      <c r="AM22" s="3379">
        <v>43830</v>
      </c>
      <c r="AN22" s="3143" t="s">
        <v>757</v>
      </c>
    </row>
    <row r="23" spans="1:42" ht="36" customHeight="1" x14ac:dyDescent="0.25">
      <c r="A23" s="3422"/>
      <c r="B23" s="3422"/>
      <c r="C23" s="3425"/>
      <c r="D23" s="3426"/>
      <c r="E23" s="3391"/>
      <c r="F23" s="3392"/>
      <c r="G23" s="3393"/>
      <c r="H23" s="2674"/>
      <c r="I23" s="3204"/>
      <c r="J23" s="3394"/>
      <c r="K23" s="3352"/>
      <c r="L23" s="2843"/>
      <c r="M23" s="3352"/>
      <c r="N23" s="3395"/>
      <c r="O23" s="3375"/>
      <c r="P23" s="3352"/>
      <c r="Q23" s="3352"/>
      <c r="R23" s="2658"/>
      <c r="S23" s="1867">
        <f>0+50000000</f>
        <v>50000000</v>
      </c>
      <c r="T23" s="1377">
        <v>88</v>
      </c>
      <c r="U23" s="1379" t="s">
        <v>623</v>
      </c>
      <c r="V23" s="3383"/>
      <c r="W23" s="3355"/>
      <c r="X23" s="3355"/>
      <c r="Y23" s="3355"/>
      <c r="Z23" s="3355"/>
      <c r="AA23" s="3355"/>
      <c r="AB23" s="3355"/>
      <c r="AC23" s="3355"/>
      <c r="AD23" s="3355"/>
      <c r="AE23" s="3355"/>
      <c r="AF23" s="3355"/>
      <c r="AG23" s="3355"/>
      <c r="AH23" s="3355"/>
      <c r="AI23" s="3355"/>
      <c r="AJ23" s="3355"/>
      <c r="AK23" s="3355"/>
      <c r="AL23" s="3380"/>
      <c r="AM23" s="3380"/>
      <c r="AN23" s="3144"/>
    </row>
    <row r="24" spans="1:42" ht="46.5" customHeight="1" x14ac:dyDescent="0.25">
      <c r="A24" s="3422"/>
      <c r="B24" s="3422"/>
      <c r="C24" s="3425"/>
      <c r="D24" s="3426"/>
      <c r="E24" s="3391"/>
      <c r="F24" s="3392"/>
      <c r="G24" s="3393"/>
      <c r="H24" s="2674"/>
      <c r="I24" s="3205"/>
      <c r="J24" s="3367"/>
      <c r="K24" s="3352"/>
      <c r="L24" s="2843"/>
      <c r="M24" s="3352"/>
      <c r="N24" s="3395"/>
      <c r="O24" s="3375"/>
      <c r="P24" s="3352"/>
      <c r="Q24" s="3352"/>
      <c r="R24" s="1443" t="s">
        <v>793</v>
      </c>
      <c r="S24" s="1867">
        <v>133700000</v>
      </c>
      <c r="T24" s="1377">
        <v>20</v>
      </c>
      <c r="U24" s="1379" t="s">
        <v>792</v>
      </c>
      <c r="V24" s="3383"/>
      <c r="W24" s="3355"/>
      <c r="X24" s="3355"/>
      <c r="Y24" s="3355"/>
      <c r="Z24" s="3355"/>
      <c r="AA24" s="3355"/>
      <c r="AB24" s="3355"/>
      <c r="AC24" s="3355"/>
      <c r="AD24" s="3355"/>
      <c r="AE24" s="3355"/>
      <c r="AF24" s="3355"/>
      <c r="AG24" s="3355"/>
      <c r="AH24" s="3355"/>
      <c r="AI24" s="3355"/>
      <c r="AJ24" s="3355"/>
      <c r="AK24" s="3355"/>
      <c r="AL24" s="3380"/>
      <c r="AM24" s="3380"/>
      <c r="AN24" s="3144"/>
    </row>
    <row r="25" spans="1:42" ht="71.25" customHeight="1" x14ac:dyDescent="0.25">
      <c r="A25" s="3422"/>
      <c r="B25" s="3422"/>
      <c r="C25" s="3425"/>
      <c r="D25" s="3426"/>
      <c r="E25" s="3391"/>
      <c r="F25" s="3392"/>
      <c r="G25" s="3354">
        <v>17</v>
      </c>
      <c r="H25" s="3351" t="s">
        <v>794</v>
      </c>
      <c r="I25" s="2842" t="s">
        <v>795</v>
      </c>
      <c r="J25" s="3366">
        <v>270</v>
      </c>
      <c r="K25" s="1351" t="s">
        <v>796</v>
      </c>
      <c r="L25" s="2843"/>
      <c r="M25" s="3352"/>
      <c r="N25" s="3372">
        <f>SUM(S25:S26)/O22</f>
        <v>0.81257909155693309</v>
      </c>
      <c r="O25" s="3375"/>
      <c r="P25" s="3352"/>
      <c r="Q25" s="3352"/>
      <c r="R25" s="3351" t="s">
        <v>797</v>
      </c>
      <c r="S25" s="1867">
        <v>550114361</v>
      </c>
      <c r="T25" s="1377">
        <v>20</v>
      </c>
      <c r="U25" s="1379" t="s">
        <v>792</v>
      </c>
      <c r="V25" s="3383"/>
      <c r="W25" s="3355"/>
      <c r="X25" s="3355"/>
      <c r="Y25" s="3355"/>
      <c r="Z25" s="3355"/>
      <c r="AA25" s="3355"/>
      <c r="AB25" s="3356"/>
      <c r="AC25" s="3356"/>
      <c r="AD25" s="3356"/>
      <c r="AE25" s="3356"/>
      <c r="AF25" s="3356"/>
      <c r="AG25" s="3356"/>
      <c r="AH25" s="3356"/>
      <c r="AI25" s="3356"/>
      <c r="AJ25" s="3356"/>
      <c r="AK25" s="3355"/>
      <c r="AL25" s="3380"/>
      <c r="AM25" s="3380"/>
      <c r="AN25" s="3144"/>
    </row>
    <row r="26" spans="1:42" ht="35.25" customHeight="1" x14ac:dyDescent="0.25">
      <c r="A26" s="3422"/>
      <c r="B26" s="3422"/>
      <c r="C26" s="3425"/>
      <c r="D26" s="3426"/>
      <c r="E26" s="3391"/>
      <c r="F26" s="3392"/>
      <c r="G26" s="3356"/>
      <c r="H26" s="3353"/>
      <c r="I26" s="3134"/>
      <c r="J26" s="3367"/>
      <c r="K26" s="1352"/>
      <c r="L26" s="3134"/>
      <c r="M26" s="3353"/>
      <c r="N26" s="3373"/>
      <c r="O26" s="3376"/>
      <c r="P26" s="3353"/>
      <c r="Q26" s="3353"/>
      <c r="R26" s="3353"/>
      <c r="S26" s="1867">
        <v>826000000</v>
      </c>
      <c r="T26" s="1377">
        <v>88</v>
      </c>
      <c r="U26" s="1379" t="s">
        <v>623</v>
      </c>
      <c r="V26" s="3384"/>
      <c r="W26" s="3356"/>
      <c r="X26" s="3356"/>
      <c r="Y26" s="3356"/>
      <c r="Z26" s="3356"/>
      <c r="AA26" s="3356"/>
      <c r="AB26" s="1560"/>
      <c r="AC26" s="1560"/>
      <c r="AD26" s="1560"/>
      <c r="AE26" s="1560"/>
      <c r="AF26" s="1560"/>
      <c r="AG26" s="1560"/>
      <c r="AH26" s="1560"/>
      <c r="AI26" s="1560"/>
      <c r="AJ26" s="1560"/>
      <c r="AK26" s="3356"/>
      <c r="AL26" s="3381"/>
      <c r="AM26" s="3381"/>
      <c r="AN26" s="3145"/>
    </row>
    <row r="27" spans="1:42" ht="68.25" customHeight="1" x14ac:dyDescent="0.25">
      <c r="A27" s="3422"/>
      <c r="B27" s="3422"/>
      <c r="C27" s="3425"/>
      <c r="D27" s="3426"/>
      <c r="E27" s="3391"/>
      <c r="F27" s="3392"/>
      <c r="G27" s="1563">
        <v>15</v>
      </c>
      <c r="H27" s="1527" t="s">
        <v>798</v>
      </c>
      <c r="I27" s="1527" t="s">
        <v>799</v>
      </c>
      <c r="J27" s="1567">
        <v>2</v>
      </c>
      <c r="K27" s="2842" t="s">
        <v>800</v>
      </c>
      <c r="L27" s="2842" t="s">
        <v>801</v>
      </c>
      <c r="M27" s="3215" t="s">
        <v>802</v>
      </c>
      <c r="N27" s="1578">
        <f>S27/O27</f>
        <v>0.28450497361810312</v>
      </c>
      <c r="O27" s="2970">
        <f>SUM(S27:S31)</f>
        <v>63061235</v>
      </c>
      <c r="P27" s="3029" t="s">
        <v>803</v>
      </c>
      <c r="Q27" s="3029" t="s">
        <v>804</v>
      </c>
      <c r="R27" s="1380" t="s">
        <v>805</v>
      </c>
      <c r="S27" s="1859">
        <v>17941235</v>
      </c>
      <c r="T27" s="1377">
        <v>20</v>
      </c>
      <c r="U27" s="1379" t="s">
        <v>792</v>
      </c>
      <c r="V27" s="3382">
        <v>40906</v>
      </c>
      <c r="W27" s="3354">
        <v>37728</v>
      </c>
      <c r="X27" s="3354">
        <v>16790</v>
      </c>
      <c r="Y27" s="3354">
        <v>8871</v>
      </c>
      <c r="Z27" s="3354">
        <v>46240</v>
      </c>
      <c r="AA27" s="3354">
        <v>10814</v>
      </c>
      <c r="AB27" s="3354"/>
      <c r="AC27" s="3354"/>
      <c r="AD27" s="3354"/>
      <c r="AE27" s="3354"/>
      <c r="AF27" s="3354"/>
      <c r="AG27" s="3354"/>
      <c r="AH27" s="3354"/>
      <c r="AI27" s="3354"/>
      <c r="AJ27" s="3354"/>
      <c r="AK27" s="3354">
        <f>V27+W27</f>
        <v>78634</v>
      </c>
      <c r="AL27" s="3379">
        <v>43466</v>
      </c>
      <c r="AM27" s="3379">
        <v>43830</v>
      </c>
      <c r="AN27" s="3143" t="s">
        <v>757</v>
      </c>
    </row>
    <row r="28" spans="1:42" ht="71.25" x14ac:dyDescent="0.25">
      <c r="A28" s="3422"/>
      <c r="B28" s="3422"/>
      <c r="C28" s="3425"/>
      <c r="D28" s="3426"/>
      <c r="E28" s="3391"/>
      <c r="F28" s="3392"/>
      <c r="G28" s="1563">
        <v>16</v>
      </c>
      <c r="H28" s="1527" t="s">
        <v>806</v>
      </c>
      <c r="I28" s="1527" t="s">
        <v>807</v>
      </c>
      <c r="J28" s="897">
        <v>5</v>
      </c>
      <c r="K28" s="2843"/>
      <c r="L28" s="2843"/>
      <c r="M28" s="3410"/>
      <c r="N28" s="1578">
        <f>S28/O27</f>
        <v>0.15064722408306783</v>
      </c>
      <c r="O28" s="2938"/>
      <c r="P28" s="3159"/>
      <c r="Q28" s="3159"/>
      <c r="R28" s="1007" t="s">
        <v>808</v>
      </c>
      <c r="S28" s="1859">
        <v>9500000</v>
      </c>
      <c r="T28" s="1377">
        <v>20</v>
      </c>
      <c r="U28" s="1379" t="s">
        <v>792</v>
      </c>
      <c r="V28" s="3383"/>
      <c r="W28" s="3355"/>
      <c r="X28" s="3355"/>
      <c r="Y28" s="3355"/>
      <c r="Z28" s="3355"/>
      <c r="AA28" s="3355"/>
      <c r="AB28" s="3355"/>
      <c r="AC28" s="3355"/>
      <c r="AD28" s="3355"/>
      <c r="AE28" s="3355"/>
      <c r="AF28" s="3355"/>
      <c r="AG28" s="3355"/>
      <c r="AH28" s="3355"/>
      <c r="AI28" s="3355"/>
      <c r="AJ28" s="3355"/>
      <c r="AK28" s="3355"/>
      <c r="AL28" s="3380"/>
      <c r="AM28" s="3380"/>
      <c r="AN28" s="3144"/>
    </row>
    <row r="29" spans="1:42" ht="42.75" x14ac:dyDescent="0.25">
      <c r="A29" s="3422"/>
      <c r="B29" s="3422"/>
      <c r="C29" s="3425"/>
      <c r="D29" s="3426"/>
      <c r="E29" s="3391"/>
      <c r="F29" s="3392"/>
      <c r="G29" s="1563">
        <v>18</v>
      </c>
      <c r="H29" s="1527" t="s">
        <v>809</v>
      </c>
      <c r="I29" s="1527" t="s">
        <v>810</v>
      </c>
      <c r="J29" s="897">
        <v>10</v>
      </c>
      <c r="K29" s="2843"/>
      <c r="L29" s="2843"/>
      <c r="M29" s="3410"/>
      <c r="N29" s="1578">
        <f>S29/O27</f>
        <v>0.21598054652751408</v>
      </c>
      <c r="O29" s="2938"/>
      <c r="P29" s="3159"/>
      <c r="Q29" s="3159"/>
      <c r="R29" s="1007" t="s">
        <v>811</v>
      </c>
      <c r="S29" s="1859">
        <v>13620000</v>
      </c>
      <c r="T29" s="1377">
        <v>20</v>
      </c>
      <c r="U29" s="1379" t="s">
        <v>792</v>
      </c>
      <c r="V29" s="3383"/>
      <c r="W29" s="3355"/>
      <c r="X29" s="3355"/>
      <c r="Y29" s="3355"/>
      <c r="Z29" s="3355"/>
      <c r="AA29" s="3355"/>
      <c r="AB29" s="3355"/>
      <c r="AC29" s="3355"/>
      <c r="AD29" s="3355"/>
      <c r="AE29" s="3355"/>
      <c r="AF29" s="3355"/>
      <c r="AG29" s="3355"/>
      <c r="AH29" s="3355"/>
      <c r="AI29" s="3355"/>
      <c r="AJ29" s="3355"/>
      <c r="AK29" s="3355"/>
      <c r="AL29" s="3380"/>
      <c r="AM29" s="3380"/>
      <c r="AN29" s="3144"/>
    </row>
    <row r="30" spans="1:42" ht="71.25" x14ac:dyDescent="0.25">
      <c r="A30" s="3422"/>
      <c r="B30" s="3422"/>
      <c r="C30" s="3425"/>
      <c r="D30" s="3426"/>
      <c r="E30" s="3391"/>
      <c r="F30" s="3392"/>
      <c r="G30" s="1563">
        <v>19</v>
      </c>
      <c r="H30" s="1527" t="s">
        <v>812</v>
      </c>
      <c r="I30" s="1527" t="s">
        <v>813</v>
      </c>
      <c r="J30" s="897">
        <v>8</v>
      </c>
      <c r="K30" s="2843"/>
      <c r="L30" s="2843"/>
      <c r="M30" s="3410"/>
      <c r="N30" s="1578">
        <f>S30/O27</f>
        <v>0.1744336278856575</v>
      </c>
      <c r="O30" s="2938"/>
      <c r="P30" s="3159"/>
      <c r="Q30" s="3159"/>
      <c r="R30" s="1196" t="s">
        <v>814</v>
      </c>
      <c r="S30" s="1859">
        <v>11000000</v>
      </c>
      <c r="T30" s="1377">
        <v>20</v>
      </c>
      <c r="U30" s="1379" t="s">
        <v>792</v>
      </c>
      <c r="V30" s="3383"/>
      <c r="W30" s="3355"/>
      <c r="X30" s="3355"/>
      <c r="Y30" s="3355"/>
      <c r="Z30" s="3355"/>
      <c r="AA30" s="3355"/>
      <c r="AB30" s="3355"/>
      <c r="AC30" s="3355"/>
      <c r="AD30" s="3355"/>
      <c r="AE30" s="3355"/>
      <c r="AF30" s="3355"/>
      <c r="AG30" s="3355"/>
      <c r="AH30" s="3355"/>
      <c r="AI30" s="3355"/>
      <c r="AJ30" s="3355"/>
      <c r="AK30" s="3355"/>
      <c r="AL30" s="3380"/>
      <c r="AM30" s="3380"/>
      <c r="AN30" s="3144"/>
    </row>
    <row r="31" spans="1:42" ht="75" x14ac:dyDescent="0.25">
      <c r="A31" s="3422"/>
      <c r="B31" s="3422"/>
      <c r="C31" s="3425"/>
      <c r="D31" s="3426"/>
      <c r="E31" s="3391"/>
      <c r="F31" s="3392"/>
      <c r="G31" s="1559">
        <v>20</v>
      </c>
      <c r="H31" s="1197" t="s">
        <v>815</v>
      </c>
      <c r="I31" s="1517" t="s">
        <v>816</v>
      </c>
      <c r="J31" s="897">
        <v>60</v>
      </c>
      <c r="K31" s="2843"/>
      <c r="L31" s="2843"/>
      <c r="M31" s="3411"/>
      <c r="N31" s="1564">
        <f>S31/O27</f>
        <v>0.1744336278856575</v>
      </c>
      <c r="O31" s="2938"/>
      <c r="P31" s="3159"/>
      <c r="Q31" s="3159"/>
      <c r="R31" s="1517" t="s">
        <v>817</v>
      </c>
      <c r="S31" s="1868">
        <v>11000000</v>
      </c>
      <c r="T31" s="1725">
        <v>20</v>
      </c>
      <c r="U31" s="1726" t="s">
        <v>792</v>
      </c>
      <c r="V31" s="3383"/>
      <c r="W31" s="3355"/>
      <c r="X31" s="3355"/>
      <c r="Y31" s="3355"/>
      <c r="Z31" s="3355"/>
      <c r="AA31" s="3355"/>
      <c r="AB31" s="3355"/>
      <c r="AC31" s="3355"/>
      <c r="AD31" s="3355"/>
      <c r="AE31" s="3355"/>
      <c r="AF31" s="3355"/>
      <c r="AG31" s="3355"/>
      <c r="AH31" s="3355"/>
      <c r="AI31" s="3355"/>
      <c r="AJ31" s="3355"/>
      <c r="AK31" s="3355"/>
      <c r="AL31" s="3380"/>
      <c r="AM31" s="3380"/>
      <c r="AN31" s="3144"/>
    </row>
    <row r="32" spans="1:42" ht="15" x14ac:dyDescent="0.25">
      <c r="A32" s="898">
        <v>2</v>
      </c>
      <c r="B32" s="768" t="s">
        <v>634</v>
      </c>
      <c r="C32" s="899"/>
      <c r="D32" s="899"/>
      <c r="E32" s="899"/>
      <c r="F32" s="899"/>
      <c r="G32" s="900"/>
      <c r="H32" s="901"/>
      <c r="I32" s="902"/>
      <c r="J32" s="902"/>
      <c r="K32" s="902"/>
      <c r="L32" s="903"/>
      <c r="M32" s="901"/>
      <c r="N32" s="904"/>
      <c r="O32" s="905"/>
      <c r="P32" s="901"/>
      <c r="Q32" s="901"/>
      <c r="R32" s="901"/>
      <c r="S32" s="1869"/>
      <c r="T32" s="906"/>
      <c r="U32" s="903"/>
      <c r="V32" s="902"/>
      <c r="W32" s="902"/>
      <c r="X32" s="902"/>
      <c r="Y32" s="902"/>
      <c r="Z32" s="902"/>
      <c r="AA32" s="902"/>
      <c r="AB32" s="902"/>
      <c r="AC32" s="902"/>
      <c r="AD32" s="902"/>
      <c r="AE32" s="902"/>
      <c r="AF32" s="902"/>
      <c r="AG32" s="902"/>
      <c r="AH32" s="902"/>
      <c r="AI32" s="902"/>
      <c r="AJ32" s="902"/>
      <c r="AK32" s="902"/>
      <c r="AL32" s="907"/>
      <c r="AM32" s="908"/>
      <c r="AN32" s="909"/>
    </row>
    <row r="33" spans="1:40" ht="15" x14ac:dyDescent="0.25">
      <c r="A33" s="3438"/>
      <c r="B33" s="3439"/>
      <c r="C33" s="910">
        <v>2</v>
      </c>
      <c r="D33" s="855" t="s">
        <v>635</v>
      </c>
      <c r="E33" s="855"/>
      <c r="F33" s="855"/>
      <c r="G33" s="911"/>
      <c r="H33" s="912"/>
      <c r="I33" s="913"/>
      <c r="J33" s="913"/>
      <c r="K33" s="913"/>
      <c r="L33" s="914"/>
      <c r="M33" s="912"/>
      <c r="N33" s="915"/>
      <c r="O33" s="916"/>
      <c r="P33" s="912"/>
      <c r="Q33" s="912"/>
      <c r="R33" s="912"/>
      <c r="S33" s="1870"/>
      <c r="T33" s="917"/>
      <c r="U33" s="914"/>
      <c r="V33" s="913"/>
      <c r="W33" s="913"/>
      <c r="X33" s="913"/>
      <c r="Y33" s="913"/>
      <c r="Z33" s="913"/>
      <c r="AA33" s="913"/>
      <c r="AB33" s="913"/>
      <c r="AC33" s="913"/>
      <c r="AD33" s="913"/>
      <c r="AE33" s="913"/>
      <c r="AF33" s="913"/>
      <c r="AG33" s="913"/>
      <c r="AH33" s="913"/>
      <c r="AI33" s="913"/>
      <c r="AJ33" s="913"/>
      <c r="AK33" s="913"/>
      <c r="AL33" s="918"/>
      <c r="AM33" s="919"/>
      <c r="AN33" s="920"/>
    </row>
    <row r="34" spans="1:40" ht="15" x14ac:dyDescent="0.25">
      <c r="A34" s="3440"/>
      <c r="B34" s="3441"/>
      <c r="C34" s="3444"/>
      <c r="D34" s="3444"/>
      <c r="E34" s="788">
        <v>4</v>
      </c>
      <c r="F34" s="786" t="s">
        <v>818</v>
      </c>
      <c r="G34" s="786"/>
      <c r="H34" s="921"/>
      <c r="I34" s="864"/>
      <c r="J34" s="864"/>
      <c r="K34" s="864"/>
      <c r="L34" s="864"/>
      <c r="M34" s="922"/>
      <c r="N34" s="923"/>
      <c r="O34" s="924"/>
      <c r="P34" s="922"/>
      <c r="Q34" s="1406"/>
      <c r="R34" s="922"/>
      <c r="S34" s="1858"/>
      <c r="T34" s="925"/>
      <c r="U34" s="926"/>
      <c r="V34" s="927"/>
      <c r="W34" s="927"/>
      <c r="X34" s="927"/>
      <c r="Y34" s="927"/>
      <c r="Z34" s="927"/>
      <c r="AA34" s="927"/>
      <c r="AB34" s="927"/>
      <c r="AC34" s="927"/>
      <c r="AD34" s="927"/>
      <c r="AE34" s="927"/>
      <c r="AF34" s="927"/>
      <c r="AG34" s="927"/>
      <c r="AH34" s="927"/>
      <c r="AI34" s="927"/>
      <c r="AJ34" s="927"/>
      <c r="AK34" s="927"/>
      <c r="AL34" s="928"/>
      <c r="AM34" s="929"/>
      <c r="AN34" s="930"/>
    </row>
    <row r="35" spans="1:40" ht="57" x14ac:dyDescent="0.25">
      <c r="A35" s="3440"/>
      <c r="B35" s="3441"/>
      <c r="C35" s="3444"/>
      <c r="D35" s="3444"/>
      <c r="E35" s="3393"/>
      <c r="F35" s="3393"/>
      <c r="G35" s="3356">
        <v>21</v>
      </c>
      <c r="H35" s="3212" t="s">
        <v>819</v>
      </c>
      <c r="I35" s="2674" t="s">
        <v>820</v>
      </c>
      <c r="J35" s="3366">
        <v>100</v>
      </c>
      <c r="K35" s="3393" t="s">
        <v>821</v>
      </c>
      <c r="L35" s="3393" t="s">
        <v>822</v>
      </c>
      <c r="M35" s="2657" t="s">
        <v>823</v>
      </c>
      <c r="N35" s="3395">
        <f>+(S35+S36)/O35</f>
        <v>0.1707026589791501</v>
      </c>
      <c r="O35" s="3435">
        <v>364259118</v>
      </c>
      <c r="P35" s="3436" t="s">
        <v>824</v>
      </c>
      <c r="Q35" s="2539" t="s">
        <v>825</v>
      </c>
      <c r="R35" s="1402" t="s">
        <v>826</v>
      </c>
      <c r="S35" s="1871">
        <f>54000000-3500000-2790000</f>
        <v>47710000</v>
      </c>
      <c r="T35" s="1562">
        <v>20</v>
      </c>
      <c r="U35" s="1183" t="s">
        <v>792</v>
      </c>
      <c r="V35" s="3393">
        <v>40</v>
      </c>
      <c r="W35" s="3393">
        <v>60</v>
      </c>
      <c r="X35" s="3393">
        <v>10</v>
      </c>
      <c r="Y35" s="3393">
        <v>20</v>
      </c>
      <c r="Z35" s="3393">
        <v>30</v>
      </c>
      <c r="AA35" s="3354">
        <v>40</v>
      </c>
      <c r="AB35" s="3354">
        <v>5</v>
      </c>
      <c r="AC35" s="3354"/>
      <c r="AD35" s="3354"/>
      <c r="AE35" s="3354"/>
      <c r="AF35" s="3354"/>
      <c r="AG35" s="3354"/>
      <c r="AH35" s="3354">
        <v>5</v>
      </c>
      <c r="AI35" s="3354"/>
      <c r="AJ35" s="3354"/>
      <c r="AK35" s="3354">
        <f>V35+W35</f>
        <v>100</v>
      </c>
      <c r="AL35" s="2910">
        <v>43466</v>
      </c>
      <c r="AM35" s="2910">
        <v>43465</v>
      </c>
      <c r="AN35" s="3351" t="s">
        <v>827</v>
      </c>
    </row>
    <row r="36" spans="1:40" ht="41.25" customHeight="1" x14ac:dyDescent="0.25">
      <c r="A36" s="3440"/>
      <c r="B36" s="3441"/>
      <c r="C36" s="3444"/>
      <c r="D36" s="3444"/>
      <c r="E36" s="3393"/>
      <c r="F36" s="3393"/>
      <c r="G36" s="3393"/>
      <c r="H36" s="3212"/>
      <c r="I36" s="2674"/>
      <c r="J36" s="3367"/>
      <c r="K36" s="3393"/>
      <c r="L36" s="3393"/>
      <c r="M36" s="3368"/>
      <c r="N36" s="3395"/>
      <c r="O36" s="3435"/>
      <c r="P36" s="2713"/>
      <c r="Q36" s="2539"/>
      <c r="R36" s="1403" t="s">
        <v>828</v>
      </c>
      <c r="S36" s="1856">
        <f>15680000-4000000+2790000</f>
        <v>14470000</v>
      </c>
      <c r="T36" s="1638">
        <v>20</v>
      </c>
      <c r="U36" s="1503" t="s">
        <v>792</v>
      </c>
      <c r="V36" s="3393"/>
      <c r="W36" s="3393"/>
      <c r="X36" s="3393"/>
      <c r="Y36" s="3393"/>
      <c r="Z36" s="3393"/>
      <c r="AA36" s="3355"/>
      <c r="AB36" s="3355"/>
      <c r="AC36" s="3355"/>
      <c r="AD36" s="3355"/>
      <c r="AE36" s="3355"/>
      <c r="AF36" s="3355"/>
      <c r="AG36" s="3355"/>
      <c r="AH36" s="3355"/>
      <c r="AI36" s="3355"/>
      <c r="AJ36" s="3355"/>
      <c r="AK36" s="3355"/>
      <c r="AL36" s="2911"/>
      <c r="AM36" s="2911"/>
      <c r="AN36" s="3352"/>
    </row>
    <row r="37" spans="1:40" ht="99" customHeight="1" x14ac:dyDescent="0.25">
      <c r="A37" s="3440"/>
      <c r="B37" s="3441"/>
      <c r="C37" s="3444"/>
      <c r="D37" s="3444"/>
      <c r="E37" s="3393"/>
      <c r="F37" s="3393"/>
      <c r="G37" s="3393">
        <v>22</v>
      </c>
      <c r="H37" s="3212" t="s">
        <v>829</v>
      </c>
      <c r="I37" s="2674" t="s">
        <v>830</v>
      </c>
      <c r="J37" s="3366">
        <v>3</v>
      </c>
      <c r="K37" s="3393"/>
      <c r="L37" s="3393"/>
      <c r="M37" s="3368"/>
      <c r="N37" s="3369">
        <f>+(S37+S38)/O35</f>
        <v>5.6278618672765797E-2</v>
      </c>
      <c r="O37" s="3435"/>
      <c r="P37" s="2713"/>
      <c r="Q37" s="2539"/>
      <c r="R37" s="1403" t="s">
        <v>831</v>
      </c>
      <c r="S37" s="1856">
        <f>30000000-17500000</f>
        <v>12500000</v>
      </c>
      <c r="T37" s="1638">
        <v>20</v>
      </c>
      <c r="U37" s="1503" t="s">
        <v>792</v>
      </c>
      <c r="V37" s="3393"/>
      <c r="W37" s="3393"/>
      <c r="X37" s="3393"/>
      <c r="Y37" s="3393"/>
      <c r="Z37" s="3393"/>
      <c r="AA37" s="3355"/>
      <c r="AB37" s="3355"/>
      <c r="AC37" s="3355"/>
      <c r="AD37" s="3355"/>
      <c r="AE37" s="3355"/>
      <c r="AF37" s="3355"/>
      <c r="AG37" s="3355"/>
      <c r="AH37" s="3355"/>
      <c r="AI37" s="3355"/>
      <c r="AJ37" s="3355"/>
      <c r="AK37" s="3355"/>
      <c r="AL37" s="2911"/>
      <c r="AM37" s="2911"/>
      <c r="AN37" s="3352"/>
    </row>
    <row r="38" spans="1:40" ht="99" customHeight="1" x14ac:dyDescent="0.25">
      <c r="A38" s="3440"/>
      <c r="B38" s="3441"/>
      <c r="C38" s="3444"/>
      <c r="D38" s="3444"/>
      <c r="E38" s="3393"/>
      <c r="F38" s="3393"/>
      <c r="G38" s="3393"/>
      <c r="H38" s="3212"/>
      <c r="I38" s="2674"/>
      <c r="J38" s="3394"/>
      <c r="K38" s="3393"/>
      <c r="L38" s="3393"/>
      <c r="M38" s="3368"/>
      <c r="N38" s="3369"/>
      <c r="O38" s="3435"/>
      <c r="P38" s="2713"/>
      <c r="Q38" s="2539"/>
      <c r="R38" s="1404" t="s">
        <v>832</v>
      </c>
      <c r="S38" s="1857">
        <f>14300000-6300000</f>
        <v>8000000</v>
      </c>
      <c r="T38" s="1565">
        <v>20</v>
      </c>
      <c r="U38" s="1520" t="s">
        <v>792</v>
      </c>
      <c r="V38" s="3393"/>
      <c r="W38" s="3393"/>
      <c r="X38" s="3393"/>
      <c r="Y38" s="3393"/>
      <c r="Z38" s="3393"/>
      <c r="AA38" s="3355"/>
      <c r="AB38" s="3355"/>
      <c r="AC38" s="3355"/>
      <c r="AD38" s="3355"/>
      <c r="AE38" s="3355"/>
      <c r="AF38" s="3355"/>
      <c r="AG38" s="3355"/>
      <c r="AH38" s="3355"/>
      <c r="AI38" s="3355"/>
      <c r="AJ38" s="3355"/>
      <c r="AK38" s="3355"/>
      <c r="AL38" s="2911"/>
      <c r="AM38" s="2911"/>
      <c r="AN38" s="3352"/>
    </row>
    <row r="39" spans="1:40" ht="84" customHeight="1" x14ac:dyDescent="0.25">
      <c r="A39" s="3440"/>
      <c r="B39" s="3441"/>
      <c r="C39" s="3444"/>
      <c r="D39" s="3444"/>
      <c r="E39" s="3393"/>
      <c r="F39" s="3393"/>
      <c r="G39" s="3393"/>
      <c r="H39" s="3212"/>
      <c r="I39" s="2674"/>
      <c r="J39" s="3367"/>
      <c r="K39" s="3393"/>
      <c r="L39" s="3393"/>
      <c r="M39" s="3368"/>
      <c r="N39" s="3369"/>
      <c r="O39" s="3435"/>
      <c r="P39" s="2713"/>
      <c r="Q39" s="2539"/>
      <c r="R39" s="1405" t="s">
        <v>833</v>
      </c>
      <c r="S39" s="1872">
        <f>0+31300000</f>
        <v>31300000</v>
      </c>
      <c r="T39" s="1565">
        <v>20</v>
      </c>
      <c r="U39" s="1520" t="s">
        <v>792</v>
      </c>
      <c r="V39" s="3437"/>
      <c r="W39" s="3393"/>
      <c r="X39" s="3393"/>
      <c r="Y39" s="3393"/>
      <c r="Z39" s="3393"/>
      <c r="AA39" s="3355"/>
      <c r="AB39" s="3355"/>
      <c r="AC39" s="3355"/>
      <c r="AD39" s="3355"/>
      <c r="AE39" s="3355"/>
      <c r="AF39" s="3355"/>
      <c r="AG39" s="3355"/>
      <c r="AH39" s="3355"/>
      <c r="AI39" s="3355"/>
      <c r="AJ39" s="3355"/>
      <c r="AK39" s="3355"/>
      <c r="AL39" s="2911"/>
      <c r="AM39" s="2911"/>
      <c r="AN39" s="3352"/>
    </row>
    <row r="40" spans="1:40" ht="57" x14ac:dyDescent="0.25">
      <c r="A40" s="3440"/>
      <c r="B40" s="3441"/>
      <c r="C40" s="3444"/>
      <c r="D40" s="3444"/>
      <c r="E40" s="3393"/>
      <c r="F40" s="3393"/>
      <c r="G40" s="3393">
        <v>23</v>
      </c>
      <c r="H40" s="3212" t="s">
        <v>834</v>
      </c>
      <c r="I40" s="2674" t="s">
        <v>835</v>
      </c>
      <c r="J40" s="3366">
        <v>1</v>
      </c>
      <c r="K40" s="3393"/>
      <c r="L40" s="3393"/>
      <c r="M40" s="3368"/>
      <c r="N40" s="3369">
        <f>+(S40+S41+S42)/O35</f>
        <v>0.19129239751796687</v>
      </c>
      <c r="O40" s="3435"/>
      <c r="P40" s="2530"/>
      <c r="Q40" s="3370" t="s">
        <v>836</v>
      </c>
      <c r="R40" s="1579" t="s">
        <v>837</v>
      </c>
      <c r="S40" s="1873">
        <v>18000000</v>
      </c>
      <c r="T40" s="1658">
        <v>20</v>
      </c>
      <c r="U40" s="1522" t="s">
        <v>792</v>
      </c>
      <c r="V40" s="3393"/>
      <c r="W40" s="3393"/>
      <c r="X40" s="3393"/>
      <c r="Y40" s="3393"/>
      <c r="Z40" s="3393"/>
      <c r="AA40" s="3355"/>
      <c r="AB40" s="3355"/>
      <c r="AC40" s="3355"/>
      <c r="AD40" s="3355"/>
      <c r="AE40" s="3355"/>
      <c r="AF40" s="3355"/>
      <c r="AG40" s="3355"/>
      <c r="AH40" s="3355"/>
      <c r="AI40" s="3355"/>
      <c r="AJ40" s="3355"/>
      <c r="AK40" s="3355"/>
      <c r="AL40" s="2911"/>
      <c r="AM40" s="2911"/>
      <c r="AN40" s="3352"/>
    </row>
    <row r="41" spans="1:40" ht="71.25" x14ac:dyDescent="0.25">
      <c r="A41" s="3440"/>
      <c r="B41" s="3441"/>
      <c r="C41" s="3444"/>
      <c r="D41" s="3444"/>
      <c r="E41" s="3393"/>
      <c r="F41" s="3393"/>
      <c r="G41" s="3393"/>
      <c r="H41" s="3212"/>
      <c r="I41" s="2674"/>
      <c r="J41" s="3394"/>
      <c r="K41" s="3393"/>
      <c r="L41" s="3393"/>
      <c r="M41" s="3368"/>
      <c r="N41" s="3369"/>
      <c r="O41" s="3435"/>
      <c r="P41" s="2530"/>
      <c r="Q41" s="3370"/>
      <c r="R41" s="1015" t="s">
        <v>838</v>
      </c>
      <c r="S41" s="1856">
        <f>5000000+2860000</f>
        <v>7860000</v>
      </c>
      <c r="T41" s="1638">
        <v>20</v>
      </c>
      <c r="U41" s="1503" t="s">
        <v>792</v>
      </c>
      <c r="V41" s="3393"/>
      <c r="W41" s="3393"/>
      <c r="X41" s="3393"/>
      <c r="Y41" s="3393"/>
      <c r="Z41" s="3393"/>
      <c r="AA41" s="3355"/>
      <c r="AB41" s="3355"/>
      <c r="AC41" s="3355"/>
      <c r="AD41" s="3355"/>
      <c r="AE41" s="3355"/>
      <c r="AF41" s="3355"/>
      <c r="AG41" s="3355"/>
      <c r="AH41" s="3355"/>
      <c r="AI41" s="3355"/>
      <c r="AJ41" s="3355"/>
      <c r="AK41" s="3355"/>
      <c r="AL41" s="2911"/>
      <c r="AM41" s="2911"/>
      <c r="AN41" s="3352"/>
    </row>
    <row r="42" spans="1:40" ht="48.75" customHeight="1" x14ac:dyDescent="0.25">
      <c r="A42" s="3440"/>
      <c r="B42" s="3441"/>
      <c r="C42" s="3444"/>
      <c r="D42" s="3444"/>
      <c r="E42" s="3393"/>
      <c r="F42" s="3393"/>
      <c r="G42" s="3393"/>
      <c r="H42" s="3212"/>
      <c r="I42" s="2674"/>
      <c r="J42" s="3367"/>
      <c r="K42" s="3393"/>
      <c r="L42" s="3393"/>
      <c r="M42" s="3368"/>
      <c r="N42" s="3369"/>
      <c r="O42" s="3435"/>
      <c r="P42" s="2530"/>
      <c r="Q42" s="3370"/>
      <c r="R42" s="1015" t="s">
        <v>839</v>
      </c>
      <c r="S42" s="1856">
        <f>46680000-2860000</f>
        <v>43820000</v>
      </c>
      <c r="T42" s="1638">
        <v>20</v>
      </c>
      <c r="U42" s="1503" t="s">
        <v>792</v>
      </c>
      <c r="V42" s="3393"/>
      <c r="W42" s="3393"/>
      <c r="X42" s="3393"/>
      <c r="Y42" s="3393"/>
      <c r="Z42" s="3393"/>
      <c r="AA42" s="3355"/>
      <c r="AB42" s="3355"/>
      <c r="AC42" s="3355"/>
      <c r="AD42" s="3355"/>
      <c r="AE42" s="3355"/>
      <c r="AF42" s="3355"/>
      <c r="AG42" s="3355"/>
      <c r="AH42" s="3355"/>
      <c r="AI42" s="3355"/>
      <c r="AJ42" s="3355"/>
      <c r="AK42" s="3355"/>
      <c r="AL42" s="2911"/>
      <c r="AM42" s="2911"/>
      <c r="AN42" s="3352"/>
    </row>
    <row r="43" spans="1:40" ht="71.25" x14ac:dyDescent="0.25">
      <c r="A43" s="3440"/>
      <c r="B43" s="3441"/>
      <c r="C43" s="3444"/>
      <c r="D43" s="3444"/>
      <c r="E43" s="3393"/>
      <c r="F43" s="3393"/>
      <c r="G43" s="1559">
        <v>24</v>
      </c>
      <c r="H43" s="1527" t="s">
        <v>840</v>
      </c>
      <c r="I43" s="1527" t="s">
        <v>841</v>
      </c>
      <c r="J43" s="897">
        <v>1</v>
      </c>
      <c r="K43" s="3393"/>
      <c r="L43" s="3393"/>
      <c r="M43" s="2658"/>
      <c r="N43" s="1578">
        <f>S43/O35</f>
        <v>0.49579848266145532</v>
      </c>
      <c r="O43" s="3435"/>
      <c r="P43" s="2536"/>
      <c r="Q43" s="3371"/>
      <c r="R43" s="1015" t="s">
        <v>842</v>
      </c>
      <c r="S43" s="1856">
        <v>180599118</v>
      </c>
      <c r="T43" s="1638">
        <v>20</v>
      </c>
      <c r="U43" s="1503" t="s">
        <v>792</v>
      </c>
      <c r="V43" s="3393"/>
      <c r="W43" s="3393"/>
      <c r="X43" s="3393"/>
      <c r="Y43" s="3393"/>
      <c r="Z43" s="3393"/>
      <c r="AA43" s="3356"/>
      <c r="AB43" s="3356"/>
      <c r="AC43" s="3356"/>
      <c r="AD43" s="3356"/>
      <c r="AE43" s="3356"/>
      <c r="AF43" s="3356"/>
      <c r="AG43" s="3356"/>
      <c r="AH43" s="3356"/>
      <c r="AI43" s="3356"/>
      <c r="AJ43" s="3356"/>
      <c r="AK43" s="3356"/>
      <c r="AL43" s="2912"/>
      <c r="AM43" s="2912"/>
      <c r="AN43" s="3353"/>
    </row>
    <row r="44" spans="1:40" ht="15" x14ac:dyDescent="0.25">
      <c r="A44" s="3440"/>
      <c r="B44" s="3441"/>
      <c r="C44" s="3444"/>
      <c r="D44" s="3444"/>
      <c r="E44" s="788">
        <v>5</v>
      </c>
      <c r="F44" s="786" t="s">
        <v>843</v>
      </c>
      <c r="G44" s="786"/>
      <c r="H44" s="931"/>
      <c r="I44" s="931"/>
      <c r="J44" s="931"/>
      <c r="K44" s="931"/>
      <c r="L44" s="931"/>
      <c r="M44" s="922"/>
      <c r="N44" s="923"/>
      <c r="O44" s="1854"/>
      <c r="P44" s="922"/>
      <c r="Q44" s="922"/>
      <c r="R44" s="922"/>
      <c r="S44" s="1858"/>
      <c r="T44" s="925"/>
      <c r="U44" s="926"/>
      <c r="V44" s="927"/>
      <c r="W44" s="927"/>
      <c r="X44" s="927"/>
      <c r="Y44" s="927"/>
      <c r="Z44" s="927"/>
      <c r="AA44" s="927"/>
      <c r="AB44" s="927"/>
      <c r="AC44" s="927"/>
      <c r="AD44" s="927"/>
      <c r="AE44" s="927"/>
      <c r="AF44" s="927"/>
      <c r="AG44" s="927"/>
      <c r="AH44" s="927"/>
      <c r="AI44" s="927"/>
      <c r="AJ44" s="927"/>
      <c r="AK44" s="927"/>
      <c r="AL44" s="928"/>
      <c r="AM44" s="929"/>
      <c r="AN44" s="930"/>
    </row>
    <row r="45" spans="1:40" ht="28.5" customHeight="1" x14ac:dyDescent="0.25">
      <c r="A45" s="3440"/>
      <c r="B45" s="3441"/>
      <c r="C45" s="3444"/>
      <c r="D45" s="3444"/>
      <c r="E45" s="3393"/>
      <c r="F45" s="3393"/>
      <c r="G45" s="3354">
        <v>25</v>
      </c>
      <c r="H45" s="2842" t="s">
        <v>844</v>
      </c>
      <c r="I45" s="2842" t="s">
        <v>845</v>
      </c>
      <c r="J45" s="3357">
        <v>2</v>
      </c>
      <c r="K45" s="2842" t="s">
        <v>846</v>
      </c>
      <c r="L45" s="3357" t="s">
        <v>847</v>
      </c>
      <c r="M45" s="3029" t="s">
        <v>848</v>
      </c>
      <c r="N45" s="3360">
        <f>SUM(S45:S49)/O45</f>
        <v>0.17401521277967255</v>
      </c>
      <c r="O45" s="2970">
        <f>SUM(S45:S53)</f>
        <v>1365168000</v>
      </c>
      <c r="P45" s="3029" t="s">
        <v>849</v>
      </c>
      <c r="Q45" s="3029" t="s">
        <v>850</v>
      </c>
      <c r="R45" s="1527" t="s">
        <v>851</v>
      </c>
      <c r="S45" s="1867">
        <f>118780000-54780000</f>
        <v>64000000</v>
      </c>
      <c r="T45" s="1638">
        <v>20</v>
      </c>
      <c r="U45" s="1637" t="s">
        <v>756</v>
      </c>
      <c r="V45" s="3354">
        <v>600</v>
      </c>
      <c r="W45" s="3354">
        <v>600</v>
      </c>
      <c r="X45" s="3354">
        <v>125</v>
      </c>
      <c r="Y45" s="3354">
        <v>75</v>
      </c>
      <c r="Z45" s="3354">
        <v>300</v>
      </c>
      <c r="AA45" s="3354">
        <v>700</v>
      </c>
      <c r="AB45" s="3354">
        <v>50</v>
      </c>
      <c r="AC45" s="3354">
        <v>30</v>
      </c>
      <c r="AD45" s="3354"/>
      <c r="AE45" s="3354"/>
      <c r="AF45" s="3354"/>
      <c r="AG45" s="3354"/>
      <c r="AH45" s="3354"/>
      <c r="AI45" s="3354">
        <v>10</v>
      </c>
      <c r="AJ45" s="3354">
        <v>10</v>
      </c>
      <c r="AK45" s="3354">
        <f>V45+W45</f>
        <v>1200</v>
      </c>
      <c r="AL45" s="2910">
        <v>43466</v>
      </c>
      <c r="AM45" s="2910">
        <v>43830</v>
      </c>
      <c r="AN45" s="3351" t="s">
        <v>827</v>
      </c>
    </row>
    <row r="46" spans="1:40" ht="28.5" customHeight="1" x14ac:dyDescent="0.25">
      <c r="A46" s="3440"/>
      <c r="B46" s="3441"/>
      <c r="C46" s="3444"/>
      <c r="D46" s="3444"/>
      <c r="E46" s="3393"/>
      <c r="F46" s="3393"/>
      <c r="G46" s="3355"/>
      <c r="H46" s="2843"/>
      <c r="I46" s="2843"/>
      <c r="J46" s="3358"/>
      <c r="K46" s="2843"/>
      <c r="L46" s="3358"/>
      <c r="M46" s="3159"/>
      <c r="N46" s="3361"/>
      <c r="O46" s="2938"/>
      <c r="P46" s="3159"/>
      <c r="Q46" s="3159"/>
      <c r="R46" s="1517" t="s">
        <v>852</v>
      </c>
      <c r="S46" s="1867">
        <f>0+54780000</f>
        <v>54780000</v>
      </c>
      <c r="T46" s="1638">
        <v>20</v>
      </c>
      <c r="U46" s="1637" t="s">
        <v>756</v>
      </c>
      <c r="V46" s="3355"/>
      <c r="W46" s="3355"/>
      <c r="X46" s="3355"/>
      <c r="Y46" s="3355"/>
      <c r="Z46" s="3355"/>
      <c r="AA46" s="3355"/>
      <c r="AB46" s="3355"/>
      <c r="AC46" s="3355"/>
      <c r="AD46" s="3355"/>
      <c r="AE46" s="3355"/>
      <c r="AF46" s="3355"/>
      <c r="AG46" s="3355"/>
      <c r="AH46" s="3355"/>
      <c r="AI46" s="3355"/>
      <c r="AJ46" s="3355"/>
      <c r="AK46" s="3355"/>
      <c r="AL46" s="2911"/>
      <c r="AM46" s="2911"/>
      <c r="AN46" s="3352"/>
    </row>
    <row r="47" spans="1:40" ht="28.5" customHeight="1" x14ac:dyDescent="0.25">
      <c r="A47" s="3440"/>
      <c r="B47" s="3441"/>
      <c r="C47" s="3444"/>
      <c r="D47" s="3444"/>
      <c r="E47" s="3393"/>
      <c r="F47" s="3393"/>
      <c r="G47" s="3355"/>
      <c r="H47" s="2843"/>
      <c r="I47" s="2843"/>
      <c r="J47" s="3358"/>
      <c r="K47" s="3358"/>
      <c r="L47" s="3358"/>
      <c r="M47" s="3159"/>
      <c r="N47" s="3361"/>
      <c r="O47" s="2938"/>
      <c r="P47" s="3159"/>
      <c r="Q47" s="3159"/>
      <c r="R47" s="3215" t="s">
        <v>853</v>
      </c>
      <c r="S47" s="1867">
        <f>118780000-26739532+4032000</f>
        <v>96072468</v>
      </c>
      <c r="T47" s="1377">
        <v>20</v>
      </c>
      <c r="U47" s="1378" t="s">
        <v>756</v>
      </c>
      <c r="V47" s="3355"/>
      <c r="W47" s="3355"/>
      <c r="X47" s="3355"/>
      <c r="Y47" s="3355"/>
      <c r="Z47" s="3355"/>
      <c r="AA47" s="3355"/>
      <c r="AB47" s="3355"/>
      <c r="AC47" s="3355"/>
      <c r="AD47" s="3355"/>
      <c r="AE47" s="3355"/>
      <c r="AF47" s="3355"/>
      <c r="AG47" s="3355"/>
      <c r="AH47" s="3355"/>
      <c r="AI47" s="3355"/>
      <c r="AJ47" s="3355"/>
      <c r="AK47" s="3355"/>
      <c r="AL47" s="2911"/>
      <c r="AM47" s="2911"/>
      <c r="AN47" s="3352"/>
    </row>
    <row r="48" spans="1:40" ht="28.5" customHeight="1" x14ac:dyDescent="0.25">
      <c r="A48" s="3440"/>
      <c r="B48" s="3441"/>
      <c r="C48" s="3444"/>
      <c r="D48" s="3444"/>
      <c r="E48" s="3393"/>
      <c r="F48" s="3393"/>
      <c r="G48" s="3355"/>
      <c r="H48" s="2843"/>
      <c r="I48" s="2843"/>
      <c r="J48" s="3358"/>
      <c r="K48" s="3358"/>
      <c r="L48" s="3358"/>
      <c r="M48" s="3159"/>
      <c r="N48" s="3361"/>
      <c r="O48" s="2938"/>
      <c r="P48" s="3159"/>
      <c r="Q48" s="3159"/>
      <c r="R48" s="3410"/>
      <c r="S48" s="1867">
        <f>50000000-50000000</f>
        <v>0</v>
      </c>
      <c r="T48" s="1377">
        <v>88</v>
      </c>
      <c r="U48" s="1379" t="s">
        <v>623</v>
      </c>
      <c r="V48" s="3355"/>
      <c r="W48" s="3355"/>
      <c r="X48" s="3355"/>
      <c r="Y48" s="3355"/>
      <c r="Z48" s="3355"/>
      <c r="AA48" s="3355"/>
      <c r="AB48" s="3355"/>
      <c r="AC48" s="3355"/>
      <c r="AD48" s="3355"/>
      <c r="AE48" s="3355"/>
      <c r="AF48" s="3355"/>
      <c r="AG48" s="3355"/>
      <c r="AH48" s="3355"/>
      <c r="AI48" s="3355"/>
      <c r="AJ48" s="3355"/>
      <c r="AK48" s="3355"/>
      <c r="AL48" s="2911"/>
      <c r="AM48" s="2911"/>
      <c r="AN48" s="3352"/>
    </row>
    <row r="49" spans="1:40" ht="28.5" customHeight="1" x14ac:dyDescent="0.25">
      <c r="A49" s="3440"/>
      <c r="B49" s="3441"/>
      <c r="C49" s="3444"/>
      <c r="D49" s="3444"/>
      <c r="E49" s="3393"/>
      <c r="F49" s="3393"/>
      <c r="G49" s="3355"/>
      <c r="H49" s="2843"/>
      <c r="I49" s="2843"/>
      <c r="J49" s="3358"/>
      <c r="K49" s="3358"/>
      <c r="L49" s="3358"/>
      <c r="M49" s="3159"/>
      <c r="N49" s="3361"/>
      <c r="O49" s="2938"/>
      <c r="P49" s="3159"/>
      <c r="Q49" s="3418"/>
      <c r="R49" s="3449" t="s">
        <v>854</v>
      </c>
      <c r="S49" s="1874">
        <f>0+26739532-4032000</f>
        <v>22707532</v>
      </c>
      <c r="T49" s="1377">
        <v>20</v>
      </c>
      <c r="U49" s="1378" t="s">
        <v>756</v>
      </c>
      <c r="V49" s="3355"/>
      <c r="W49" s="3355"/>
      <c r="X49" s="3355"/>
      <c r="Y49" s="3355"/>
      <c r="Z49" s="3355"/>
      <c r="AA49" s="3355"/>
      <c r="AB49" s="3355"/>
      <c r="AC49" s="3355"/>
      <c r="AD49" s="3355"/>
      <c r="AE49" s="3355"/>
      <c r="AF49" s="3355"/>
      <c r="AG49" s="3355"/>
      <c r="AH49" s="3355"/>
      <c r="AI49" s="3355"/>
      <c r="AJ49" s="3355"/>
      <c r="AK49" s="3355"/>
      <c r="AL49" s="2911"/>
      <c r="AM49" s="2911"/>
      <c r="AN49" s="3352"/>
    </row>
    <row r="50" spans="1:40" ht="34.5" customHeight="1" x14ac:dyDescent="0.25">
      <c r="A50" s="3440"/>
      <c r="B50" s="3441"/>
      <c r="C50" s="3444"/>
      <c r="D50" s="3444"/>
      <c r="E50" s="3393"/>
      <c r="F50" s="3393"/>
      <c r="G50" s="3356"/>
      <c r="H50" s="3134"/>
      <c r="I50" s="3134"/>
      <c r="J50" s="3359"/>
      <c r="K50" s="3358"/>
      <c r="L50" s="3358"/>
      <c r="M50" s="3159"/>
      <c r="N50" s="3362"/>
      <c r="O50" s="2938"/>
      <c r="P50" s="3159"/>
      <c r="Q50" s="3418"/>
      <c r="R50" s="3449"/>
      <c r="S50" s="1875">
        <f>0+50000000</f>
        <v>50000000</v>
      </c>
      <c r="T50" s="1377">
        <v>88</v>
      </c>
      <c r="U50" s="1379" t="s">
        <v>623</v>
      </c>
      <c r="V50" s="3355"/>
      <c r="W50" s="3355"/>
      <c r="X50" s="3355"/>
      <c r="Y50" s="3355"/>
      <c r="Z50" s="3355"/>
      <c r="AA50" s="3355"/>
      <c r="AB50" s="3355"/>
      <c r="AC50" s="3355"/>
      <c r="AD50" s="3355"/>
      <c r="AE50" s="3355"/>
      <c r="AF50" s="3355"/>
      <c r="AG50" s="3355"/>
      <c r="AH50" s="3355"/>
      <c r="AI50" s="3355"/>
      <c r="AJ50" s="3355"/>
      <c r="AK50" s="3355"/>
      <c r="AL50" s="2911"/>
      <c r="AM50" s="2911"/>
      <c r="AN50" s="3352"/>
    </row>
    <row r="51" spans="1:40" ht="103.5" customHeight="1" x14ac:dyDescent="0.25">
      <c r="A51" s="3440"/>
      <c r="B51" s="3441"/>
      <c r="C51" s="3444"/>
      <c r="D51" s="3444"/>
      <c r="E51" s="3393"/>
      <c r="F51" s="3393"/>
      <c r="G51" s="1563">
        <v>26</v>
      </c>
      <c r="H51" s="1527" t="s">
        <v>855</v>
      </c>
      <c r="I51" s="1527" t="s">
        <v>856</v>
      </c>
      <c r="J51" s="874">
        <v>2</v>
      </c>
      <c r="K51" s="3358"/>
      <c r="L51" s="3358"/>
      <c r="M51" s="3159"/>
      <c r="N51" s="1578">
        <f>S51/O45</f>
        <v>3.2486844110028952E-2</v>
      </c>
      <c r="O51" s="2938"/>
      <c r="P51" s="3159"/>
      <c r="Q51" s="3030"/>
      <c r="R51" s="1519" t="s">
        <v>857</v>
      </c>
      <c r="S51" s="1867">
        <v>44350000</v>
      </c>
      <c r="T51" s="1638">
        <v>20</v>
      </c>
      <c r="U51" s="1637" t="s">
        <v>756</v>
      </c>
      <c r="V51" s="3355"/>
      <c r="W51" s="3355"/>
      <c r="X51" s="3355"/>
      <c r="Y51" s="3355"/>
      <c r="Z51" s="3355"/>
      <c r="AA51" s="3355"/>
      <c r="AB51" s="3355"/>
      <c r="AC51" s="3355"/>
      <c r="AD51" s="3355"/>
      <c r="AE51" s="3355"/>
      <c r="AF51" s="3355"/>
      <c r="AG51" s="3355"/>
      <c r="AH51" s="3355"/>
      <c r="AI51" s="3355"/>
      <c r="AJ51" s="3355"/>
      <c r="AK51" s="3355"/>
      <c r="AL51" s="2911"/>
      <c r="AM51" s="2911"/>
      <c r="AN51" s="3352"/>
    </row>
    <row r="52" spans="1:40" ht="42.75" x14ac:dyDescent="0.25">
      <c r="A52" s="3440"/>
      <c r="B52" s="3441"/>
      <c r="C52" s="3444"/>
      <c r="D52" s="3444"/>
      <c r="E52" s="3393"/>
      <c r="F52" s="3393"/>
      <c r="G52" s="1563">
        <v>27</v>
      </c>
      <c r="H52" s="1527" t="s">
        <v>858</v>
      </c>
      <c r="I52" s="1527" t="s">
        <v>859</v>
      </c>
      <c r="J52" s="1370">
        <f>3+1.5</f>
        <v>4.5</v>
      </c>
      <c r="K52" s="3358"/>
      <c r="L52" s="3358"/>
      <c r="M52" s="3159"/>
      <c r="N52" s="1578">
        <f>S52/O45</f>
        <v>0.7325105774527384</v>
      </c>
      <c r="O52" s="2938"/>
      <c r="P52" s="3159"/>
      <c r="Q52" s="1527" t="s">
        <v>860</v>
      </c>
      <c r="R52" s="1527" t="s">
        <v>861</v>
      </c>
      <c r="S52" s="1856">
        <v>1000000000</v>
      </c>
      <c r="T52" s="1638">
        <v>46</v>
      </c>
      <c r="U52" s="1527" t="s">
        <v>862</v>
      </c>
      <c r="V52" s="3355"/>
      <c r="W52" s="3355"/>
      <c r="X52" s="3355"/>
      <c r="Y52" s="3355"/>
      <c r="Z52" s="3355"/>
      <c r="AA52" s="3355"/>
      <c r="AB52" s="3355"/>
      <c r="AC52" s="3355"/>
      <c r="AD52" s="3355"/>
      <c r="AE52" s="3355"/>
      <c r="AF52" s="3355"/>
      <c r="AG52" s="3355"/>
      <c r="AH52" s="3355"/>
      <c r="AI52" s="3355"/>
      <c r="AJ52" s="3355"/>
      <c r="AK52" s="3355"/>
      <c r="AL52" s="2911"/>
      <c r="AM52" s="2911"/>
      <c r="AN52" s="3352"/>
    </row>
    <row r="53" spans="1:40" ht="57" x14ac:dyDescent="0.25">
      <c r="A53" s="3440"/>
      <c r="B53" s="3441"/>
      <c r="C53" s="3444"/>
      <c r="D53" s="3444"/>
      <c r="E53" s="3393"/>
      <c r="F53" s="3393"/>
      <c r="G53" s="1563">
        <v>28</v>
      </c>
      <c r="H53" s="1527" t="s">
        <v>863</v>
      </c>
      <c r="I53" s="1527" t="s">
        <v>864</v>
      </c>
      <c r="J53" s="874">
        <v>2</v>
      </c>
      <c r="K53" s="3359"/>
      <c r="L53" s="3359"/>
      <c r="M53" s="3030"/>
      <c r="N53" s="1578">
        <f>S53/O45</f>
        <v>2.4361836784923173E-2</v>
      </c>
      <c r="O53" s="2939"/>
      <c r="P53" s="3030"/>
      <c r="Q53" s="1527" t="s">
        <v>865</v>
      </c>
      <c r="R53" s="1527" t="s">
        <v>866</v>
      </c>
      <c r="S53" s="1856">
        <v>33258000</v>
      </c>
      <c r="T53" s="1638">
        <v>20</v>
      </c>
      <c r="U53" s="1637" t="s">
        <v>756</v>
      </c>
      <c r="V53" s="3356"/>
      <c r="W53" s="3356"/>
      <c r="X53" s="3356"/>
      <c r="Y53" s="3356"/>
      <c r="Z53" s="3356"/>
      <c r="AA53" s="3356"/>
      <c r="AB53" s="3356"/>
      <c r="AC53" s="3356"/>
      <c r="AD53" s="3356"/>
      <c r="AE53" s="3356"/>
      <c r="AF53" s="3356"/>
      <c r="AG53" s="3356"/>
      <c r="AH53" s="3356"/>
      <c r="AI53" s="3356"/>
      <c r="AJ53" s="3356"/>
      <c r="AK53" s="3356"/>
      <c r="AL53" s="2912"/>
      <c r="AM53" s="2912"/>
      <c r="AN53" s="3353"/>
    </row>
    <row r="54" spans="1:40" ht="70.5" customHeight="1" x14ac:dyDescent="0.25">
      <c r="A54" s="3440"/>
      <c r="B54" s="3441"/>
      <c r="C54" s="3444"/>
      <c r="D54" s="3444"/>
      <c r="E54" s="3393"/>
      <c r="F54" s="3393"/>
      <c r="G54" s="3354">
        <v>29</v>
      </c>
      <c r="H54" s="2842" t="s">
        <v>867</v>
      </c>
      <c r="I54" s="2842" t="s">
        <v>868</v>
      </c>
      <c r="J54" s="3357">
        <v>1</v>
      </c>
      <c r="K54" s="1353" t="s">
        <v>869</v>
      </c>
      <c r="L54" s="3357" t="s">
        <v>870</v>
      </c>
      <c r="M54" s="2842" t="s">
        <v>871</v>
      </c>
      <c r="N54" s="3360">
        <f>SUM(S54:S56)/O54</f>
        <v>1</v>
      </c>
      <c r="O54" s="2970">
        <f>SUM(S54:S56)</f>
        <v>122170000</v>
      </c>
      <c r="P54" s="2842" t="s">
        <v>872</v>
      </c>
      <c r="Q54" s="3363" t="s">
        <v>873</v>
      </c>
      <c r="R54" s="1527" t="s">
        <v>874</v>
      </c>
      <c r="S54" s="1856">
        <v>15000000</v>
      </c>
      <c r="T54" s="1638">
        <v>20</v>
      </c>
      <c r="U54" s="1503" t="s">
        <v>792</v>
      </c>
      <c r="V54" s="3348">
        <v>210</v>
      </c>
      <c r="W54" s="3348">
        <v>140</v>
      </c>
      <c r="X54" s="3348"/>
      <c r="Y54" s="3348"/>
      <c r="Z54" s="3348"/>
      <c r="AA54" s="3348"/>
      <c r="AB54" s="3348"/>
      <c r="AC54" s="3348"/>
      <c r="AD54" s="3348"/>
      <c r="AE54" s="3348"/>
      <c r="AF54" s="3348"/>
      <c r="AG54" s="3348"/>
      <c r="AH54" s="3348"/>
      <c r="AI54" s="3348"/>
      <c r="AJ54" s="3348"/>
      <c r="AK54" s="3348">
        <f>V54+W54</f>
        <v>350</v>
      </c>
      <c r="AL54" s="2910">
        <v>43466</v>
      </c>
      <c r="AM54" s="2910">
        <v>43830</v>
      </c>
      <c r="AN54" s="3351" t="s">
        <v>875</v>
      </c>
    </row>
    <row r="55" spans="1:40" ht="45.75" customHeight="1" x14ac:dyDescent="0.25">
      <c r="A55" s="3440"/>
      <c r="B55" s="3441"/>
      <c r="C55" s="3444"/>
      <c r="D55" s="3444"/>
      <c r="E55" s="3393"/>
      <c r="F55" s="3393"/>
      <c r="G55" s="3355"/>
      <c r="H55" s="2843"/>
      <c r="I55" s="2843"/>
      <c r="J55" s="3358"/>
      <c r="K55" s="1354" t="s">
        <v>876</v>
      </c>
      <c r="L55" s="3358"/>
      <c r="M55" s="2843"/>
      <c r="N55" s="3361"/>
      <c r="O55" s="2938"/>
      <c r="P55" s="2843"/>
      <c r="Q55" s="3364"/>
      <c r="R55" s="2842" t="s">
        <v>877</v>
      </c>
      <c r="S55" s="1867">
        <v>7170000</v>
      </c>
      <c r="T55" s="1377">
        <v>20</v>
      </c>
      <c r="U55" s="1379" t="s">
        <v>792</v>
      </c>
      <c r="V55" s="3349"/>
      <c r="W55" s="3349"/>
      <c r="X55" s="3350"/>
      <c r="Y55" s="3350"/>
      <c r="Z55" s="3350"/>
      <c r="AA55" s="3350"/>
      <c r="AB55" s="3350"/>
      <c r="AC55" s="3350"/>
      <c r="AD55" s="3350"/>
      <c r="AE55" s="3350"/>
      <c r="AF55" s="3350"/>
      <c r="AG55" s="3350"/>
      <c r="AH55" s="3350"/>
      <c r="AI55" s="3350"/>
      <c r="AJ55" s="3350"/>
      <c r="AK55" s="3349"/>
      <c r="AL55" s="2911"/>
      <c r="AM55" s="2911"/>
      <c r="AN55" s="3352"/>
    </row>
    <row r="56" spans="1:40" ht="45.75" customHeight="1" x14ac:dyDescent="0.25">
      <c r="A56" s="3440"/>
      <c r="B56" s="3441"/>
      <c r="C56" s="3444"/>
      <c r="D56" s="3444"/>
      <c r="E56" s="3393"/>
      <c r="F56" s="3393"/>
      <c r="G56" s="3356"/>
      <c r="H56" s="3134"/>
      <c r="I56" s="3134"/>
      <c r="J56" s="3359"/>
      <c r="K56" s="1355"/>
      <c r="L56" s="3359"/>
      <c r="M56" s="3134"/>
      <c r="N56" s="3362"/>
      <c r="O56" s="2939"/>
      <c r="P56" s="3134"/>
      <c r="Q56" s="3365"/>
      <c r="R56" s="3134"/>
      <c r="S56" s="1876">
        <v>100000000</v>
      </c>
      <c r="T56" s="1725">
        <v>88</v>
      </c>
      <c r="U56" s="1726" t="s">
        <v>623</v>
      </c>
      <c r="V56" s="3350"/>
      <c r="W56" s="3350"/>
      <c r="X56" s="1566"/>
      <c r="Y56" s="1566"/>
      <c r="Z56" s="1566"/>
      <c r="AA56" s="1566"/>
      <c r="AB56" s="1566"/>
      <c r="AC56" s="1566"/>
      <c r="AD56" s="1566"/>
      <c r="AE56" s="1566"/>
      <c r="AF56" s="1566"/>
      <c r="AG56" s="1566"/>
      <c r="AH56" s="1566"/>
      <c r="AI56" s="1566"/>
      <c r="AJ56" s="1566"/>
      <c r="AK56" s="3350"/>
      <c r="AL56" s="2912"/>
      <c r="AM56" s="2912"/>
      <c r="AN56" s="3353"/>
    </row>
    <row r="57" spans="1:40" ht="96.75" customHeight="1" x14ac:dyDescent="0.25">
      <c r="A57" s="3440"/>
      <c r="B57" s="3441"/>
      <c r="C57" s="3444"/>
      <c r="D57" s="3444"/>
      <c r="E57" s="3393"/>
      <c r="F57" s="3393"/>
      <c r="G57" s="3393">
        <v>30</v>
      </c>
      <c r="H57" s="3029" t="s">
        <v>878</v>
      </c>
      <c r="I57" s="3029" t="s">
        <v>879</v>
      </c>
      <c r="J57" s="3357">
        <v>1</v>
      </c>
      <c r="K57" s="3357" t="s">
        <v>880</v>
      </c>
      <c r="L57" s="3357" t="s">
        <v>881</v>
      </c>
      <c r="M57" s="3029" t="s">
        <v>882</v>
      </c>
      <c r="N57" s="3360">
        <f>S57/O57</f>
        <v>1</v>
      </c>
      <c r="O57" s="2970">
        <v>22169913</v>
      </c>
      <c r="P57" s="3029" t="s">
        <v>883</v>
      </c>
      <c r="Q57" s="1517" t="s">
        <v>884</v>
      </c>
      <c r="R57" s="3235" t="s">
        <v>885</v>
      </c>
      <c r="S57" s="3445">
        <v>22169913</v>
      </c>
      <c r="T57" s="3447">
        <v>20</v>
      </c>
      <c r="U57" s="2842" t="s">
        <v>792</v>
      </c>
      <c r="V57" s="3416">
        <v>8</v>
      </c>
      <c r="W57" s="3416">
        <v>12</v>
      </c>
      <c r="X57" s="3416"/>
      <c r="Y57" s="3416"/>
      <c r="Z57" s="3416"/>
      <c r="AA57" s="3416"/>
      <c r="AB57" s="3416"/>
      <c r="AC57" s="3416"/>
      <c r="AD57" s="3416"/>
      <c r="AE57" s="3416"/>
      <c r="AF57" s="3416"/>
      <c r="AG57" s="3416"/>
      <c r="AH57" s="3416"/>
      <c r="AI57" s="3416"/>
      <c r="AJ57" s="3416"/>
      <c r="AK57" s="3416">
        <f>+V57+W57</f>
        <v>20</v>
      </c>
      <c r="AL57" s="2910">
        <v>43101</v>
      </c>
      <c r="AM57" s="2910">
        <v>43465</v>
      </c>
      <c r="AN57" s="3351" t="s">
        <v>827</v>
      </c>
    </row>
    <row r="58" spans="1:40" ht="80.25" customHeight="1" x14ac:dyDescent="0.25">
      <c r="A58" s="3440"/>
      <c r="B58" s="3441"/>
      <c r="C58" s="3444"/>
      <c r="D58" s="3444"/>
      <c r="E58" s="3393"/>
      <c r="F58" s="3393"/>
      <c r="G58" s="3354"/>
      <c r="H58" s="3159"/>
      <c r="I58" s="3159"/>
      <c r="J58" s="3358"/>
      <c r="K58" s="3358"/>
      <c r="L58" s="3358"/>
      <c r="M58" s="3159"/>
      <c r="N58" s="3361"/>
      <c r="O58" s="2938"/>
      <c r="P58" s="3159"/>
      <c r="Q58" s="1517" t="s">
        <v>886</v>
      </c>
      <c r="R58" s="2845"/>
      <c r="S58" s="3446"/>
      <c r="T58" s="3448"/>
      <c r="U58" s="3134"/>
      <c r="V58" s="3417"/>
      <c r="W58" s="3417"/>
      <c r="X58" s="3417"/>
      <c r="Y58" s="3417"/>
      <c r="Z58" s="3417"/>
      <c r="AA58" s="3417"/>
      <c r="AB58" s="3417"/>
      <c r="AC58" s="3417"/>
      <c r="AD58" s="3417"/>
      <c r="AE58" s="3417"/>
      <c r="AF58" s="3417"/>
      <c r="AG58" s="3417"/>
      <c r="AH58" s="3417"/>
      <c r="AI58" s="3417"/>
      <c r="AJ58" s="3417"/>
      <c r="AK58" s="3417"/>
      <c r="AL58" s="2911"/>
      <c r="AM58" s="2911"/>
      <c r="AN58" s="3352"/>
    </row>
    <row r="59" spans="1:40" ht="15.75" thickBot="1" x14ac:dyDescent="0.3">
      <c r="A59" s="3440"/>
      <c r="B59" s="3441"/>
      <c r="C59" s="3444"/>
      <c r="D59" s="3444"/>
      <c r="E59" s="788">
        <v>6</v>
      </c>
      <c r="F59" s="3407" t="s">
        <v>887</v>
      </c>
      <c r="G59" s="3408"/>
      <c r="H59" s="3408"/>
      <c r="I59" s="3408"/>
      <c r="J59" s="3408"/>
      <c r="K59" s="3408"/>
      <c r="L59" s="3408"/>
      <c r="M59" s="3408"/>
      <c r="N59" s="3408"/>
      <c r="O59" s="3408"/>
      <c r="P59" s="3408"/>
      <c r="Q59" s="3408"/>
      <c r="R59" s="3408"/>
      <c r="S59" s="3408"/>
      <c r="T59" s="3408"/>
      <c r="U59" s="3408"/>
      <c r="V59" s="3408"/>
      <c r="W59" s="3408"/>
      <c r="X59" s="3408"/>
      <c r="Y59" s="3408"/>
      <c r="Z59" s="3408"/>
      <c r="AA59" s="3408"/>
      <c r="AB59" s="3408"/>
      <c r="AC59" s="3408"/>
      <c r="AD59" s="3408"/>
      <c r="AE59" s="3408"/>
      <c r="AF59" s="3408"/>
      <c r="AG59" s="3408"/>
      <c r="AH59" s="3408"/>
      <c r="AI59" s="3408"/>
      <c r="AJ59" s="3408"/>
      <c r="AK59" s="3408"/>
      <c r="AL59" s="3408"/>
      <c r="AM59" s="3408"/>
      <c r="AN59" s="3409"/>
    </row>
    <row r="60" spans="1:40" ht="185.25" x14ac:dyDescent="0.25">
      <c r="A60" s="3440"/>
      <c r="B60" s="3441"/>
      <c r="C60" s="3444"/>
      <c r="D60" s="3444"/>
      <c r="E60" s="3393"/>
      <c r="F60" s="3393"/>
      <c r="G60" s="1563">
        <v>31</v>
      </c>
      <c r="H60" s="1527" t="s">
        <v>888</v>
      </c>
      <c r="I60" s="1504" t="s">
        <v>889</v>
      </c>
      <c r="J60" s="932">
        <v>4</v>
      </c>
      <c r="K60" s="3357" t="s">
        <v>890</v>
      </c>
      <c r="L60" s="3357" t="s">
        <v>891</v>
      </c>
      <c r="M60" s="3029" t="s">
        <v>892</v>
      </c>
      <c r="N60" s="1578">
        <f>S60/O60</f>
        <v>0.23406268389278892</v>
      </c>
      <c r="O60" s="2970">
        <v>475120588</v>
      </c>
      <c r="P60" s="3215" t="s">
        <v>893</v>
      </c>
      <c r="Q60" s="1527" t="s">
        <v>894</v>
      </c>
      <c r="R60" s="1527" t="s">
        <v>895</v>
      </c>
      <c r="S60" s="1856">
        <f>164708000-50000000-3500000</f>
        <v>111208000</v>
      </c>
      <c r="T60" s="1638">
        <v>20</v>
      </c>
      <c r="U60" s="1503" t="s">
        <v>792</v>
      </c>
      <c r="V60" s="3354">
        <v>170</v>
      </c>
      <c r="W60" s="3354">
        <v>200</v>
      </c>
      <c r="X60" s="3354"/>
      <c r="Y60" s="3354"/>
      <c r="Z60" s="3354">
        <v>300</v>
      </c>
      <c r="AA60" s="3354">
        <v>10</v>
      </c>
      <c r="AB60" s="3354"/>
      <c r="AC60" s="3354"/>
      <c r="AD60" s="3354"/>
      <c r="AE60" s="3354"/>
      <c r="AF60" s="3354"/>
      <c r="AG60" s="3354"/>
      <c r="AH60" s="3354"/>
      <c r="AI60" s="3354"/>
      <c r="AJ60" s="3354"/>
      <c r="AK60" s="3354">
        <f>V60+W60</f>
        <v>370</v>
      </c>
      <c r="AL60" s="2910">
        <v>43466</v>
      </c>
      <c r="AM60" s="2910">
        <v>43830</v>
      </c>
      <c r="AN60" s="3351" t="s">
        <v>875</v>
      </c>
    </row>
    <row r="61" spans="1:40" ht="242.25" x14ac:dyDescent="0.25">
      <c r="A61" s="3440"/>
      <c r="B61" s="3441"/>
      <c r="C61" s="3444"/>
      <c r="D61" s="3444"/>
      <c r="E61" s="3393"/>
      <c r="F61" s="3393"/>
      <c r="G61" s="1563">
        <v>32</v>
      </c>
      <c r="H61" s="1527" t="s">
        <v>896</v>
      </c>
      <c r="I61" s="1504" t="s">
        <v>897</v>
      </c>
      <c r="J61" s="897">
        <v>25</v>
      </c>
      <c r="K61" s="3358"/>
      <c r="L61" s="3358"/>
      <c r="M61" s="3159"/>
      <c r="N61" s="1578">
        <f>S61/O60</f>
        <v>0.63965358621756885</v>
      </c>
      <c r="O61" s="2938"/>
      <c r="P61" s="3410"/>
      <c r="Q61" s="1527" t="s">
        <v>898</v>
      </c>
      <c r="R61" s="1527" t="s">
        <v>899</v>
      </c>
      <c r="S61" s="1856">
        <f>250412588+50000000+3500000</f>
        <v>303912588</v>
      </c>
      <c r="T61" s="1638">
        <v>20</v>
      </c>
      <c r="U61" s="1503" t="s">
        <v>792</v>
      </c>
      <c r="V61" s="3355"/>
      <c r="W61" s="3355"/>
      <c r="X61" s="3355"/>
      <c r="Y61" s="3355"/>
      <c r="Z61" s="3355"/>
      <c r="AA61" s="3355"/>
      <c r="AB61" s="3355"/>
      <c r="AC61" s="3355"/>
      <c r="AD61" s="3355"/>
      <c r="AE61" s="3355"/>
      <c r="AF61" s="3355"/>
      <c r="AG61" s="3355"/>
      <c r="AH61" s="3355"/>
      <c r="AI61" s="3355"/>
      <c r="AJ61" s="3355"/>
      <c r="AK61" s="3355"/>
      <c r="AL61" s="2911"/>
      <c r="AM61" s="2911"/>
      <c r="AN61" s="3352"/>
    </row>
    <row r="62" spans="1:40" ht="52.5" customHeight="1" x14ac:dyDescent="0.25">
      <c r="A62" s="3440"/>
      <c r="B62" s="3441"/>
      <c r="C62" s="3444"/>
      <c r="D62" s="3444"/>
      <c r="E62" s="3393"/>
      <c r="F62" s="3393"/>
      <c r="G62" s="1563">
        <v>33</v>
      </c>
      <c r="H62" s="1527" t="s">
        <v>900</v>
      </c>
      <c r="I62" s="1504" t="s">
        <v>901</v>
      </c>
      <c r="J62" s="897">
        <v>200</v>
      </c>
      <c r="K62" s="3358"/>
      <c r="L62" s="3358"/>
      <c r="M62" s="3159"/>
      <c r="N62" s="1578">
        <f>S62/O60</f>
        <v>6.314186494482113E-2</v>
      </c>
      <c r="O62" s="2938"/>
      <c r="P62" s="3410"/>
      <c r="Q62" s="3029" t="s">
        <v>902</v>
      </c>
      <c r="R62" s="1527" t="s">
        <v>903</v>
      </c>
      <c r="S62" s="1856">
        <v>30000000</v>
      </c>
      <c r="T62" s="1638">
        <v>20</v>
      </c>
      <c r="U62" s="1503" t="s">
        <v>792</v>
      </c>
      <c r="V62" s="3355"/>
      <c r="W62" s="3355"/>
      <c r="X62" s="3355"/>
      <c r="Y62" s="3355"/>
      <c r="Z62" s="3355"/>
      <c r="AA62" s="3355"/>
      <c r="AB62" s="3355"/>
      <c r="AC62" s="3355"/>
      <c r="AD62" s="3355"/>
      <c r="AE62" s="3355"/>
      <c r="AF62" s="3355"/>
      <c r="AG62" s="3355"/>
      <c r="AH62" s="3355"/>
      <c r="AI62" s="3355"/>
      <c r="AJ62" s="3355"/>
      <c r="AK62" s="3355"/>
      <c r="AL62" s="2911"/>
      <c r="AM62" s="2911"/>
      <c r="AN62" s="3352"/>
    </row>
    <row r="63" spans="1:40" ht="113.25" customHeight="1" thickBot="1" x14ac:dyDescent="0.3">
      <c r="A63" s="3440"/>
      <c r="B63" s="3441"/>
      <c r="C63" s="3444"/>
      <c r="D63" s="3444"/>
      <c r="E63" s="3393"/>
      <c r="F63" s="3393"/>
      <c r="G63" s="1559">
        <v>34</v>
      </c>
      <c r="H63" s="1517" t="s">
        <v>904</v>
      </c>
      <c r="I63" s="1489" t="s">
        <v>905</v>
      </c>
      <c r="J63" s="933">
        <v>600</v>
      </c>
      <c r="K63" s="3358"/>
      <c r="L63" s="3358"/>
      <c r="M63" s="3030"/>
      <c r="N63" s="1564">
        <f>S63/O60</f>
        <v>6.314186494482113E-2</v>
      </c>
      <c r="O63" s="2938"/>
      <c r="P63" s="3411"/>
      <c r="Q63" s="3030"/>
      <c r="R63" s="1517" t="s">
        <v>906</v>
      </c>
      <c r="S63" s="1857">
        <v>30000000</v>
      </c>
      <c r="T63" s="1565">
        <v>20</v>
      </c>
      <c r="U63" s="1520" t="s">
        <v>792</v>
      </c>
      <c r="V63" s="3355"/>
      <c r="W63" s="3355"/>
      <c r="X63" s="3355"/>
      <c r="Y63" s="3355"/>
      <c r="Z63" s="3355"/>
      <c r="AA63" s="3355"/>
      <c r="AB63" s="3355"/>
      <c r="AC63" s="3355"/>
      <c r="AD63" s="3355"/>
      <c r="AE63" s="3355"/>
      <c r="AF63" s="3355"/>
      <c r="AG63" s="3355"/>
      <c r="AH63" s="3355"/>
      <c r="AI63" s="3355"/>
      <c r="AJ63" s="3355"/>
      <c r="AK63" s="3355"/>
      <c r="AL63" s="2911"/>
      <c r="AM63" s="2911"/>
      <c r="AN63" s="3353"/>
    </row>
    <row r="64" spans="1:40" ht="15" x14ac:dyDescent="0.25">
      <c r="A64" s="3440"/>
      <c r="B64" s="3441"/>
      <c r="C64" s="3444"/>
      <c r="D64" s="3444"/>
      <c r="E64" s="788">
        <v>7</v>
      </c>
      <c r="F64" s="786" t="s">
        <v>907</v>
      </c>
      <c r="G64" s="788"/>
      <c r="H64" s="934"/>
      <c r="I64" s="864"/>
      <c r="J64" s="927"/>
      <c r="K64" s="927"/>
      <c r="L64" s="926"/>
      <c r="M64" s="1049"/>
      <c r="N64" s="923"/>
      <c r="O64" s="1854"/>
      <c r="P64" s="922"/>
      <c r="Q64" s="922"/>
      <c r="R64" s="922"/>
      <c r="S64" s="1858"/>
      <c r="T64" s="925"/>
      <c r="U64" s="926"/>
      <c r="V64" s="927"/>
      <c r="W64" s="927"/>
      <c r="X64" s="927"/>
      <c r="Y64" s="927"/>
      <c r="Z64" s="927"/>
      <c r="AA64" s="927"/>
      <c r="AB64" s="927"/>
      <c r="AC64" s="927"/>
      <c r="AD64" s="927"/>
      <c r="AE64" s="927"/>
      <c r="AF64" s="927"/>
      <c r="AG64" s="927"/>
      <c r="AH64" s="927"/>
      <c r="AI64" s="927"/>
      <c r="AJ64" s="927"/>
      <c r="AK64" s="927"/>
      <c r="AL64" s="928"/>
      <c r="AM64" s="929"/>
      <c r="AN64" s="930"/>
    </row>
    <row r="65" spans="1:40" ht="56.25" customHeight="1" x14ac:dyDescent="0.25">
      <c r="A65" s="3440"/>
      <c r="B65" s="3441"/>
      <c r="C65" s="3444"/>
      <c r="D65" s="3444"/>
      <c r="E65" s="3450"/>
      <c r="F65" s="3451"/>
      <c r="G65" s="1563">
        <v>35</v>
      </c>
      <c r="H65" s="1527" t="s">
        <v>908</v>
      </c>
      <c r="I65" s="1527" t="s">
        <v>856</v>
      </c>
      <c r="J65" s="935">
        <v>5</v>
      </c>
      <c r="K65" s="3357" t="s">
        <v>909</v>
      </c>
      <c r="L65" s="3357" t="s">
        <v>910</v>
      </c>
      <c r="M65" s="3029" t="s">
        <v>911</v>
      </c>
      <c r="N65" s="1578">
        <f>S65/O65</f>
        <v>0.2509712330108983</v>
      </c>
      <c r="O65" s="2970">
        <v>197966912</v>
      </c>
      <c r="P65" s="3215" t="s">
        <v>912</v>
      </c>
      <c r="Q65" s="735" t="s">
        <v>913</v>
      </c>
      <c r="R65" s="735" t="s">
        <v>914</v>
      </c>
      <c r="S65" s="1859">
        <f>69684000-20000000</f>
        <v>49684000</v>
      </c>
      <c r="T65" s="1638">
        <v>20</v>
      </c>
      <c r="U65" s="1503" t="s">
        <v>792</v>
      </c>
      <c r="V65" s="3454">
        <v>100</v>
      </c>
      <c r="W65" s="3454">
        <v>60</v>
      </c>
      <c r="X65" s="3454"/>
      <c r="Y65" s="3454"/>
      <c r="Z65" s="3454">
        <v>110</v>
      </c>
      <c r="AA65" s="3454">
        <v>50</v>
      </c>
      <c r="AB65" s="3454"/>
      <c r="AC65" s="3454"/>
      <c r="AD65" s="3454"/>
      <c r="AE65" s="3454"/>
      <c r="AF65" s="3454"/>
      <c r="AG65" s="3454"/>
      <c r="AH65" s="3454"/>
      <c r="AI65" s="3454"/>
      <c r="AJ65" s="3454"/>
      <c r="AK65" s="3454">
        <f>V65+W65</f>
        <v>160</v>
      </c>
      <c r="AL65" s="2910">
        <v>43466</v>
      </c>
      <c r="AM65" s="2910">
        <v>43830</v>
      </c>
      <c r="AN65" s="3351" t="s">
        <v>875</v>
      </c>
    </row>
    <row r="66" spans="1:40" ht="71.25" x14ac:dyDescent="0.25">
      <c r="A66" s="3442"/>
      <c r="B66" s="3443"/>
      <c r="C66" s="3444"/>
      <c r="D66" s="3444"/>
      <c r="E66" s="3452"/>
      <c r="F66" s="3453"/>
      <c r="G66" s="1563">
        <v>37</v>
      </c>
      <c r="H66" s="1527" t="s">
        <v>915</v>
      </c>
      <c r="I66" s="1527" t="s">
        <v>916</v>
      </c>
      <c r="J66" s="936">
        <v>1</v>
      </c>
      <c r="K66" s="3359"/>
      <c r="L66" s="3359"/>
      <c r="M66" s="3030"/>
      <c r="N66" s="1578">
        <f>S66/O65</f>
        <v>0.7490287669891017</v>
      </c>
      <c r="O66" s="2939"/>
      <c r="P66" s="3411"/>
      <c r="Q66" s="1527" t="s">
        <v>917</v>
      </c>
      <c r="R66" s="735" t="s">
        <v>918</v>
      </c>
      <c r="S66" s="1859">
        <f>128282912+20000000</f>
        <v>148282912</v>
      </c>
      <c r="T66" s="1638">
        <v>20</v>
      </c>
      <c r="U66" s="1503" t="s">
        <v>792</v>
      </c>
      <c r="V66" s="3455"/>
      <c r="W66" s="3455"/>
      <c r="X66" s="3455"/>
      <c r="Y66" s="3455"/>
      <c r="Z66" s="3455"/>
      <c r="AA66" s="3455"/>
      <c r="AB66" s="3455"/>
      <c r="AC66" s="3455"/>
      <c r="AD66" s="3455"/>
      <c r="AE66" s="3455"/>
      <c r="AF66" s="3455"/>
      <c r="AG66" s="3455"/>
      <c r="AH66" s="3455"/>
      <c r="AI66" s="3455"/>
      <c r="AJ66" s="3455"/>
      <c r="AK66" s="3455"/>
      <c r="AL66" s="2912"/>
      <c r="AM66" s="2912"/>
      <c r="AN66" s="3353"/>
    </row>
    <row r="67" spans="1:40" ht="15" x14ac:dyDescent="0.25">
      <c r="A67" s="937">
        <v>3</v>
      </c>
      <c r="B67" s="768" t="s">
        <v>919</v>
      </c>
      <c r="C67" s="938"/>
      <c r="D67" s="938"/>
      <c r="E67" s="939"/>
      <c r="F67" s="940"/>
      <c r="G67" s="941"/>
      <c r="H67" s="942"/>
      <c r="I67" s="940"/>
      <c r="J67" s="940"/>
      <c r="K67" s="940"/>
      <c r="L67" s="941"/>
      <c r="M67" s="942"/>
      <c r="N67" s="943"/>
      <c r="O67" s="944"/>
      <c r="P67" s="942"/>
      <c r="Q67" s="942"/>
      <c r="R67" s="942"/>
      <c r="S67" s="1860"/>
      <c r="T67" s="945"/>
      <c r="U67" s="941"/>
      <c r="V67" s="940"/>
      <c r="W67" s="940"/>
      <c r="X67" s="940"/>
      <c r="Y67" s="940"/>
      <c r="Z67" s="940"/>
      <c r="AA67" s="940"/>
      <c r="AB67" s="940"/>
      <c r="AC67" s="940"/>
      <c r="AD67" s="940"/>
      <c r="AE67" s="940"/>
      <c r="AF67" s="940"/>
      <c r="AG67" s="940"/>
      <c r="AH67" s="940"/>
      <c r="AI67" s="940"/>
      <c r="AJ67" s="940"/>
      <c r="AK67" s="940"/>
      <c r="AL67" s="946"/>
      <c r="AM67" s="947"/>
      <c r="AN67" s="948"/>
    </row>
    <row r="68" spans="1:40" ht="21" customHeight="1" x14ac:dyDescent="0.25">
      <c r="A68" s="3444"/>
      <c r="B68" s="3444"/>
      <c r="C68" s="949">
        <v>11</v>
      </c>
      <c r="D68" s="950" t="s">
        <v>920</v>
      </c>
      <c r="E68" s="951"/>
      <c r="F68" s="950"/>
      <c r="G68" s="952"/>
      <c r="H68" s="953"/>
      <c r="I68" s="954"/>
      <c r="J68" s="954"/>
      <c r="K68" s="954"/>
      <c r="L68" s="952"/>
      <c r="M68" s="953"/>
      <c r="N68" s="955"/>
      <c r="O68" s="956"/>
      <c r="P68" s="953"/>
      <c r="Q68" s="953"/>
      <c r="R68" s="953"/>
      <c r="S68" s="1861"/>
      <c r="T68" s="957"/>
      <c r="U68" s="952"/>
      <c r="V68" s="954"/>
      <c r="W68" s="954"/>
      <c r="X68" s="954"/>
      <c r="Y68" s="954"/>
      <c r="Z68" s="954"/>
      <c r="AA68" s="954"/>
      <c r="AB68" s="954"/>
      <c r="AC68" s="954"/>
      <c r="AD68" s="954"/>
      <c r="AE68" s="954"/>
      <c r="AF68" s="954"/>
      <c r="AG68" s="954"/>
      <c r="AH68" s="954"/>
      <c r="AI68" s="954"/>
      <c r="AJ68" s="954"/>
      <c r="AK68" s="954"/>
      <c r="AL68" s="958"/>
      <c r="AM68" s="959"/>
      <c r="AN68" s="960"/>
    </row>
    <row r="69" spans="1:40" ht="22.5" customHeight="1" x14ac:dyDescent="0.25">
      <c r="A69" s="3444"/>
      <c r="B69" s="3444"/>
      <c r="C69" s="3393"/>
      <c r="D69" s="3393"/>
      <c r="E69" s="961">
        <v>34</v>
      </c>
      <c r="F69" s="864" t="s">
        <v>921</v>
      </c>
      <c r="G69" s="926"/>
      <c r="H69" s="922"/>
      <c r="I69" s="927"/>
      <c r="J69" s="927"/>
      <c r="K69" s="927"/>
      <c r="L69" s="926"/>
      <c r="M69" s="922"/>
      <c r="N69" s="923"/>
      <c r="O69" s="924"/>
      <c r="P69" s="922"/>
      <c r="Q69" s="922"/>
      <c r="R69" s="922"/>
      <c r="S69" s="1858"/>
      <c r="T69" s="925"/>
      <c r="U69" s="926"/>
      <c r="V69" s="927"/>
      <c r="W69" s="927"/>
      <c r="X69" s="927"/>
      <c r="Y69" s="927"/>
      <c r="Z69" s="927"/>
      <c r="AA69" s="927"/>
      <c r="AB69" s="927"/>
      <c r="AC69" s="927"/>
      <c r="AD69" s="927"/>
      <c r="AE69" s="927"/>
      <c r="AF69" s="927"/>
      <c r="AG69" s="927"/>
      <c r="AH69" s="927"/>
      <c r="AI69" s="927"/>
      <c r="AJ69" s="927"/>
      <c r="AK69" s="927"/>
      <c r="AL69" s="928"/>
      <c r="AM69" s="929"/>
      <c r="AN69" s="930"/>
    </row>
    <row r="70" spans="1:40" ht="60" x14ac:dyDescent="0.25">
      <c r="A70" s="3444"/>
      <c r="B70" s="3444"/>
      <c r="C70" s="3393"/>
      <c r="D70" s="3393"/>
      <c r="E70" s="3393"/>
      <c r="F70" s="3393"/>
      <c r="G70" s="1563">
        <v>122</v>
      </c>
      <c r="H70" s="1527" t="s">
        <v>922</v>
      </c>
      <c r="I70" s="1489" t="s">
        <v>923</v>
      </c>
      <c r="J70" s="936">
        <v>1</v>
      </c>
      <c r="K70" s="3357" t="s">
        <v>924</v>
      </c>
      <c r="L70" s="3357" t="s">
        <v>925</v>
      </c>
      <c r="M70" s="3029" t="s">
        <v>926</v>
      </c>
      <c r="N70" s="1578">
        <f>S70/O70</f>
        <v>0.24602162822149062</v>
      </c>
      <c r="O70" s="2970">
        <v>168373530</v>
      </c>
      <c r="P70" s="3215" t="s">
        <v>927</v>
      </c>
      <c r="Q70" s="1539" t="s">
        <v>928</v>
      </c>
      <c r="R70" s="1527" t="s">
        <v>929</v>
      </c>
      <c r="S70" s="1856">
        <v>41423530</v>
      </c>
      <c r="T70" s="1638">
        <v>20</v>
      </c>
      <c r="U70" s="1503" t="s">
        <v>792</v>
      </c>
      <c r="V70" s="3354">
        <v>4608</v>
      </c>
      <c r="W70" s="3354">
        <v>4992</v>
      </c>
      <c r="X70" s="3354">
        <v>2714</v>
      </c>
      <c r="Y70" s="3354">
        <v>765</v>
      </c>
      <c r="Z70" s="3354">
        <v>5500</v>
      </c>
      <c r="AA70" s="3354">
        <v>594</v>
      </c>
      <c r="AB70" s="3354">
        <v>40</v>
      </c>
      <c r="AC70" s="3354">
        <v>50</v>
      </c>
      <c r="AD70" s="3354"/>
      <c r="AE70" s="3354"/>
      <c r="AF70" s="3354"/>
      <c r="AG70" s="3354"/>
      <c r="AH70" s="3354">
        <v>100</v>
      </c>
      <c r="AI70" s="3354">
        <v>10</v>
      </c>
      <c r="AJ70" s="3354"/>
      <c r="AK70" s="3354">
        <f>V70+W70</f>
        <v>9600</v>
      </c>
      <c r="AL70" s="2910">
        <v>43466</v>
      </c>
      <c r="AM70" s="2910">
        <v>43830</v>
      </c>
      <c r="AN70" s="3351" t="s">
        <v>827</v>
      </c>
    </row>
    <row r="71" spans="1:40" ht="114" x14ac:dyDescent="0.25">
      <c r="A71" s="3444"/>
      <c r="B71" s="3444"/>
      <c r="C71" s="3393"/>
      <c r="D71" s="3393"/>
      <c r="E71" s="3393"/>
      <c r="F71" s="3393"/>
      <c r="G71" s="1563">
        <v>123</v>
      </c>
      <c r="H71" s="1527" t="s">
        <v>930</v>
      </c>
      <c r="I71" s="1504" t="s">
        <v>931</v>
      </c>
      <c r="J71" s="1636">
        <v>4</v>
      </c>
      <c r="K71" s="3358"/>
      <c r="L71" s="3358"/>
      <c r="M71" s="3159"/>
      <c r="N71" s="1578">
        <f>S71/O70</f>
        <v>0.11225042321082179</v>
      </c>
      <c r="O71" s="2938"/>
      <c r="P71" s="3410"/>
      <c r="Q71" s="1497" t="s">
        <v>932</v>
      </c>
      <c r="R71" s="1527" t="s">
        <v>933</v>
      </c>
      <c r="S71" s="1856">
        <f>19000000-100000</f>
        <v>18900000</v>
      </c>
      <c r="T71" s="1638">
        <v>20</v>
      </c>
      <c r="U71" s="1503" t="s">
        <v>792</v>
      </c>
      <c r="V71" s="3355"/>
      <c r="W71" s="3355"/>
      <c r="X71" s="3355"/>
      <c r="Y71" s="3355"/>
      <c r="Z71" s="3355"/>
      <c r="AA71" s="3355"/>
      <c r="AB71" s="3355"/>
      <c r="AC71" s="3355"/>
      <c r="AD71" s="3355"/>
      <c r="AE71" s="3355"/>
      <c r="AF71" s="3355"/>
      <c r="AG71" s="3355"/>
      <c r="AH71" s="3355"/>
      <c r="AI71" s="3355"/>
      <c r="AJ71" s="3355"/>
      <c r="AK71" s="3355"/>
      <c r="AL71" s="2911"/>
      <c r="AM71" s="2911"/>
      <c r="AN71" s="3352"/>
    </row>
    <row r="72" spans="1:40" ht="90" x14ac:dyDescent="0.25">
      <c r="A72" s="3444"/>
      <c r="B72" s="3444"/>
      <c r="C72" s="3393"/>
      <c r="D72" s="3393"/>
      <c r="E72" s="3393"/>
      <c r="F72" s="3393"/>
      <c r="G72" s="1563">
        <v>124</v>
      </c>
      <c r="H72" s="1527" t="s">
        <v>934</v>
      </c>
      <c r="I72" s="1489" t="s">
        <v>935</v>
      </c>
      <c r="J72" s="1636">
        <v>150</v>
      </c>
      <c r="K72" s="3358"/>
      <c r="L72" s="3358"/>
      <c r="M72" s="3159"/>
      <c r="N72" s="1578">
        <f>S72/O70</f>
        <v>0.26340244811639929</v>
      </c>
      <c r="O72" s="2938"/>
      <c r="P72" s="3410"/>
      <c r="Q72" s="1489" t="s">
        <v>932</v>
      </c>
      <c r="R72" s="1527" t="s">
        <v>936</v>
      </c>
      <c r="S72" s="1856">
        <v>44350000</v>
      </c>
      <c r="T72" s="1638">
        <v>20</v>
      </c>
      <c r="U72" s="1503" t="s">
        <v>792</v>
      </c>
      <c r="V72" s="3355"/>
      <c r="W72" s="3355"/>
      <c r="X72" s="3355"/>
      <c r="Y72" s="3355"/>
      <c r="Z72" s="3355"/>
      <c r="AA72" s="3355"/>
      <c r="AB72" s="3355"/>
      <c r="AC72" s="3355"/>
      <c r="AD72" s="3355"/>
      <c r="AE72" s="3355"/>
      <c r="AF72" s="3355"/>
      <c r="AG72" s="3355"/>
      <c r="AH72" s="3355"/>
      <c r="AI72" s="3355"/>
      <c r="AJ72" s="3355"/>
      <c r="AK72" s="3355"/>
      <c r="AL72" s="2911"/>
      <c r="AM72" s="2911"/>
      <c r="AN72" s="3352"/>
    </row>
    <row r="73" spans="1:40" ht="75" x14ac:dyDescent="0.25">
      <c r="A73" s="3444"/>
      <c r="B73" s="3444"/>
      <c r="C73" s="3393"/>
      <c r="D73" s="3393"/>
      <c r="E73" s="3393"/>
      <c r="F73" s="3393"/>
      <c r="G73" s="1563">
        <v>125</v>
      </c>
      <c r="H73" s="1527" t="s">
        <v>937</v>
      </c>
      <c r="I73" s="1504" t="s">
        <v>938</v>
      </c>
      <c r="J73" s="962">
        <v>760</v>
      </c>
      <c r="K73" s="3358"/>
      <c r="L73" s="3358"/>
      <c r="M73" s="3159"/>
      <c r="N73" s="1578">
        <f>S73/O70</f>
        <v>0.2619176541585842</v>
      </c>
      <c r="O73" s="2938"/>
      <c r="P73" s="3410"/>
      <c r="Q73" s="1504" t="s">
        <v>939</v>
      </c>
      <c r="R73" s="1527" t="s">
        <v>940</v>
      </c>
      <c r="S73" s="1856">
        <v>44100000</v>
      </c>
      <c r="T73" s="1638">
        <v>20</v>
      </c>
      <c r="U73" s="1503" t="s">
        <v>792</v>
      </c>
      <c r="V73" s="3355"/>
      <c r="W73" s="3355"/>
      <c r="X73" s="3355"/>
      <c r="Y73" s="3355"/>
      <c r="Z73" s="3355"/>
      <c r="AA73" s="3355"/>
      <c r="AB73" s="3355"/>
      <c r="AC73" s="3355"/>
      <c r="AD73" s="3355"/>
      <c r="AE73" s="3355"/>
      <c r="AF73" s="3355"/>
      <c r="AG73" s="3355"/>
      <c r="AH73" s="3355"/>
      <c r="AI73" s="3355"/>
      <c r="AJ73" s="3355"/>
      <c r="AK73" s="3355"/>
      <c r="AL73" s="2911"/>
      <c r="AM73" s="2911"/>
      <c r="AN73" s="3352"/>
    </row>
    <row r="74" spans="1:40" ht="90" x14ac:dyDescent="0.25">
      <c r="A74" s="3444"/>
      <c r="B74" s="3444"/>
      <c r="C74" s="3393"/>
      <c r="D74" s="3393"/>
      <c r="E74" s="3393"/>
      <c r="F74" s="3393"/>
      <c r="G74" s="1563">
        <v>126</v>
      </c>
      <c r="H74" s="1527" t="s">
        <v>941</v>
      </c>
      <c r="I74" s="1504" t="s">
        <v>942</v>
      </c>
      <c r="J74" s="1636">
        <v>3326</v>
      </c>
      <c r="K74" s="3359"/>
      <c r="L74" s="3359"/>
      <c r="M74" s="3030"/>
      <c r="N74" s="1578">
        <f>S74/O70</f>
        <v>0.11640784629270408</v>
      </c>
      <c r="O74" s="2939"/>
      <c r="P74" s="3411"/>
      <c r="Q74" s="1504" t="s">
        <v>943</v>
      </c>
      <c r="R74" s="1527" t="s">
        <v>944</v>
      </c>
      <c r="S74" s="1856">
        <f>19500000+100000</f>
        <v>19600000</v>
      </c>
      <c r="T74" s="1638">
        <v>20</v>
      </c>
      <c r="U74" s="1503" t="s">
        <v>792</v>
      </c>
      <c r="V74" s="3356"/>
      <c r="W74" s="3356"/>
      <c r="X74" s="3356"/>
      <c r="Y74" s="3356"/>
      <c r="Z74" s="3356"/>
      <c r="AA74" s="3356"/>
      <c r="AB74" s="3356"/>
      <c r="AC74" s="3356"/>
      <c r="AD74" s="3356"/>
      <c r="AE74" s="3356"/>
      <c r="AF74" s="3356"/>
      <c r="AG74" s="3356"/>
      <c r="AH74" s="3356"/>
      <c r="AI74" s="3356"/>
      <c r="AJ74" s="3356"/>
      <c r="AK74" s="3356"/>
      <c r="AL74" s="2912"/>
      <c r="AM74" s="2912"/>
      <c r="AN74" s="3353"/>
    </row>
    <row r="75" spans="1:40" ht="32.25" customHeight="1" x14ac:dyDescent="0.25">
      <c r="A75" s="1198" t="s">
        <v>343</v>
      </c>
      <c r="B75" s="710"/>
      <c r="C75" s="710"/>
      <c r="D75" s="710"/>
      <c r="E75" s="710"/>
      <c r="F75" s="710"/>
      <c r="G75" s="1501"/>
      <c r="H75" s="1199"/>
      <c r="I75" s="1200"/>
      <c r="J75" s="1201"/>
      <c r="K75" s="1201"/>
      <c r="L75" s="1202"/>
      <c r="M75" s="1199"/>
      <c r="N75" s="1203"/>
      <c r="O75" s="1855">
        <f>SUM(O8:O74)</f>
        <v>4764794686</v>
      </c>
      <c r="P75" s="1199"/>
      <c r="Q75" s="1208"/>
      <c r="R75" s="1199"/>
      <c r="S75" s="1855">
        <f>SUM(S8:S74)</f>
        <v>4764794686</v>
      </c>
      <c r="T75" s="1205"/>
      <c r="U75" s="1202"/>
      <c r="V75" s="710"/>
      <c r="W75" s="710"/>
      <c r="X75" s="710"/>
      <c r="Y75" s="710"/>
      <c r="Z75" s="710"/>
      <c r="AA75" s="710"/>
      <c r="AB75" s="710"/>
      <c r="AC75" s="710"/>
      <c r="AD75" s="710"/>
      <c r="AE75" s="710"/>
      <c r="AF75" s="710"/>
      <c r="AG75" s="710"/>
      <c r="AH75" s="710"/>
      <c r="AI75" s="710"/>
      <c r="AJ75" s="710"/>
      <c r="AK75" s="710"/>
      <c r="AL75" s="1206"/>
      <c r="AM75" s="1207"/>
      <c r="AN75" s="970"/>
    </row>
    <row r="76" spans="1:40" ht="15" x14ac:dyDescent="0.25">
      <c r="I76" s="966"/>
      <c r="J76" s="842"/>
      <c r="L76" s="1534"/>
      <c r="S76" s="842"/>
      <c r="U76" s="1534"/>
    </row>
    <row r="77" spans="1:40" ht="15" x14ac:dyDescent="0.25">
      <c r="I77" s="966"/>
      <c r="L77" s="1534"/>
      <c r="U77" s="1534"/>
    </row>
    <row r="78" spans="1:40" ht="15" x14ac:dyDescent="0.25">
      <c r="I78" s="815"/>
      <c r="L78" s="1534"/>
      <c r="U78" s="1534"/>
      <c r="W78" s="967"/>
      <c r="X78" s="967"/>
      <c r="Y78" s="968"/>
      <c r="Z78" s="969"/>
      <c r="AA78" s="969"/>
      <c r="AB78" s="969"/>
      <c r="AC78" s="969"/>
      <c r="AD78" s="969"/>
    </row>
    <row r="79" spans="1:40" ht="15" x14ac:dyDescent="0.25">
      <c r="I79" s="815"/>
      <c r="L79" s="1534"/>
      <c r="U79" s="1534"/>
    </row>
    <row r="81" spans="8:21" x14ac:dyDescent="0.25">
      <c r="L81" s="1534"/>
      <c r="U81" s="1534"/>
    </row>
    <row r="82" spans="8:21" x14ac:dyDescent="0.25">
      <c r="L82" s="1534"/>
      <c r="U82" s="1534"/>
    </row>
    <row r="83" spans="8:21" x14ac:dyDescent="0.25">
      <c r="L83" s="1534"/>
      <c r="U83" s="1534"/>
    </row>
    <row r="84" spans="8:21" ht="15" x14ac:dyDescent="0.25">
      <c r="H84" s="3456" t="s">
        <v>945</v>
      </c>
      <c r="I84" s="3456"/>
      <c r="J84" s="3456"/>
      <c r="L84" s="1534"/>
      <c r="U84" s="1534"/>
    </row>
    <row r="85" spans="8:21" x14ac:dyDescent="0.25">
      <c r="H85" s="841" t="s">
        <v>946</v>
      </c>
      <c r="L85" s="1534"/>
      <c r="U85" s="1534"/>
    </row>
  </sheetData>
  <sheetProtection password="EEEE" sheet="1" objects="1" scenarios="1"/>
  <mergeCells count="375">
    <mergeCell ref="H84:J84"/>
    <mergeCell ref="AI70:AI74"/>
    <mergeCell ref="AJ70:AJ74"/>
    <mergeCell ref="AK70:AK74"/>
    <mergeCell ref="AL70:AL74"/>
    <mergeCell ref="AM70:AM74"/>
    <mergeCell ref="AN70:AN74"/>
    <mergeCell ref="AI65:AI66"/>
    <mergeCell ref="AJ65:AJ66"/>
    <mergeCell ref="AK65:AK66"/>
    <mergeCell ref="AL65:AL66"/>
    <mergeCell ref="AM65:AM66"/>
    <mergeCell ref="AN65:AN66"/>
    <mergeCell ref="W70:W74"/>
    <mergeCell ref="X70:X74"/>
    <mergeCell ref="Y70:Y74"/>
    <mergeCell ref="Z70:Z74"/>
    <mergeCell ref="AA70:AA74"/>
    <mergeCell ref="AB70:AB74"/>
    <mergeCell ref="AC70:AC74"/>
    <mergeCell ref="AD70:AD74"/>
    <mergeCell ref="AE70:AE74"/>
    <mergeCell ref="A68:B74"/>
    <mergeCell ref="C69:D74"/>
    <mergeCell ref="E70:F74"/>
    <mergeCell ref="K70:K74"/>
    <mergeCell ref="L70:L74"/>
    <mergeCell ref="M70:M74"/>
    <mergeCell ref="O70:O74"/>
    <mergeCell ref="P70:P74"/>
    <mergeCell ref="V70:V74"/>
    <mergeCell ref="AM60:AM63"/>
    <mergeCell ref="AN60:AN63"/>
    <mergeCell ref="Q62:Q63"/>
    <mergeCell ref="E65:F66"/>
    <mergeCell ref="K65:K66"/>
    <mergeCell ref="L65:L66"/>
    <mergeCell ref="M65:M66"/>
    <mergeCell ref="O65:O66"/>
    <mergeCell ref="P65:P66"/>
    <mergeCell ref="V65:V66"/>
    <mergeCell ref="W65:W66"/>
    <mergeCell ref="X65:X66"/>
    <mergeCell ref="Y65:Y66"/>
    <mergeCell ref="Z65:Z66"/>
    <mergeCell ref="AA65:AA66"/>
    <mergeCell ref="AB65:AB66"/>
    <mergeCell ref="AC65:AC66"/>
    <mergeCell ref="AD65:AD66"/>
    <mergeCell ref="AE65:AE66"/>
    <mergeCell ref="AF65:AF66"/>
    <mergeCell ref="AG65:AG66"/>
    <mergeCell ref="AH65:AH66"/>
    <mergeCell ref="AA57:AA58"/>
    <mergeCell ref="AB57:AB58"/>
    <mergeCell ref="AC57:AC58"/>
    <mergeCell ref="AK60:AK63"/>
    <mergeCell ref="AL60:AL63"/>
    <mergeCell ref="X60:X63"/>
    <mergeCell ref="Y60:Y63"/>
    <mergeCell ref="Z60:Z63"/>
    <mergeCell ref="AA60:AA63"/>
    <mergeCell ref="Z45:Z53"/>
    <mergeCell ref="M57:M58"/>
    <mergeCell ref="N57:N58"/>
    <mergeCell ref="O57:O58"/>
    <mergeCell ref="P57:P58"/>
    <mergeCell ref="R57:R58"/>
    <mergeCell ref="S57:S58"/>
    <mergeCell ref="T57:T58"/>
    <mergeCell ref="U57:U58"/>
    <mergeCell ref="V57:V58"/>
    <mergeCell ref="W57:W58"/>
    <mergeCell ref="X57:X58"/>
    <mergeCell ref="Y57:Y58"/>
    <mergeCell ref="Z57:Z58"/>
    <mergeCell ref="W54:W56"/>
    <mergeCell ref="R47:R48"/>
    <mergeCell ref="R49:R50"/>
    <mergeCell ref="AF54:AF55"/>
    <mergeCell ref="AG54:AG55"/>
    <mergeCell ref="AH54:AH55"/>
    <mergeCell ref="AI54:AI55"/>
    <mergeCell ref="AJ54:AJ55"/>
    <mergeCell ref="AA45:AA53"/>
    <mergeCell ref="AB45:AB53"/>
    <mergeCell ref="AC45:AC53"/>
    <mergeCell ref="AD45:AD53"/>
    <mergeCell ref="AE45:AE53"/>
    <mergeCell ref="AF45:AF53"/>
    <mergeCell ref="A33:B66"/>
    <mergeCell ref="C34:D66"/>
    <mergeCell ref="E35:F43"/>
    <mergeCell ref="G35:G36"/>
    <mergeCell ref="H35:H36"/>
    <mergeCell ref="I35:I36"/>
    <mergeCell ref="J35:J36"/>
    <mergeCell ref="K35:K43"/>
    <mergeCell ref="L35:L43"/>
    <mergeCell ref="G37:G39"/>
    <mergeCell ref="H37:H39"/>
    <mergeCell ref="I37:I39"/>
    <mergeCell ref="J37:J39"/>
    <mergeCell ref="G40:G42"/>
    <mergeCell ref="H40:H42"/>
    <mergeCell ref="I40:I42"/>
    <mergeCell ref="J40:J42"/>
    <mergeCell ref="E45:F58"/>
    <mergeCell ref="K45:K53"/>
    <mergeCell ref="L45:L53"/>
    <mergeCell ref="G57:G58"/>
    <mergeCell ref="K57:K58"/>
    <mergeCell ref="L57:L58"/>
    <mergeCell ref="G45:G50"/>
    <mergeCell ref="AN19:AN20"/>
    <mergeCell ref="AM27:AM31"/>
    <mergeCell ref="AN27:AN31"/>
    <mergeCell ref="AM22:AM26"/>
    <mergeCell ref="AN22:AN26"/>
    <mergeCell ref="AJ22:AJ25"/>
    <mergeCell ref="AJ27:AJ31"/>
    <mergeCell ref="H57:H58"/>
    <mergeCell ref="I57:I58"/>
    <mergeCell ref="J57:J58"/>
    <mergeCell ref="Y27:Y31"/>
    <mergeCell ref="Z27:Z31"/>
    <mergeCell ref="AA27:AA31"/>
    <mergeCell ref="AB27:AB31"/>
    <mergeCell ref="AC27:AC31"/>
    <mergeCell ref="AD27:AD31"/>
    <mergeCell ref="N35:N36"/>
    <mergeCell ref="O35:O43"/>
    <mergeCell ref="P35:P43"/>
    <mergeCell ref="Q35:Q39"/>
    <mergeCell ref="V35:V43"/>
    <mergeCell ref="W35:W43"/>
    <mergeCell ref="X35:X43"/>
    <mergeCell ref="AM45:AM53"/>
    <mergeCell ref="W27:W31"/>
    <mergeCell ref="X27:X31"/>
    <mergeCell ref="AK27:AK31"/>
    <mergeCell ref="AL27:AL31"/>
    <mergeCell ref="AI19:AI20"/>
    <mergeCell ref="AJ19:AJ20"/>
    <mergeCell ref="AK19:AK20"/>
    <mergeCell ref="AL19:AL20"/>
    <mergeCell ref="AM19:AM20"/>
    <mergeCell ref="AM7:AM8"/>
    <mergeCell ref="AN7:AN8"/>
    <mergeCell ref="B9:D9"/>
    <mergeCell ref="A10:B31"/>
    <mergeCell ref="C11:D31"/>
    <mergeCell ref="E12:F17"/>
    <mergeCell ref="G12:G13"/>
    <mergeCell ref="H12:H13"/>
    <mergeCell ref="I12:I13"/>
    <mergeCell ref="J12:J13"/>
    <mergeCell ref="K12:K17"/>
    <mergeCell ref="L12:L17"/>
    <mergeCell ref="M12:M17"/>
    <mergeCell ref="N12:N13"/>
    <mergeCell ref="O12:O17"/>
    <mergeCell ref="P12:P17"/>
    <mergeCell ref="Q12:Q14"/>
    <mergeCell ref="V12:V17"/>
    <mergeCell ref="W12:W17"/>
    <mergeCell ref="X12:X17"/>
    <mergeCell ref="K27:K31"/>
    <mergeCell ref="L27:L31"/>
    <mergeCell ref="M27:M31"/>
    <mergeCell ref="O27:O31"/>
    <mergeCell ref="A1:AL4"/>
    <mergeCell ref="AF70:AF74"/>
    <mergeCell ref="AG70:AG74"/>
    <mergeCell ref="AH70:AH74"/>
    <mergeCell ref="AD57:AD58"/>
    <mergeCell ref="AE57:AE58"/>
    <mergeCell ref="AF57:AF58"/>
    <mergeCell ref="AG57:AG58"/>
    <mergeCell ref="AH57:AH58"/>
    <mergeCell ref="AI57:AI58"/>
    <mergeCell ref="AJ57:AJ58"/>
    <mergeCell ref="AK57:AK58"/>
    <mergeCell ref="AL57:AL58"/>
    <mergeCell ref="M45:M53"/>
    <mergeCell ref="O45:O53"/>
    <mergeCell ref="P45:P53"/>
    <mergeCell ref="Q45:Q51"/>
    <mergeCell ref="V45:V53"/>
    <mergeCell ref="W45:W53"/>
    <mergeCell ref="X45:X53"/>
    <mergeCell ref="L22:L26"/>
    <mergeCell ref="M22:M26"/>
    <mergeCell ref="AE27:AE31"/>
    <mergeCell ref="V27:V31"/>
    <mergeCell ref="AL7:AL8"/>
    <mergeCell ref="AM57:AM58"/>
    <mergeCell ref="AN57:AN58"/>
    <mergeCell ref="F59:AN59"/>
    <mergeCell ref="E60:F63"/>
    <mergeCell ref="K60:K63"/>
    <mergeCell ref="L60:L63"/>
    <mergeCell ref="AB60:AB63"/>
    <mergeCell ref="AC60:AC63"/>
    <mergeCell ref="AD60:AD63"/>
    <mergeCell ref="AE60:AE63"/>
    <mergeCell ref="AF60:AF63"/>
    <mergeCell ref="AG60:AG63"/>
    <mergeCell ref="AH60:AH63"/>
    <mergeCell ref="AI60:AI63"/>
    <mergeCell ref="AJ60:AJ63"/>
    <mergeCell ref="M60:M63"/>
    <mergeCell ref="O60:O63"/>
    <mergeCell ref="P60:P63"/>
    <mergeCell ref="V60:V63"/>
    <mergeCell ref="W60:W63"/>
    <mergeCell ref="Y12:Y17"/>
    <mergeCell ref="AH27:AH31"/>
    <mergeCell ref="AI27:AI31"/>
    <mergeCell ref="Y35:Y43"/>
    <mergeCell ref="AG45:AG53"/>
    <mergeCell ref="AH45:AH53"/>
    <mergeCell ref="AI45:AI53"/>
    <mergeCell ref="AJ45:AJ53"/>
    <mergeCell ref="AK45:AK53"/>
    <mergeCell ref="AL45:AL53"/>
    <mergeCell ref="AM35:AM43"/>
    <mergeCell ref="AN35:AN43"/>
    <mergeCell ref="Z35:Z43"/>
    <mergeCell ref="AA35:AA43"/>
    <mergeCell ref="AB35:AB43"/>
    <mergeCell ref="AC35:AC43"/>
    <mergeCell ref="AD35:AD43"/>
    <mergeCell ref="AE35:AE43"/>
    <mergeCell ref="AF35:AF43"/>
    <mergeCell ref="AG35:AG43"/>
    <mergeCell ref="AH35:AH43"/>
    <mergeCell ref="AI35:AI43"/>
    <mergeCell ref="AJ35:AJ43"/>
    <mergeCell ref="AK35:AK43"/>
    <mergeCell ref="AL35:AL43"/>
    <mergeCell ref="AN45:AN53"/>
    <mergeCell ref="Y45:Y53"/>
    <mergeCell ref="AE12:AE17"/>
    <mergeCell ref="AF12:AF17"/>
    <mergeCell ref="AG12:AG17"/>
    <mergeCell ref="AH12:AH17"/>
    <mergeCell ref="AF27:AF31"/>
    <mergeCell ref="AG27:AG31"/>
    <mergeCell ref="AC22:AC25"/>
    <mergeCell ref="AD22:AD25"/>
    <mergeCell ref="AE22:AE25"/>
    <mergeCell ref="AF22:AF25"/>
    <mergeCell ref="AG22:AG25"/>
    <mergeCell ref="AH22:AH25"/>
    <mergeCell ref="AC19:AC20"/>
    <mergeCell ref="AD19:AD20"/>
    <mergeCell ref="AE19:AE20"/>
    <mergeCell ref="AF19:AF20"/>
    <mergeCell ref="AG19:AG20"/>
    <mergeCell ref="AH19:AH20"/>
    <mergeCell ref="Z12:Z17"/>
    <mergeCell ref="V19:V20"/>
    <mergeCell ref="W19:W20"/>
    <mergeCell ref="X19:X20"/>
    <mergeCell ref="Y19:Y20"/>
    <mergeCell ref="Z19:Z20"/>
    <mergeCell ref="AB12:AB17"/>
    <mergeCell ref="AC12:AC17"/>
    <mergeCell ref="AD12:AD17"/>
    <mergeCell ref="AB19:AB20"/>
    <mergeCell ref="AA19:AA20"/>
    <mergeCell ref="AN12:AN17"/>
    <mergeCell ref="K5:AN5"/>
    <mergeCell ref="V6:AJ6"/>
    <mergeCell ref="K7:K8"/>
    <mergeCell ref="L7:L8"/>
    <mergeCell ref="M7:M8"/>
    <mergeCell ref="N7:N8"/>
    <mergeCell ref="O7:O8"/>
    <mergeCell ref="P7:P8"/>
    <mergeCell ref="Q7:Q8"/>
    <mergeCell ref="R7:R8"/>
    <mergeCell ref="S7:S8"/>
    <mergeCell ref="U7:U8"/>
    <mergeCell ref="V7:W7"/>
    <mergeCell ref="X7:AA7"/>
    <mergeCell ref="AB7:AG7"/>
    <mergeCell ref="AH7:AJ7"/>
    <mergeCell ref="AI12:AI17"/>
    <mergeCell ref="AJ12:AJ17"/>
    <mergeCell ref="AK12:AK17"/>
    <mergeCell ref="AL12:AL17"/>
    <mergeCell ref="AM12:AM17"/>
    <mergeCell ref="Q15:Q17"/>
    <mergeCell ref="AA12:AA17"/>
    <mergeCell ref="A5:J6"/>
    <mergeCell ref="A7:A8"/>
    <mergeCell ref="B7:B8"/>
    <mergeCell ref="C7:C8"/>
    <mergeCell ref="D7:D8"/>
    <mergeCell ref="E7:E8"/>
    <mergeCell ref="F7:F8"/>
    <mergeCell ref="G7:G8"/>
    <mergeCell ref="H7:H8"/>
    <mergeCell ref="I7:I8"/>
    <mergeCell ref="F18:I18"/>
    <mergeCell ref="E19:F20"/>
    <mergeCell ref="K19:K20"/>
    <mergeCell ref="L19:L20"/>
    <mergeCell ref="M19:M20"/>
    <mergeCell ref="Z22:Z26"/>
    <mergeCell ref="AA22:AA26"/>
    <mergeCell ref="AK22:AK26"/>
    <mergeCell ref="AL22:AL26"/>
    <mergeCell ref="V22:V26"/>
    <mergeCell ref="W22:W26"/>
    <mergeCell ref="X22:X26"/>
    <mergeCell ref="Y22:Y26"/>
    <mergeCell ref="O19:O20"/>
    <mergeCell ref="P19:P20"/>
    <mergeCell ref="Q19:Q20"/>
    <mergeCell ref="E22:F31"/>
    <mergeCell ref="G22:G24"/>
    <mergeCell ref="H22:H24"/>
    <mergeCell ref="I22:I24"/>
    <mergeCell ref="J22:J24"/>
    <mergeCell ref="N22:N24"/>
    <mergeCell ref="AB22:AB25"/>
    <mergeCell ref="AI22:AI25"/>
    <mergeCell ref="H45:H50"/>
    <mergeCell ref="I45:I50"/>
    <mergeCell ref="J45:J50"/>
    <mergeCell ref="N45:N50"/>
    <mergeCell ref="N25:N26"/>
    <mergeCell ref="O22:O26"/>
    <mergeCell ref="P22:P26"/>
    <mergeCell ref="Q22:Q26"/>
    <mergeCell ref="R25:R26"/>
    <mergeCell ref="K22:K24"/>
    <mergeCell ref="R22:R23"/>
    <mergeCell ref="G25:G26"/>
    <mergeCell ref="H25:H26"/>
    <mergeCell ref="I25:I26"/>
    <mergeCell ref="J25:J26"/>
    <mergeCell ref="M35:M43"/>
    <mergeCell ref="P27:P31"/>
    <mergeCell ref="Q27:Q31"/>
    <mergeCell ref="N37:N39"/>
    <mergeCell ref="N40:N42"/>
    <mergeCell ref="Q40:Q43"/>
    <mergeCell ref="AK54:AK56"/>
    <mergeCell ref="AL54:AL56"/>
    <mergeCell ref="AN54:AN56"/>
    <mergeCell ref="AM54:AM56"/>
    <mergeCell ref="G54:G56"/>
    <mergeCell ref="H54:H56"/>
    <mergeCell ref="I54:I56"/>
    <mergeCell ref="J54:J56"/>
    <mergeCell ref="L54:L56"/>
    <mergeCell ref="M54:M56"/>
    <mergeCell ref="N54:N56"/>
    <mergeCell ref="O54:O56"/>
    <mergeCell ref="P54:P56"/>
    <mergeCell ref="Q54:Q56"/>
    <mergeCell ref="R55:R56"/>
    <mergeCell ref="V54:V56"/>
    <mergeCell ref="X54:X55"/>
    <mergeCell ref="Y54:Y55"/>
    <mergeCell ref="Z54:Z55"/>
    <mergeCell ref="AA54:AA55"/>
    <mergeCell ref="AB54:AB55"/>
    <mergeCell ref="AC54:AC55"/>
    <mergeCell ref="AD54:AD55"/>
    <mergeCell ref="AE54:AE5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W32"/>
  <sheetViews>
    <sheetView showGridLines="0" zoomScale="70" zoomScaleNormal="70" workbookViewId="0">
      <selection sqref="A1:AM4"/>
    </sheetView>
  </sheetViews>
  <sheetFormatPr baseColWidth="10" defaultColWidth="11.42578125" defaultRowHeight="15" x14ac:dyDescent="0.2"/>
  <cols>
    <col min="1" max="4" width="14.5703125" style="3" customWidth="1"/>
    <col min="5" max="5" width="22.5703125" style="3" customWidth="1"/>
    <col min="6" max="6" width="14.5703125" style="3" customWidth="1"/>
    <col min="7" max="7" width="25.7109375" style="3" customWidth="1"/>
    <col min="8" max="8" width="14.5703125" style="3" customWidth="1"/>
    <col min="9" max="9" width="32.42578125" style="3" customWidth="1"/>
    <col min="10" max="10" width="26.7109375" style="3" customWidth="1"/>
    <col min="11" max="11" width="19.42578125" style="3" customWidth="1"/>
    <col min="12" max="12" width="47.7109375" style="3" customWidth="1"/>
    <col min="13" max="13" width="23.42578125" style="3" customWidth="1"/>
    <col min="14" max="14" width="33.140625" style="3" customWidth="1"/>
    <col min="15" max="15" width="16.85546875" style="3" customWidth="1"/>
    <col min="16" max="16" width="27.140625" style="3" customWidth="1"/>
    <col min="17" max="17" width="34.42578125" style="3" customWidth="1"/>
    <col min="18" max="18" width="42.140625" style="3" customWidth="1"/>
    <col min="19" max="19" width="34.7109375" style="3" customWidth="1"/>
    <col min="20" max="20" width="27.85546875" style="551" customWidth="1"/>
    <col min="21" max="21" width="18.28515625" style="3" customWidth="1"/>
    <col min="22" max="22" width="28.140625" style="3" customWidth="1"/>
    <col min="23" max="38" width="15.7109375" style="3" customWidth="1"/>
    <col min="39" max="39" width="20.140625" style="3" customWidth="1"/>
    <col min="40" max="40" width="26.28515625" style="3" customWidth="1"/>
    <col min="41" max="41" width="22.140625" style="3" customWidth="1"/>
    <col min="42" max="54" width="14.85546875" style="3" customWidth="1"/>
    <col min="55" max="16384" width="11.42578125" style="3"/>
  </cols>
  <sheetData>
    <row r="1" spans="1:42" ht="30.75" customHeight="1" x14ac:dyDescent="0.2">
      <c r="A1" s="2678" t="s">
        <v>1755</v>
      </c>
      <c r="B1" s="2678"/>
      <c r="C1" s="2678"/>
      <c r="D1" s="2678"/>
      <c r="E1" s="2678"/>
      <c r="F1" s="2678"/>
      <c r="G1" s="2678"/>
      <c r="H1" s="2678"/>
      <c r="I1" s="2678"/>
      <c r="J1" s="2678"/>
      <c r="K1" s="2678"/>
      <c r="L1" s="2678"/>
      <c r="M1" s="2678"/>
      <c r="N1" s="2678"/>
      <c r="O1" s="2678"/>
      <c r="P1" s="2678"/>
      <c r="Q1" s="2678"/>
      <c r="R1" s="2678"/>
      <c r="S1" s="2678"/>
      <c r="T1" s="2678"/>
      <c r="U1" s="2678"/>
      <c r="V1" s="2678"/>
      <c r="W1" s="2678"/>
      <c r="X1" s="2678"/>
      <c r="Y1" s="2678"/>
      <c r="Z1" s="2678"/>
      <c r="AA1" s="2678"/>
      <c r="AB1" s="2678"/>
      <c r="AC1" s="2678"/>
      <c r="AD1" s="2678"/>
      <c r="AE1" s="2678"/>
      <c r="AF1" s="2678"/>
      <c r="AG1" s="2678"/>
      <c r="AH1" s="2678"/>
      <c r="AI1" s="2678"/>
      <c r="AJ1" s="2678"/>
      <c r="AK1" s="2678"/>
      <c r="AL1" s="2678"/>
      <c r="AM1" s="2678"/>
      <c r="AN1" s="6" t="s">
        <v>0</v>
      </c>
      <c r="AO1" s="6" t="s">
        <v>1</v>
      </c>
    </row>
    <row r="2" spans="1:42" ht="30.75" customHeight="1" x14ac:dyDescent="0.2">
      <c r="A2" s="2678"/>
      <c r="B2" s="2678"/>
      <c r="C2" s="2678"/>
      <c r="D2" s="2678"/>
      <c r="E2" s="2678"/>
      <c r="F2" s="2678"/>
      <c r="G2" s="2678"/>
      <c r="H2" s="2678"/>
      <c r="I2" s="2678"/>
      <c r="J2" s="2678"/>
      <c r="K2" s="2678"/>
      <c r="L2" s="2678"/>
      <c r="M2" s="2678"/>
      <c r="N2" s="2678"/>
      <c r="O2" s="2678"/>
      <c r="P2" s="2678"/>
      <c r="Q2" s="2678"/>
      <c r="R2" s="2678"/>
      <c r="S2" s="2678"/>
      <c r="T2" s="2678"/>
      <c r="U2" s="2678"/>
      <c r="V2" s="2678"/>
      <c r="W2" s="2678"/>
      <c r="X2" s="2678"/>
      <c r="Y2" s="2678"/>
      <c r="Z2" s="2678"/>
      <c r="AA2" s="2678"/>
      <c r="AB2" s="2678"/>
      <c r="AC2" s="2678"/>
      <c r="AD2" s="2678"/>
      <c r="AE2" s="2678"/>
      <c r="AF2" s="2678"/>
      <c r="AG2" s="2678"/>
      <c r="AH2" s="2678"/>
      <c r="AI2" s="2678"/>
      <c r="AJ2" s="2678"/>
      <c r="AK2" s="2678"/>
      <c r="AL2" s="2678"/>
      <c r="AM2" s="2678"/>
      <c r="AN2" s="4" t="s">
        <v>2</v>
      </c>
      <c r="AO2" s="510">
        <v>6</v>
      </c>
    </row>
    <row r="3" spans="1:42" ht="30.75" customHeight="1" x14ac:dyDescent="0.2">
      <c r="A3" s="2678"/>
      <c r="B3" s="2678"/>
      <c r="C3" s="2678"/>
      <c r="D3" s="2678"/>
      <c r="E3" s="2678"/>
      <c r="F3" s="2678"/>
      <c r="G3" s="2678"/>
      <c r="H3" s="2678"/>
      <c r="I3" s="2678"/>
      <c r="J3" s="2678"/>
      <c r="K3" s="2678"/>
      <c r="L3" s="2678"/>
      <c r="M3" s="2678"/>
      <c r="N3" s="2678"/>
      <c r="O3" s="2678"/>
      <c r="P3" s="2678"/>
      <c r="Q3" s="2678"/>
      <c r="R3" s="2678"/>
      <c r="S3" s="2678"/>
      <c r="T3" s="2678"/>
      <c r="U3" s="2678"/>
      <c r="V3" s="2678"/>
      <c r="W3" s="2678"/>
      <c r="X3" s="2678"/>
      <c r="Y3" s="2678"/>
      <c r="Z3" s="2678"/>
      <c r="AA3" s="2678"/>
      <c r="AB3" s="2678"/>
      <c r="AC3" s="2678"/>
      <c r="AD3" s="2678"/>
      <c r="AE3" s="2678"/>
      <c r="AF3" s="2678"/>
      <c r="AG3" s="2678"/>
      <c r="AH3" s="2678"/>
      <c r="AI3" s="2678"/>
      <c r="AJ3" s="2678"/>
      <c r="AK3" s="2678"/>
      <c r="AL3" s="2678"/>
      <c r="AM3" s="2678"/>
      <c r="AN3" s="6" t="s">
        <v>4</v>
      </c>
      <c r="AO3" s="511" t="s">
        <v>5</v>
      </c>
    </row>
    <row r="4" spans="1:42" s="10" customFormat="1" ht="30.75" customHeight="1" x14ac:dyDescent="0.2">
      <c r="A4" s="2679"/>
      <c r="B4" s="2679"/>
      <c r="C4" s="2679"/>
      <c r="D4" s="2679"/>
      <c r="E4" s="2679"/>
      <c r="F4" s="2679"/>
      <c r="G4" s="2679"/>
      <c r="H4" s="2679"/>
      <c r="I4" s="2679"/>
      <c r="J4" s="2679"/>
      <c r="K4" s="2679"/>
      <c r="L4" s="2679"/>
      <c r="M4" s="2679"/>
      <c r="N4" s="2679"/>
      <c r="O4" s="2679"/>
      <c r="P4" s="2679"/>
      <c r="Q4" s="2679"/>
      <c r="R4" s="2679"/>
      <c r="S4" s="2679"/>
      <c r="T4" s="2679"/>
      <c r="U4" s="2679"/>
      <c r="V4" s="2679"/>
      <c r="W4" s="2679"/>
      <c r="X4" s="2679"/>
      <c r="Y4" s="2679"/>
      <c r="Z4" s="2679"/>
      <c r="AA4" s="2679"/>
      <c r="AB4" s="2679"/>
      <c r="AC4" s="2679"/>
      <c r="AD4" s="2679"/>
      <c r="AE4" s="2679"/>
      <c r="AF4" s="2679"/>
      <c r="AG4" s="2679"/>
      <c r="AH4" s="2679"/>
      <c r="AI4" s="2679"/>
      <c r="AJ4" s="2679"/>
      <c r="AK4" s="2679"/>
      <c r="AL4" s="2679"/>
      <c r="AM4" s="2679"/>
      <c r="AN4" s="8" t="s">
        <v>6</v>
      </c>
      <c r="AO4" s="512" t="s">
        <v>534</v>
      </c>
    </row>
    <row r="5" spans="1:42" ht="30.75" customHeight="1" x14ac:dyDescent="0.2">
      <c r="A5" s="3457" t="s">
        <v>8</v>
      </c>
      <c r="B5" s="2680"/>
      <c r="C5" s="2680"/>
      <c r="D5" s="2680"/>
      <c r="E5" s="2680"/>
      <c r="F5" s="2680"/>
      <c r="G5" s="2680"/>
      <c r="H5" s="2680"/>
      <c r="I5" s="2680"/>
      <c r="J5" s="2680"/>
      <c r="K5" s="2680"/>
      <c r="L5" s="1439"/>
      <c r="M5" s="1439"/>
      <c r="N5" s="2681" t="s">
        <v>9</v>
      </c>
      <c r="O5" s="2681"/>
      <c r="P5" s="2681"/>
      <c r="Q5" s="2681"/>
      <c r="R5" s="2681"/>
      <c r="S5" s="2681"/>
      <c r="T5" s="2681"/>
      <c r="U5" s="2681"/>
      <c r="V5" s="2681"/>
      <c r="W5" s="2681"/>
      <c r="X5" s="2681"/>
      <c r="Y5" s="2681"/>
      <c r="Z5" s="2681"/>
      <c r="AA5" s="2681"/>
      <c r="AB5" s="2681"/>
      <c r="AC5" s="2681"/>
      <c r="AD5" s="2681"/>
      <c r="AE5" s="2681"/>
      <c r="AF5" s="2681"/>
      <c r="AG5" s="2681"/>
      <c r="AH5" s="2681"/>
      <c r="AI5" s="2681"/>
      <c r="AJ5" s="2681"/>
      <c r="AK5" s="2681"/>
      <c r="AL5" s="2681"/>
      <c r="AM5" s="2681"/>
      <c r="AN5" s="2681"/>
      <c r="AO5" s="2681"/>
    </row>
    <row r="6" spans="1:42" ht="30.75" customHeight="1" x14ac:dyDescent="0.2">
      <c r="A6" s="2742"/>
      <c r="B6" s="2740"/>
      <c r="C6" s="2740"/>
      <c r="D6" s="2740"/>
      <c r="E6" s="2740"/>
      <c r="F6" s="2740"/>
      <c r="G6" s="2740"/>
      <c r="H6" s="2740"/>
      <c r="I6" s="2740"/>
      <c r="J6" s="2740"/>
      <c r="K6" s="2740"/>
      <c r="L6" s="1439"/>
      <c r="M6" s="1528"/>
      <c r="N6" s="3194"/>
      <c r="O6" s="3195"/>
      <c r="P6" s="3195"/>
      <c r="Q6" s="3195"/>
      <c r="R6" s="3195"/>
      <c r="S6" s="3195"/>
      <c r="T6" s="3195"/>
      <c r="U6" s="3195"/>
      <c r="V6" s="3196"/>
      <c r="W6" s="1529"/>
      <c r="X6" s="1529"/>
      <c r="Y6" s="1529"/>
      <c r="Z6" s="1529"/>
      <c r="AA6" s="1529"/>
      <c r="AB6" s="1529"/>
      <c r="AC6" s="1529"/>
      <c r="AD6" s="1529"/>
      <c r="AE6" s="1529"/>
      <c r="AF6" s="1529"/>
      <c r="AG6" s="1529"/>
      <c r="AH6" s="1529"/>
      <c r="AI6" s="1529"/>
      <c r="AJ6" s="1529"/>
      <c r="AK6" s="1529"/>
      <c r="AL6" s="1529"/>
      <c r="AM6" s="3194"/>
      <c r="AN6" s="3195"/>
      <c r="AO6" s="3196"/>
    </row>
    <row r="7" spans="1:42" ht="30.75" customHeight="1" x14ac:dyDescent="0.2">
      <c r="A7" s="3119" t="s">
        <v>11</v>
      </c>
      <c r="B7" s="3119" t="s">
        <v>12</v>
      </c>
      <c r="C7" s="3119"/>
      <c r="D7" s="3119" t="s">
        <v>11</v>
      </c>
      <c r="E7" s="3119" t="s">
        <v>13</v>
      </c>
      <c r="F7" s="3119" t="s">
        <v>11</v>
      </c>
      <c r="G7" s="3119" t="s">
        <v>14</v>
      </c>
      <c r="H7" s="3119" t="s">
        <v>11</v>
      </c>
      <c r="I7" s="3119" t="s">
        <v>15</v>
      </c>
      <c r="J7" s="3119" t="s">
        <v>16</v>
      </c>
      <c r="K7" s="2684" t="s">
        <v>17</v>
      </c>
      <c r="L7" s="3119" t="s">
        <v>18</v>
      </c>
      <c r="M7" s="2688" t="s">
        <v>947</v>
      </c>
      <c r="N7" s="3119" t="s">
        <v>9</v>
      </c>
      <c r="O7" s="3119" t="s">
        <v>20</v>
      </c>
      <c r="P7" s="3119" t="s">
        <v>21</v>
      </c>
      <c r="Q7" s="3119" t="s">
        <v>22</v>
      </c>
      <c r="R7" s="3119" t="s">
        <v>23</v>
      </c>
      <c r="S7" s="3119" t="s">
        <v>24</v>
      </c>
      <c r="T7" s="2684" t="s">
        <v>21</v>
      </c>
      <c r="U7" s="2688" t="s">
        <v>11</v>
      </c>
      <c r="V7" s="3119" t="s">
        <v>25</v>
      </c>
      <c r="W7" s="2696" t="s">
        <v>26</v>
      </c>
      <c r="X7" s="2697"/>
      <c r="Y7" s="2698" t="s">
        <v>27</v>
      </c>
      <c r="Z7" s="2699"/>
      <c r="AA7" s="2699"/>
      <c r="AB7" s="2699"/>
      <c r="AC7" s="2700" t="s">
        <v>28</v>
      </c>
      <c r="AD7" s="2701"/>
      <c r="AE7" s="2701"/>
      <c r="AF7" s="2701"/>
      <c r="AG7" s="2701"/>
      <c r="AH7" s="2701"/>
      <c r="AI7" s="2698" t="s">
        <v>29</v>
      </c>
      <c r="AJ7" s="2699"/>
      <c r="AK7" s="2699"/>
      <c r="AL7" s="2746" t="s">
        <v>30</v>
      </c>
      <c r="AM7" s="3184" t="s">
        <v>31</v>
      </c>
      <c r="AN7" s="3184" t="s">
        <v>32</v>
      </c>
      <c r="AO7" s="3459" t="s">
        <v>33</v>
      </c>
    </row>
    <row r="8" spans="1:42" ht="120" customHeight="1" x14ac:dyDescent="0.2">
      <c r="A8" s="3119"/>
      <c r="B8" s="3119"/>
      <c r="C8" s="3119"/>
      <c r="D8" s="3119"/>
      <c r="E8" s="3119"/>
      <c r="F8" s="3119"/>
      <c r="G8" s="3119"/>
      <c r="H8" s="3119"/>
      <c r="I8" s="3119"/>
      <c r="J8" s="3119"/>
      <c r="K8" s="2708"/>
      <c r="L8" s="3119"/>
      <c r="M8" s="2689"/>
      <c r="N8" s="3119"/>
      <c r="O8" s="3119"/>
      <c r="P8" s="3119"/>
      <c r="Q8" s="3119"/>
      <c r="R8" s="3119"/>
      <c r="S8" s="3119"/>
      <c r="T8" s="2686"/>
      <c r="U8" s="2689"/>
      <c r="V8" s="3119"/>
      <c r="W8" s="136" t="s">
        <v>34</v>
      </c>
      <c r="X8" s="513" t="s">
        <v>35</v>
      </c>
      <c r="Y8" s="136" t="s">
        <v>36</v>
      </c>
      <c r="Z8" s="136" t="s">
        <v>115</v>
      </c>
      <c r="AA8" s="136" t="s">
        <v>948</v>
      </c>
      <c r="AB8" s="136" t="s">
        <v>117</v>
      </c>
      <c r="AC8" s="136" t="s">
        <v>40</v>
      </c>
      <c r="AD8" s="136" t="s">
        <v>41</v>
      </c>
      <c r="AE8" s="136" t="s">
        <v>42</v>
      </c>
      <c r="AF8" s="136" t="s">
        <v>43</v>
      </c>
      <c r="AG8" s="136" t="s">
        <v>44</v>
      </c>
      <c r="AH8" s="136" t="s">
        <v>45</v>
      </c>
      <c r="AI8" s="136" t="s">
        <v>46</v>
      </c>
      <c r="AJ8" s="136" t="s">
        <v>47</v>
      </c>
      <c r="AK8" s="136" t="s">
        <v>48</v>
      </c>
      <c r="AL8" s="2747"/>
      <c r="AM8" s="3185"/>
      <c r="AN8" s="3185"/>
      <c r="AO8" s="3459"/>
    </row>
    <row r="9" spans="1:42" ht="15.75" customHeight="1" x14ac:dyDescent="0.2">
      <c r="A9" s="514">
        <v>5</v>
      </c>
      <c r="B9" s="314" t="s">
        <v>49</v>
      </c>
      <c r="C9" s="314"/>
      <c r="D9" s="314"/>
      <c r="E9" s="314"/>
      <c r="F9" s="314"/>
      <c r="G9" s="314"/>
      <c r="H9" s="314"/>
      <c r="I9" s="351"/>
      <c r="J9" s="351"/>
      <c r="K9" s="314"/>
      <c r="L9" s="352"/>
      <c r="M9" s="351"/>
      <c r="N9" s="515"/>
      <c r="O9" s="516"/>
      <c r="P9" s="351"/>
      <c r="Q9" s="351"/>
      <c r="R9" s="351"/>
      <c r="S9" s="517"/>
      <c r="T9" s="518"/>
      <c r="U9" s="314"/>
      <c r="V9" s="314"/>
      <c r="W9" s="314"/>
      <c r="X9" s="519"/>
      <c r="Y9" s="519"/>
      <c r="Z9" s="519"/>
      <c r="AA9" s="519"/>
      <c r="AB9" s="519"/>
      <c r="AC9" s="519"/>
      <c r="AD9" s="519"/>
      <c r="AE9" s="519"/>
      <c r="AF9" s="519"/>
      <c r="AG9" s="519"/>
      <c r="AH9" s="519"/>
      <c r="AI9" s="519"/>
      <c r="AJ9" s="519"/>
      <c r="AK9" s="519"/>
      <c r="AL9" s="519"/>
      <c r="AM9" s="519"/>
      <c r="AN9" s="519"/>
      <c r="AO9" s="520"/>
    </row>
    <row r="10" spans="1:42" s="131" customFormat="1" ht="15.75" customHeight="1" x14ac:dyDescent="0.2">
      <c r="A10" s="521"/>
      <c r="B10" s="3464"/>
      <c r="C10" s="3465"/>
      <c r="D10" s="522">
        <v>26</v>
      </c>
      <c r="E10" s="523" t="s">
        <v>119</v>
      </c>
      <c r="F10" s="355"/>
      <c r="G10" s="355"/>
      <c r="H10" s="355"/>
      <c r="I10" s="356"/>
      <c r="J10" s="356"/>
      <c r="K10" s="355"/>
      <c r="L10" s="357"/>
      <c r="M10" s="356"/>
      <c r="N10" s="524"/>
      <c r="O10" s="525"/>
      <c r="P10" s="356"/>
      <c r="Q10" s="356"/>
      <c r="R10" s="356"/>
      <c r="S10" s="526"/>
      <c r="T10" s="527"/>
      <c r="U10" s="355"/>
      <c r="V10" s="355"/>
      <c r="W10" s="355"/>
      <c r="X10" s="317"/>
      <c r="Y10" s="317"/>
      <c r="Z10" s="317"/>
      <c r="AA10" s="317"/>
      <c r="AB10" s="317"/>
      <c r="AC10" s="467"/>
      <c r="AD10" s="528"/>
      <c r="AE10" s="467"/>
      <c r="AF10" s="467"/>
      <c r="AG10" s="528"/>
      <c r="AH10" s="485"/>
      <c r="AI10" s="467"/>
      <c r="AJ10" s="467"/>
      <c r="AK10" s="528"/>
      <c r="AL10" s="467"/>
      <c r="AM10" s="528"/>
      <c r="AN10" s="528"/>
      <c r="AO10" s="528"/>
    </row>
    <row r="11" spans="1:42" s="131" customFormat="1" ht="15.75" customHeight="1" x14ac:dyDescent="0.2">
      <c r="A11" s="529"/>
      <c r="B11" s="3464"/>
      <c r="C11" s="3465"/>
      <c r="D11" s="3468"/>
      <c r="E11" s="3229"/>
      <c r="F11" s="530">
        <v>83</v>
      </c>
      <c r="G11" s="531" t="s">
        <v>949</v>
      </c>
      <c r="H11" s="532"/>
      <c r="I11" s="533"/>
      <c r="J11" s="533"/>
      <c r="K11" s="475"/>
      <c r="L11" s="534"/>
      <c r="M11" s="533"/>
      <c r="N11" s="535"/>
      <c r="O11" s="536"/>
      <c r="P11" s="533"/>
      <c r="Q11" s="533"/>
      <c r="R11" s="533"/>
      <c r="S11" s="537"/>
      <c r="T11" s="1277"/>
      <c r="U11" s="1278"/>
      <c r="V11" s="1278"/>
      <c r="W11" s="475"/>
      <c r="X11" s="475"/>
      <c r="Y11" s="475"/>
      <c r="Z11" s="475"/>
      <c r="AA11" s="475"/>
      <c r="AB11" s="475"/>
      <c r="AC11" s="475"/>
      <c r="AD11" s="538"/>
      <c r="AE11" s="475"/>
      <c r="AF11" s="538"/>
      <c r="AG11" s="533"/>
      <c r="AH11" s="475"/>
      <c r="AI11" s="538"/>
      <c r="AJ11" s="475"/>
      <c r="AK11" s="538"/>
      <c r="AL11" s="533"/>
      <c r="AM11" s="538"/>
      <c r="AN11" s="533"/>
      <c r="AO11" s="533"/>
    </row>
    <row r="12" spans="1:42" s="131" customFormat="1" ht="37.5" customHeight="1" x14ac:dyDescent="0.2">
      <c r="A12" s="529"/>
      <c r="B12" s="3464"/>
      <c r="C12" s="3465"/>
      <c r="D12" s="3469"/>
      <c r="E12" s="3230"/>
      <c r="F12" s="3471"/>
      <c r="G12" s="3472"/>
      <c r="H12" s="2811">
        <v>244</v>
      </c>
      <c r="I12" s="2808" t="s">
        <v>950</v>
      </c>
      <c r="J12" s="2808" t="s">
        <v>951</v>
      </c>
      <c r="K12" s="2811">
        <v>12</v>
      </c>
      <c r="L12" s="2811" t="s">
        <v>952</v>
      </c>
      <c r="M12" s="2811" t="s">
        <v>953</v>
      </c>
      <c r="N12" s="2808" t="s">
        <v>954</v>
      </c>
      <c r="O12" s="3473">
        <f>SUM(T12:T15)/P12</f>
        <v>1</v>
      </c>
      <c r="P12" s="3474">
        <f>SUM(T12:T15)</f>
        <v>450000000</v>
      </c>
      <c r="Q12" s="2808" t="s">
        <v>955</v>
      </c>
      <c r="R12" s="3315" t="s">
        <v>956</v>
      </c>
      <c r="S12" s="3475" t="s">
        <v>957</v>
      </c>
      <c r="T12" s="1727">
        <v>328040000</v>
      </c>
      <c r="U12" s="1279" t="s">
        <v>214</v>
      </c>
      <c r="V12" s="1601" t="s">
        <v>621</v>
      </c>
      <c r="W12" s="3463">
        <v>294321</v>
      </c>
      <c r="X12" s="3461">
        <v>283947</v>
      </c>
      <c r="Y12" s="3461">
        <v>135754</v>
      </c>
      <c r="Z12" s="3461">
        <v>44640</v>
      </c>
      <c r="AA12" s="3461">
        <v>308178</v>
      </c>
      <c r="AB12" s="3461">
        <v>89696</v>
      </c>
      <c r="AC12" s="3461">
        <v>2145</v>
      </c>
      <c r="AD12" s="3461">
        <v>12718</v>
      </c>
      <c r="AE12" s="3462">
        <v>26</v>
      </c>
      <c r="AF12" s="3462">
        <v>37</v>
      </c>
      <c r="AG12" s="2548">
        <v>0</v>
      </c>
      <c r="AH12" s="2548">
        <v>0</v>
      </c>
      <c r="AI12" s="3461">
        <v>52505</v>
      </c>
      <c r="AJ12" s="3461">
        <v>16897</v>
      </c>
      <c r="AK12" s="3461">
        <v>61646</v>
      </c>
      <c r="AL12" s="2727">
        <f>+Y12+Z12+AA12+AB12</f>
        <v>578268</v>
      </c>
      <c r="AM12" s="3460">
        <v>43101</v>
      </c>
      <c r="AN12" s="3460">
        <v>43465</v>
      </c>
      <c r="AO12" s="3315" t="s">
        <v>958</v>
      </c>
      <c r="AP12" s="3500"/>
    </row>
    <row r="13" spans="1:42" s="131" customFormat="1" ht="33" customHeight="1" x14ac:dyDescent="0.2">
      <c r="A13" s="529"/>
      <c r="B13" s="3464"/>
      <c r="C13" s="3465"/>
      <c r="D13" s="3469"/>
      <c r="E13" s="3230"/>
      <c r="F13" s="3471"/>
      <c r="G13" s="3472"/>
      <c r="H13" s="2811"/>
      <c r="I13" s="2808"/>
      <c r="J13" s="2808"/>
      <c r="K13" s="2811"/>
      <c r="L13" s="2811"/>
      <c r="M13" s="2811"/>
      <c r="N13" s="2808"/>
      <c r="O13" s="3473"/>
      <c r="P13" s="3474"/>
      <c r="Q13" s="2808"/>
      <c r="R13" s="3315"/>
      <c r="S13" s="3476"/>
      <c r="T13" s="1728">
        <f>0+7645567</f>
        <v>7645567</v>
      </c>
      <c r="U13" s="1281">
        <v>88</v>
      </c>
      <c r="V13" s="1601" t="s">
        <v>264</v>
      </c>
      <c r="W13" s="3463"/>
      <c r="X13" s="3461"/>
      <c r="Y13" s="3461">
        <v>135912</v>
      </c>
      <c r="Z13" s="3461">
        <v>45122</v>
      </c>
      <c r="AA13" s="3461">
        <v>307101</v>
      </c>
      <c r="AB13" s="3461">
        <v>86875</v>
      </c>
      <c r="AC13" s="3461">
        <v>2145</v>
      </c>
      <c r="AD13" s="3461">
        <v>12718</v>
      </c>
      <c r="AE13" s="3462">
        <v>26</v>
      </c>
      <c r="AF13" s="3462">
        <v>37</v>
      </c>
      <c r="AG13" s="2548"/>
      <c r="AH13" s="2548"/>
      <c r="AI13" s="3461">
        <v>53164</v>
      </c>
      <c r="AJ13" s="3461">
        <v>16982</v>
      </c>
      <c r="AK13" s="3461">
        <v>6013</v>
      </c>
      <c r="AL13" s="2727"/>
      <c r="AM13" s="3460"/>
      <c r="AN13" s="3460"/>
      <c r="AO13" s="3315"/>
      <c r="AP13" s="3500"/>
    </row>
    <row r="14" spans="1:42" s="131" customFormat="1" ht="35.25" customHeight="1" x14ac:dyDescent="0.2">
      <c r="A14" s="529"/>
      <c r="B14" s="3464"/>
      <c r="C14" s="3465"/>
      <c r="D14" s="3469"/>
      <c r="E14" s="3230"/>
      <c r="F14" s="3471"/>
      <c r="G14" s="3472"/>
      <c r="H14" s="2811"/>
      <c r="I14" s="2808"/>
      <c r="J14" s="2808"/>
      <c r="K14" s="2811"/>
      <c r="L14" s="2811"/>
      <c r="M14" s="2811"/>
      <c r="N14" s="2808"/>
      <c r="O14" s="3473"/>
      <c r="P14" s="3474"/>
      <c r="Q14" s="2808"/>
      <c r="R14" s="2808" t="s">
        <v>959</v>
      </c>
      <c r="S14" s="3475" t="s">
        <v>960</v>
      </c>
      <c r="T14" s="1729">
        <v>71960000</v>
      </c>
      <c r="U14" s="1551" t="s">
        <v>214</v>
      </c>
      <c r="V14" s="1280" t="s">
        <v>621</v>
      </c>
      <c r="W14" s="3463"/>
      <c r="X14" s="3461"/>
      <c r="Y14" s="3461">
        <v>135912</v>
      </c>
      <c r="Z14" s="3461">
        <v>45122</v>
      </c>
      <c r="AA14" s="3461">
        <v>307101</v>
      </c>
      <c r="AB14" s="3461">
        <v>86875</v>
      </c>
      <c r="AC14" s="3461">
        <v>2145</v>
      </c>
      <c r="AD14" s="3461">
        <v>12718</v>
      </c>
      <c r="AE14" s="3462">
        <v>26</v>
      </c>
      <c r="AF14" s="3462">
        <v>37</v>
      </c>
      <c r="AG14" s="2548"/>
      <c r="AH14" s="2548"/>
      <c r="AI14" s="3461">
        <v>53164</v>
      </c>
      <c r="AJ14" s="3461">
        <v>16982</v>
      </c>
      <c r="AK14" s="3461">
        <v>6013</v>
      </c>
      <c r="AL14" s="2727"/>
      <c r="AM14" s="3460"/>
      <c r="AN14" s="3460"/>
      <c r="AO14" s="3315"/>
      <c r="AP14" s="1171"/>
    </row>
    <row r="15" spans="1:42" s="131" customFormat="1" ht="39" customHeight="1" x14ac:dyDescent="0.2">
      <c r="A15" s="529"/>
      <c r="B15" s="3464"/>
      <c r="C15" s="3465"/>
      <c r="D15" s="3469"/>
      <c r="E15" s="3230"/>
      <c r="F15" s="3471"/>
      <c r="G15" s="3472"/>
      <c r="H15" s="2811"/>
      <c r="I15" s="2808"/>
      <c r="J15" s="2808"/>
      <c r="K15" s="2811"/>
      <c r="L15" s="2811"/>
      <c r="M15" s="2811"/>
      <c r="N15" s="2808"/>
      <c r="O15" s="3473"/>
      <c r="P15" s="3474"/>
      <c r="Q15" s="2808"/>
      <c r="R15" s="2808"/>
      <c r="S15" s="3476"/>
      <c r="T15" s="1729">
        <f>0+42354433</f>
        <v>42354433</v>
      </c>
      <c r="U15" s="1551">
        <v>88</v>
      </c>
      <c r="V15" s="1280" t="s">
        <v>264</v>
      </c>
      <c r="W15" s="3463"/>
      <c r="X15" s="3461"/>
      <c r="Y15" s="3461">
        <v>135912</v>
      </c>
      <c r="Z15" s="3461">
        <v>45122</v>
      </c>
      <c r="AA15" s="3461">
        <v>307101</v>
      </c>
      <c r="AB15" s="3461">
        <v>86875</v>
      </c>
      <c r="AC15" s="3461">
        <v>2145</v>
      </c>
      <c r="AD15" s="3461">
        <v>12718</v>
      </c>
      <c r="AE15" s="3462">
        <v>26</v>
      </c>
      <c r="AF15" s="3462">
        <v>37</v>
      </c>
      <c r="AG15" s="2548"/>
      <c r="AH15" s="2548"/>
      <c r="AI15" s="3461">
        <v>53164</v>
      </c>
      <c r="AJ15" s="3461">
        <v>16982</v>
      </c>
      <c r="AK15" s="3461">
        <v>6013</v>
      </c>
      <c r="AL15" s="2728"/>
      <c r="AM15" s="3460"/>
      <c r="AN15" s="3460"/>
      <c r="AO15" s="3315"/>
    </row>
    <row r="16" spans="1:42" s="131" customFormat="1" ht="114" customHeight="1" x14ac:dyDescent="0.2">
      <c r="A16" s="529"/>
      <c r="B16" s="3464"/>
      <c r="C16" s="3465"/>
      <c r="D16" s="3470"/>
      <c r="E16" s="3232"/>
      <c r="F16" s="3471"/>
      <c r="G16" s="3472"/>
      <c r="H16" s="1498">
        <v>245</v>
      </c>
      <c r="I16" s="1497" t="s">
        <v>961</v>
      </c>
      <c r="J16" s="1497" t="s">
        <v>962</v>
      </c>
      <c r="K16" s="1498">
        <v>1</v>
      </c>
      <c r="L16" s="1878" t="s">
        <v>963</v>
      </c>
      <c r="M16" s="1498" t="s">
        <v>964</v>
      </c>
      <c r="N16" s="1497" t="s">
        <v>965</v>
      </c>
      <c r="O16" s="1586">
        <f>SUM(T16)/P16</f>
        <v>1</v>
      </c>
      <c r="P16" s="1580">
        <f>T16</f>
        <v>40000000</v>
      </c>
      <c r="Q16" s="1497" t="s">
        <v>966</v>
      </c>
      <c r="R16" s="1497" t="s">
        <v>967</v>
      </c>
      <c r="S16" s="1497" t="s">
        <v>968</v>
      </c>
      <c r="T16" s="1730">
        <v>40000000</v>
      </c>
      <c r="U16" s="1538">
        <v>20</v>
      </c>
      <c r="V16" s="1552" t="s">
        <v>61</v>
      </c>
      <c r="W16" s="1585">
        <v>294321</v>
      </c>
      <c r="X16" s="1585">
        <v>283947</v>
      </c>
      <c r="Y16" s="1471">
        <v>13754</v>
      </c>
      <c r="Z16" s="1471">
        <v>44640</v>
      </c>
      <c r="AA16" s="1471">
        <v>308178</v>
      </c>
      <c r="AB16" s="1471">
        <v>89696</v>
      </c>
      <c r="AC16" s="1471">
        <v>2145</v>
      </c>
      <c r="AD16" s="1471">
        <v>12718</v>
      </c>
      <c r="AE16" s="1471">
        <v>26</v>
      </c>
      <c r="AF16" s="1471">
        <v>37</v>
      </c>
      <c r="AG16" s="1471">
        <v>0</v>
      </c>
      <c r="AH16" s="1471">
        <v>0</v>
      </c>
      <c r="AI16" s="1471">
        <v>52505</v>
      </c>
      <c r="AJ16" s="1471">
        <v>16897</v>
      </c>
      <c r="AK16" s="1471">
        <v>61646</v>
      </c>
      <c r="AL16" s="1471">
        <f>+W16+X16</f>
        <v>578268</v>
      </c>
      <c r="AM16" s="1582">
        <v>43101</v>
      </c>
      <c r="AN16" s="1582">
        <v>43465</v>
      </c>
      <c r="AO16" s="1497" t="s">
        <v>958</v>
      </c>
      <c r="AP16" s="1481"/>
    </row>
    <row r="17" spans="1:49" ht="15.75" x14ac:dyDescent="0.2">
      <c r="A17" s="529"/>
      <c r="B17" s="3464"/>
      <c r="C17" s="3465"/>
      <c r="D17" s="539">
        <v>28</v>
      </c>
      <c r="E17" s="523" t="s">
        <v>205</v>
      </c>
      <c r="F17" s="354"/>
      <c r="G17" s="354"/>
      <c r="H17" s="540"/>
      <c r="I17" s="485"/>
      <c r="J17" s="485"/>
      <c r="K17" s="467"/>
      <c r="L17" s="541"/>
      <c r="M17" s="485"/>
      <c r="N17" s="542"/>
      <c r="O17" s="543"/>
      <c r="P17" s="485"/>
      <c r="Q17" s="485"/>
      <c r="R17" s="485"/>
      <c r="S17" s="544"/>
      <c r="T17" s="545"/>
      <c r="U17" s="541"/>
      <c r="V17" s="541"/>
      <c r="W17" s="541"/>
      <c r="X17" s="541"/>
      <c r="Y17" s="541"/>
      <c r="Z17" s="541"/>
      <c r="AA17" s="541"/>
      <c r="AB17" s="541"/>
      <c r="AC17" s="541"/>
      <c r="AD17" s="541"/>
      <c r="AE17" s="541"/>
      <c r="AF17" s="541"/>
      <c r="AG17" s="541"/>
      <c r="AH17" s="541"/>
      <c r="AI17" s="541"/>
      <c r="AJ17" s="541"/>
      <c r="AK17" s="541"/>
      <c r="AL17" s="541"/>
      <c r="AM17" s="541"/>
      <c r="AN17" s="541"/>
      <c r="AO17" s="485"/>
    </row>
    <row r="18" spans="1:49" ht="15.75" x14ac:dyDescent="0.2">
      <c r="A18" s="529"/>
      <c r="B18" s="3464"/>
      <c r="C18" s="3465"/>
      <c r="D18" s="3477"/>
      <c r="E18" s="3480"/>
      <c r="F18" s="546">
        <v>89</v>
      </c>
      <c r="G18" s="3483" t="s">
        <v>969</v>
      </c>
      <c r="H18" s="3483"/>
      <c r="I18" s="3483"/>
      <c r="J18" s="3483"/>
      <c r="K18" s="3483"/>
      <c r="L18" s="547"/>
      <c r="M18" s="3458"/>
      <c r="N18" s="3458"/>
      <c r="O18" s="3458"/>
      <c r="P18" s="3458"/>
      <c r="Q18" s="3458"/>
      <c r="R18" s="3458"/>
      <c r="S18" s="3458"/>
      <c r="T18" s="548"/>
      <c r="U18" s="3497"/>
      <c r="V18" s="3458"/>
      <c r="W18" s="3458"/>
      <c r="X18" s="3458"/>
      <c r="Y18" s="3458"/>
      <c r="Z18" s="3458"/>
      <c r="AA18" s="3458"/>
      <c r="AB18" s="3458"/>
      <c r="AC18" s="3458"/>
      <c r="AD18" s="3458"/>
      <c r="AE18" s="3458"/>
      <c r="AF18" s="3458"/>
      <c r="AG18" s="3458"/>
      <c r="AH18" s="3458"/>
      <c r="AI18" s="3458"/>
      <c r="AJ18" s="3458"/>
      <c r="AK18" s="3458"/>
      <c r="AL18" s="3458"/>
      <c r="AM18" s="3458"/>
      <c r="AN18" s="3458"/>
      <c r="AO18" s="3458"/>
    </row>
    <row r="19" spans="1:49" ht="35.25" customHeight="1" x14ac:dyDescent="0.2">
      <c r="A19" s="529"/>
      <c r="B19" s="3464"/>
      <c r="C19" s="3465"/>
      <c r="D19" s="3478"/>
      <c r="E19" s="3481"/>
      <c r="F19" s="3485"/>
      <c r="G19" s="3485"/>
      <c r="H19" s="2811">
        <v>288</v>
      </c>
      <c r="I19" s="2808" t="s">
        <v>970</v>
      </c>
      <c r="J19" s="2808" t="s">
        <v>971</v>
      </c>
      <c r="K19" s="2811">
        <v>1</v>
      </c>
      <c r="L19" s="2811" t="s">
        <v>972</v>
      </c>
      <c r="M19" s="2811" t="s">
        <v>973</v>
      </c>
      <c r="N19" s="2808" t="s">
        <v>974</v>
      </c>
      <c r="O19" s="3512">
        <f>SUM(T19:T24)/P19</f>
        <v>1</v>
      </c>
      <c r="P19" s="3274">
        <f>SUM(T19:T24)</f>
        <v>1463092662</v>
      </c>
      <c r="Q19" s="3325" t="s">
        <v>975</v>
      </c>
      <c r="R19" s="3484" t="s">
        <v>976</v>
      </c>
      <c r="S19" s="3492" t="s">
        <v>977</v>
      </c>
      <c r="T19" s="1731">
        <v>262242662</v>
      </c>
      <c r="U19" s="1551" t="s">
        <v>978</v>
      </c>
      <c r="V19" s="1602" t="s">
        <v>98</v>
      </c>
      <c r="W19" s="3506">
        <v>294321</v>
      </c>
      <c r="X19" s="3506">
        <v>283947</v>
      </c>
      <c r="Y19" s="3506">
        <v>13754</v>
      </c>
      <c r="Z19" s="3506">
        <v>44640</v>
      </c>
      <c r="AA19" s="3506">
        <v>308178</v>
      </c>
      <c r="AB19" s="3506">
        <v>89696</v>
      </c>
      <c r="AC19" s="3506">
        <v>2145</v>
      </c>
      <c r="AD19" s="3506">
        <v>12718</v>
      </c>
      <c r="AE19" s="3508">
        <v>26</v>
      </c>
      <c r="AF19" s="3508">
        <v>37</v>
      </c>
      <c r="AG19" s="3504">
        <v>0</v>
      </c>
      <c r="AH19" s="3504">
        <v>0</v>
      </c>
      <c r="AI19" s="3506">
        <v>52505</v>
      </c>
      <c r="AJ19" s="3506">
        <v>16897</v>
      </c>
      <c r="AK19" s="3506">
        <v>61646</v>
      </c>
      <c r="AL19" s="3506">
        <f>+W19+X19</f>
        <v>578268</v>
      </c>
      <c r="AM19" s="3487">
        <v>43101</v>
      </c>
      <c r="AN19" s="3490">
        <v>43465</v>
      </c>
      <c r="AO19" s="2822" t="s">
        <v>958</v>
      </c>
      <c r="AP19" s="131"/>
      <c r="AQ19" s="131"/>
      <c r="AR19" s="131"/>
      <c r="AS19" s="131"/>
      <c r="AT19" s="131"/>
      <c r="AU19" s="131"/>
      <c r="AV19" s="131"/>
      <c r="AW19" s="131"/>
    </row>
    <row r="20" spans="1:49" ht="33" customHeight="1" x14ac:dyDescent="0.2">
      <c r="A20" s="529"/>
      <c r="B20" s="3464"/>
      <c r="C20" s="3465"/>
      <c r="D20" s="3478"/>
      <c r="E20" s="3481"/>
      <c r="F20" s="3485"/>
      <c r="G20" s="3485"/>
      <c r="H20" s="2811"/>
      <c r="I20" s="2808"/>
      <c r="J20" s="2808"/>
      <c r="K20" s="2811"/>
      <c r="L20" s="2811"/>
      <c r="M20" s="2811"/>
      <c r="N20" s="2808"/>
      <c r="O20" s="3513"/>
      <c r="P20" s="3274"/>
      <c r="Q20" s="3325"/>
      <c r="R20" s="3484"/>
      <c r="S20" s="3493"/>
      <c r="T20" s="1732">
        <f>0+694757338</f>
        <v>694757338</v>
      </c>
      <c r="U20" s="1350">
        <v>88</v>
      </c>
      <c r="V20" s="1602" t="s">
        <v>264</v>
      </c>
      <c r="W20" s="3506"/>
      <c r="X20" s="3506"/>
      <c r="Y20" s="3506"/>
      <c r="Z20" s="3506"/>
      <c r="AA20" s="3506"/>
      <c r="AB20" s="3506"/>
      <c r="AC20" s="3506"/>
      <c r="AD20" s="3506"/>
      <c r="AE20" s="3508"/>
      <c r="AF20" s="3508"/>
      <c r="AG20" s="3505"/>
      <c r="AH20" s="3505"/>
      <c r="AI20" s="3506"/>
      <c r="AJ20" s="3506"/>
      <c r="AK20" s="3506"/>
      <c r="AL20" s="3506"/>
      <c r="AM20" s="3487"/>
      <c r="AN20" s="3491"/>
      <c r="AO20" s="2822"/>
      <c r="AP20" s="131"/>
      <c r="AQ20" s="131"/>
      <c r="AR20" s="131"/>
      <c r="AS20" s="131"/>
      <c r="AT20" s="131"/>
      <c r="AU20" s="131"/>
      <c r="AV20" s="131"/>
      <c r="AW20" s="131"/>
    </row>
    <row r="21" spans="1:49" ht="33" customHeight="1" x14ac:dyDescent="0.2">
      <c r="A21" s="529"/>
      <c r="B21" s="3464"/>
      <c r="C21" s="3465"/>
      <c r="D21" s="3478"/>
      <c r="E21" s="3481"/>
      <c r="F21" s="3485"/>
      <c r="G21" s="3485"/>
      <c r="H21" s="2811"/>
      <c r="I21" s="2808"/>
      <c r="J21" s="2808"/>
      <c r="K21" s="2811"/>
      <c r="L21" s="2811"/>
      <c r="M21" s="2811"/>
      <c r="N21" s="2808"/>
      <c r="O21" s="3513"/>
      <c r="P21" s="3274"/>
      <c r="Q21" s="3325"/>
      <c r="R21" s="3484"/>
      <c r="S21" s="3498" t="s">
        <v>979</v>
      </c>
      <c r="T21" s="1733">
        <v>30000000</v>
      </c>
      <c r="U21" s="1393" t="s">
        <v>978</v>
      </c>
      <c r="V21" s="1394" t="s">
        <v>98</v>
      </c>
      <c r="W21" s="3510"/>
      <c r="X21" s="3506"/>
      <c r="Y21" s="3506"/>
      <c r="Z21" s="3506"/>
      <c r="AA21" s="3506"/>
      <c r="AB21" s="3506"/>
      <c r="AC21" s="3506"/>
      <c r="AD21" s="3506"/>
      <c r="AE21" s="3508"/>
      <c r="AF21" s="3508"/>
      <c r="AG21" s="3505"/>
      <c r="AH21" s="3505"/>
      <c r="AI21" s="3506"/>
      <c r="AJ21" s="3506"/>
      <c r="AK21" s="3506"/>
      <c r="AL21" s="3506"/>
      <c r="AM21" s="3487"/>
      <c r="AN21" s="3491"/>
      <c r="AO21" s="2822"/>
      <c r="AP21" s="131"/>
      <c r="AQ21" s="131"/>
      <c r="AR21" s="131"/>
      <c r="AS21" s="131"/>
      <c r="AT21" s="131"/>
      <c r="AU21" s="131"/>
      <c r="AV21" s="131"/>
      <c r="AW21" s="131"/>
    </row>
    <row r="22" spans="1:49" ht="55.5" customHeight="1" x14ac:dyDescent="0.2">
      <c r="A22" s="529"/>
      <c r="B22" s="3464"/>
      <c r="C22" s="3465"/>
      <c r="D22" s="3478"/>
      <c r="E22" s="3481"/>
      <c r="F22" s="3485"/>
      <c r="G22" s="3485"/>
      <c r="H22" s="2811"/>
      <c r="I22" s="2808"/>
      <c r="J22" s="2808"/>
      <c r="K22" s="2811"/>
      <c r="L22" s="2811"/>
      <c r="M22" s="2811"/>
      <c r="N22" s="2808"/>
      <c r="O22" s="3513"/>
      <c r="P22" s="3474"/>
      <c r="Q22" s="2808"/>
      <c r="R22" s="3484"/>
      <c r="S22" s="3499"/>
      <c r="T22" s="1734">
        <f>0+8565900</f>
        <v>8565900</v>
      </c>
      <c r="U22" s="1393">
        <v>88</v>
      </c>
      <c r="V22" s="1394" t="s">
        <v>264</v>
      </c>
      <c r="W22" s="3510"/>
      <c r="X22" s="3506"/>
      <c r="Y22" s="3506"/>
      <c r="Z22" s="3506"/>
      <c r="AA22" s="3506"/>
      <c r="AB22" s="3506"/>
      <c r="AC22" s="3506"/>
      <c r="AD22" s="3506"/>
      <c r="AE22" s="3508"/>
      <c r="AF22" s="3508"/>
      <c r="AG22" s="3505"/>
      <c r="AH22" s="3505"/>
      <c r="AI22" s="3506"/>
      <c r="AJ22" s="3506"/>
      <c r="AK22" s="3506"/>
      <c r="AL22" s="3506"/>
      <c r="AM22" s="3488"/>
      <c r="AN22" s="3491"/>
      <c r="AO22" s="3315"/>
      <c r="AP22" s="131"/>
      <c r="AQ22" s="131"/>
      <c r="AR22" s="131"/>
      <c r="AS22" s="131"/>
      <c r="AT22" s="131"/>
      <c r="AU22" s="131"/>
      <c r="AV22" s="131"/>
      <c r="AW22" s="131"/>
    </row>
    <row r="23" spans="1:49" ht="30" customHeight="1" x14ac:dyDescent="0.2">
      <c r="A23" s="529"/>
      <c r="B23" s="3228"/>
      <c r="C23" s="3229"/>
      <c r="D23" s="3478"/>
      <c r="E23" s="3481"/>
      <c r="F23" s="3486"/>
      <c r="G23" s="3486"/>
      <c r="H23" s="2823"/>
      <c r="I23" s="3235"/>
      <c r="J23" s="3235"/>
      <c r="K23" s="2823"/>
      <c r="L23" s="2823"/>
      <c r="M23" s="2823"/>
      <c r="N23" s="3235"/>
      <c r="O23" s="3513"/>
      <c r="P23" s="3272"/>
      <c r="Q23" s="3235"/>
      <c r="R23" s="3492" t="s">
        <v>980</v>
      </c>
      <c r="S23" s="3495" t="s">
        <v>981</v>
      </c>
      <c r="T23" s="1735">
        <v>320850000</v>
      </c>
      <c r="U23" s="1393" t="s">
        <v>978</v>
      </c>
      <c r="V23" s="1394" t="s">
        <v>982</v>
      </c>
      <c r="W23" s="3511"/>
      <c r="X23" s="3507"/>
      <c r="Y23" s="3507"/>
      <c r="Z23" s="3507"/>
      <c r="AA23" s="3507"/>
      <c r="AB23" s="3507"/>
      <c r="AC23" s="3507"/>
      <c r="AD23" s="3507"/>
      <c r="AE23" s="3509"/>
      <c r="AF23" s="3509"/>
      <c r="AG23" s="3505"/>
      <c r="AH23" s="3505"/>
      <c r="AI23" s="3507"/>
      <c r="AJ23" s="3507"/>
      <c r="AK23" s="3507"/>
      <c r="AL23" s="3507"/>
      <c r="AM23" s="3489"/>
      <c r="AN23" s="3491"/>
      <c r="AO23" s="2821"/>
      <c r="AP23" s="131"/>
      <c r="AQ23" s="131"/>
      <c r="AR23" s="131"/>
      <c r="AS23" s="131"/>
      <c r="AT23" s="131"/>
      <c r="AU23" s="131"/>
      <c r="AV23" s="131"/>
      <c r="AW23" s="131"/>
    </row>
    <row r="24" spans="1:49" ht="36" customHeight="1" thickBot="1" x14ac:dyDescent="0.25">
      <c r="A24" s="549"/>
      <c r="B24" s="3466"/>
      <c r="C24" s="3467"/>
      <c r="D24" s="3479"/>
      <c r="E24" s="3482"/>
      <c r="F24" s="3486"/>
      <c r="G24" s="3486"/>
      <c r="H24" s="2823"/>
      <c r="I24" s="3235"/>
      <c r="J24" s="3235"/>
      <c r="K24" s="2823"/>
      <c r="L24" s="2823"/>
      <c r="M24" s="2823"/>
      <c r="N24" s="3235"/>
      <c r="O24" s="3513"/>
      <c r="P24" s="3272"/>
      <c r="Q24" s="3235"/>
      <c r="R24" s="3494"/>
      <c r="S24" s="3496"/>
      <c r="T24" s="1910">
        <f>0+155242662-8565900</f>
        <v>146676762</v>
      </c>
      <c r="U24" s="1912">
        <v>88</v>
      </c>
      <c r="V24" s="1913" t="s">
        <v>264</v>
      </c>
      <c r="W24" s="3511"/>
      <c r="X24" s="3507"/>
      <c r="Y24" s="3507"/>
      <c r="Z24" s="3507"/>
      <c r="AA24" s="3507"/>
      <c r="AB24" s="3507"/>
      <c r="AC24" s="3507"/>
      <c r="AD24" s="3507"/>
      <c r="AE24" s="3509"/>
      <c r="AF24" s="3509"/>
      <c r="AG24" s="3505"/>
      <c r="AH24" s="3505"/>
      <c r="AI24" s="3507"/>
      <c r="AJ24" s="3507"/>
      <c r="AK24" s="3507"/>
      <c r="AL24" s="3507"/>
      <c r="AM24" s="3489"/>
      <c r="AN24" s="3491"/>
      <c r="AO24" s="2821"/>
      <c r="AP24" s="131"/>
      <c r="AQ24" s="131"/>
      <c r="AR24" s="131"/>
      <c r="AS24" s="131"/>
      <c r="AT24" s="131"/>
      <c r="AU24" s="131"/>
      <c r="AV24" s="131"/>
      <c r="AW24" s="131"/>
    </row>
    <row r="25" spans="1:49" s="271" customFormat="1" ht="16.5" thickBot="1" x14ac:dyDescent="0.3">
      <c r="A25" s="339"/>
      <c r="B25" s="340"/>
      <c r="C25" s="340"/>
      <c r="D25" s="340"/>
      <c r="E25" s="342"/>
      <c r="F25" s="3501" t="s">
        <v>343</v>
      </c>
      <c r="G25" s="3502"/>
      <c r="H25" s="3502"/>
      <c r="I25" s="3502"/>
      <c r="J25" s="3502"/>
      <c r="K25" s="3502"/>
      <c r="L25" s="3502"/>
      <c r="M25" s="3502"/>
      <c r="N25" s="3502"/>
      <c r="O25" s="3503"/>
      <c r="P25" s="343">
        <f>+P12+P16+P19</f>
        <v>1953092662</v>
      </c>
      <c r="Q25" s="339"/>
      <c r="R25" s="340"/>
      <c r="S25" s="344"/>
      <c r="T25" s="1911">
        <f>SUM(T12:T24)</f>
        <v>1953092662</v>
      </c>
      <c r="U25" s="345"/>
      <c r="V25" s="346"/>
      <c r="W25" s="346"/>
      <c r="X25" s="346"/>
      <c r="Y25" s="346"/>
      <c r="Z25" s="346"/>
      <c r="AA25" s="346"/>
      <c r="AB25" s="346"/>
      <c r="AC25" s="346"/>
      <c r="AD25" s="346"/>
      <c r="AE25" s="346"/>
      <c r="AF25" s="346"/>
      <c r="AG25" s="346"/>
      <c r="AH25" s="346"/>
      <c r="AI25" s="346"/>
      <c r="AJ25" s="346"/>
      <c r="AK25" s="346"/>
      <c r="AL25" s="346"/>
      <c r="AM25" s="347"/>
      <c r="AN25" s="348"/>
      <c r="AO25" s="349"/>
    </row>
    <row r="26" spans="1:49" x14ac:dyDescent="0.2">
      <c r="P26" s="550"/>
    </row>
    <row r="27" spans="1:49" x14ac:dyDescent="0.2">
      <c r="P27" s="552"/>
    </row>
    <row r="31" spans="1:49" ht="15.75" x14ac:dyDescent="0.25">
      <c r="K31" s="553" t="s">
        <v>983</v>
      </c>
      <c r="L31" s="26"/>
      <c r="M31" s="26"/>
    </row>
    <row r="32" spans="1:49" ht="15.75" x14ac:dyDescent="0.25">
      <c r="K32" s="27" t="s">
        <v>984</v>
      </c>
      <c r="L32" s="27"/>
    </row>
  </sheetData>
  <sheetProtection password="A60F" sheet="1" objects="1" scenarios="1"/>
  <mergeCells count="119">
    <mergeCell ref="S21:S22"/>
    <mergeCell ref="AP12:AP13"/>
    <mergeCell ref="S14:S15"/>
    <mergeCell ref="F25:O25"/>
    <mergeCell ref="AH19:AH24"/>
    <mergeCell ref="AI19:AI24"/>
    <mergeCell ref="AJ19:AJ24"/>
    <mergeCell ref="AK19:AK24"/>
    <mergeCell ref="AL19:AL24"/>
    <mergeCell ref="AB19:AB24"/>
    <mergeCell ref="AC19:AC24"/>
    <mergeCell ref="AD19:AD24"/>
    <mergeCell ref="AE19:AE24"/>
    <mergeCell ref="AF19:AF24"/>
    <mergeCell ref="AG19:AG24"/>
    <mergeCell ref="W19:W24"/>
    <mergeCell ref="X19:X24"/>
    <mergeCell ref="Y19:Y24"/>
    <mergeCell ref="Z19:Z24"/>
    <mergeCell ref="AA19:AA24"/>
    <mergeCell ref="N19:N24"/>
    <mergeCell ref="O19:O24"/>
    <mergeCell ref="P19:P24"/>
    <mergeCell ref="Q19:Q24"/>
    <mergeCell ref="R19:R22"/>
    <mergeCell ref="K12:K15"/>
    <mergeCell ref="L12:L15"/>
    <mergeCell ref="M12:M15"/>
    <mergeCell ref="AK18:AL18"/>
    <mergeCell ref="AM18:AO18"/>
    <mergeCell ref="F19:G24"/>
    <mergeCell ref="H19:H24"/>
    <mergeCell ref="I19:I24"/>
    <mergeCell ref="J19:J24"/>
    <mergeCell ref="K19:K24"/>
    <mergeCell ref="L19:L24"/>
    <mergeCell ref="M19:M24"/>
    <mergeCell ref="AM19:AM24"/>
    <mergeCell ref="AN19:AN24"/>
    <mergeCell ref="AO19:AO24"/>
    <mergeCell ref="S19:S20"/>
    <mergeCell ref="R23:R24"/>
    <mergeCell ref="S23:S24"/>
    <mergeCell ref="M18:S18"/>
    <mergeCell ref="U18:X18"/>
    <mergeCell ref="Y18:AB18"/>
    <mergeCell ref="AC18:AF18"/>
    <mergeCell ref="AO12:AO15"/>
    <mergeCell ref="R14:R15"/>
    <mergeCell ref="AK12:AK15"/>
    <mergeCell ref="AL12:AL15"/>
    <mergeCell ref="AM12:AM15"/>
    <mergeCell ref="B10:C24"/>
    <mergeCell ref="D11:D16"/>
    <mergeCell ref="E11:E16"/>
    <mergeCell ref="F12:F16"/>
    <mergeCell ref="G12:G16"/>
    <mergeCell ref="H12:H15"/>
    <mergeCell ref="Z12:Z15"/>
    <mergeCell ref="AA12:AA15"/>
    <mergeCell ref="AB12:AB15"/>
    <mergeCell ref="O12:O15"/>
    <mergeCell ref="P12:P15"/>
    <mergeCell ref="Q12:Q15"/>
    <mergeCell ref="R12:R13"/>
    <mergeCell ref="S12:S13"/>
    <mergeCell ref="D18:D24"/>
    <mergeCell ref="E18:E24"/>
    <mergeCell ref="AI12:AI15"/>
    <mergeCell ref="AJ12:AJ15"/>
    <mergeCell ref="AC12:AC15"/>
    <mergeCell ref="G18:K18"/>
    <mergeCell ref="AG18:AJ18"/>
    <mergeCell ref="I12:I15"/>
    <mergeCell ref="J12:J15"/>
    <mergeCell ref="AO7:AO8"/>
    <mergeCell ref="S7:S8"/>
    <mergeCell ref="T7:T8"/>
    <mergeCell ref="U7:U8"/>
    <mergeCell ref="V7:V8"/>
    <mergeCell ref="W7:X7"/>
    <mergeCell ref="Y7:AB7"/>
    <mergeCell ref="N12:N15"/>
    <mergeCell ref="AN12:AN15"/>
    <mergeCell ref="AD12:AD15"/>
    <mergeCell ref="AE12:AE15"/>
    <mergeCell ref="AF12:AF15"/>
    <mergeCell ref="AG12:AG15"/>
    <mergeCell ref="AH12:AH15"/>
    <mergeCell ref="W12:W15"/>
    <mergeCell ref="X12:X15"/>
    <mergeCell ref="Y12:Y15"/>
    <mergeCell ref="AL7:AL8"/>
    <mergeCell ref="AM7:AM8"/>
    <mergeCell ref="AN7:AN8"/>
    <mergeCell ref="I7:I8"/>
    <mergeCell ref="J7:J8"/>
    <mergeCell ref="A1:AM4"/>
    <mergeCell ref="A5:K6"/>
    <mergeCell ref="N5:AO5"/>
    <mergeCell ref="N6:V6"/>
    <mergeCell ref="AM6:AO6"/>
    <mergeCell ref="A7:A8"/>
    <mergeCell ref="B7:C8"/>
    <mergeCell ref="D7:D8"/>
    <mergeCell ref="E7:E8"/>
    <mergeCell ref="F7:F8"/>
    <mergeCell ref="M7:M8"/>
    <mergeCell ref="N7:N8"/>
    <mergeCell ref="O7:O8"/>
    <mergeCell ref="P7:P8"/>
    <mergeCell ref="Q7:Q8"/>
    <mergeCell ref="R7:R8"/>
    <mergeCell ref="G7:G8"/>
    <mergeCell ref="H7:H8"/>
    <mergeCell ref="K7:K8"/>
    <mergeCell ref="L7:L8"/>
    <mergeCell ref="AC7:AH7"/>
    <mergeCell ref="AI7:AK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ADMINISTRATIVA</vt:lpstr>
      <vt:lpstr>PLANEACION</vt:lpstr>
      <vt:lpstr>HACIENDA</vt:lpstr>
      <vt:lpstr>AGUAS E INFRAESTRUCTURA</vt:lpstr>
      <vt:lpstr>INTERIOR</vt:lpstr>
      <vt:lpstr>CULTURA</vt:lpstr>
      <vt:lpstr>TURISMO</vt:lpstr>
      <vt:lpstr>AGRICULTURA</vt:lpstr>
      <vt:lpstr>PRIVADA</vt:lpstr>
      <vt:lpstr>EDUCACION</vt:lpstr>
      <vt:lpstr>FAMILIA</vt:lpstr>
      <vt:lpstr>REPR JUDICIAL</vt:lpstr>
      <vt:lpstr>SALUD</vt:lpstr>
      <vt:lpstr>TIC</vt:lpstr>
      <vt:lpstr>INDEPORTES</vt:lpstr>
      <vt:lpstr>PROMOTORA</vt:lpstr>
      <vt:lpstr>IDTQ</vt:lpstr>
      <vt:lpstr>PLANEACION!Área_de_impresión</vt:lpstr>
      <vt:lpstr>PLANEACION!Títulos_a_imprimir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2018-10-26T16:01:00Z</dcterms:created>
  <dcterms:modified xsi:type="dcterms:W3CDTF">2019-12-28T19:15:46Z</dcterms:modified>
  <cp:category/>
  <cp:contentStatus/>
</cp:coreProperties>
</file>