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GOBERNACION QUINDIO 2018\SEGUIMIENTO PLAN DE DESARROLLO 2018\SEGTO I TRIMESTRE 2018 - TRABAJO\SGTO I TRIMESTRE 2018 PUBLICAR\"/>
    </mc:Choice>
  </mc:AlternateContent>
  <bookViews>
    <workbookView xWindow="0" yWindow="0" windowWidth="24000" windowHeight="9435"/>
  </bookViews>
  <sheets>
    <sheet name="PA ADMINISTRATIVA" sheetId="3" r:id="rId1"/>
    <sheet name="PA PLANEACION" sheetId="15" r:id="rId2"/>
    <sheet name="PA HACIENDA" sheetId="7" r:id="rId3"/>
    <sheet name="PA INFRAESTRUCTURA" sheetId="2" r:id="rId4"/>
    <sheet name="PA INTERIOR" sheetId="9" r:id="rId5"/>
    <sheet name="PA CULTURA" sheetId="8" r:id="rId6"/>
    <sheet name="PA TURISMO" sheetId="11" r:id="rId7"/>
    <sheet name="PA AGRICULTURA" sheetId="16" r:id="rId8"/>
    <sheet name="PA PRIVADA " sheetId="1" r:id="rId9"/>
    <sheet name="PA EDUCACION" sheetId="20" r:id="rId10"/>
    <sheet name="PA FAMILIA" sheetId="6" r:id="rId11"/>
    <sheet name="PA REP JUDICIAL" sheetId="5" r:id="rId12"/>
    <sheet name="PA SALUD" sheetId="13" r:id="rId13"/>
    <sheet name="PA INDEPORTES" sheetId="12" r:id="rId14"/>
    <sheet name="PA IDTQ" sheetId="10" r:id="rId15"/>
    <sheet name="PA PROMOTORA" sheetId="14" r:id="rId16"/>
  </sheets>
  <externalReferences>
    <externalReference r:id="rId17"/>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4">#REF!</definedName>
    <definedName name="_1._Apoyo_con_equipos_para_la_seguridad_vial_Licenciamiento_de_software_para_comunicaciones" localSheetId="13">#REF!</definedName>
    <definedName name="_1._Apoyo_con_equipos_para_la_seguridad_vial_Licenciamiento_de_software_para_comunicaciones" localSheetId="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5">#REF!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Print_Area" localSheetId="1">'PA PLANEACION'!$A$1:$AQ$11</definedName>
    <definedName name="CODIGO_DIVIPOLA" localSheetId="0">#REF!</definedName>
    <definedName name="CODIGO_DIVIPOLA" localSheetId="7">#REF!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4">#REF!</definedName>
    <definedName name="CODIGO_DIVIPOLA" localSheetId="13">#REF!</definedName>
    <definedName name="CODIGO_DIVIPOLA" localSheetId="3">#REF!</definedName>
    <definedName name="CODIGO_DIVIPOLA" localSheetId="4">#REF!</definedName>
    <definedName name="CODIGO_DIVIPOLA" localSheetId="1">#REF!</definedName>
    <definedName name="CODIGO_DIVIPOLA" localSheetId="15">#REF!</definedName>
    <definedName name="CODIGO_DIVIPOLA" localSheetId="11">#REF!</definedName>
    <definedName name="CODIGO_DIVIPOLA" localSheetId="12">#REF!</definedName>
    <definedName name="CODIGO_DIVIPOLA" localSheetId="6">#REF!</definedName>
    <definedName name="CODIGO_DIVIPOLA">#REF!</definedName>
    <definedName name="DboREGISTRO_LEY_617" localSheetId="0">#REF!</definedName>
    <definedName name="DboREGISTRO_LEY_617" localSheetId="7">#REF!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4">#REF!</definedName>
    <definedName name="DboREGISTRO_LEY_617" localSheetId="13">#REF!</definedName>
    <definedName name="DboREGISTRO_LEY_617" localSheetId="3">#REF!</definedName>
    <definedName name="DboREGISTRO_LEY_617" localSheetId="4">#REF!</definedName>
    <definedName name="DboREGISTRO_LEY_617" localSheetId="1">#REF!</definedName>
    <definedName name="DboREGISTRO_LEY_617" localSheetId="15">#REF!</definedName>
    <definedName name="DboREGISTRO_LEY_617" localSheetId="11">#REF!</definedName>
    <definedName name="DboREGISTRO_LEY_617" localSheetId="12">#REF!</definedName>
    <definedName name="DboREGISTRO_LEY_617" localSheetId="6">#REF!</definedName>
    <definedName name="DboREGISTRO_LEY_617">#REF!</definedName>
    <definedName name="ññ" localSheetId="0">#REF!</definedName>
    <definedName name="ññ" localSheetId="7">#REF!</definedName>
    <definedName name="ññ" localSheetId="5">#REF!</definedName>
    <definedName name="ññ" localSheetId="9">#REF!</definedName>
    <definedName name="ññ" localSheetId="10">#REF!</definedName>
    <definedName name="ññ" localSheetId="2">#REF!</definedName>
    <definedName name="ññ" localSheetId="14">#REF!</definedName>
    <definedName name="ññ" localSheetId="13">#REF!</definedName>
    <definedName name="ññ" localSheetId="3">#REF!</definedName>
    <definedName name="ññ" localSheetId="4">#REF!</definedName>
    <definedName name="ññ" localSheetId="1">#REF!</definedName>
    <definedName name="ññ" localSheetId="15">#REF!</definedName>
    <definedName name="ññ" localSheetId="11">#REF!</definedName>
    <definedName name="ññ" localSheetId="12">#REF!</definedName>
    <definedName name="ññ" localSheetId="6">#REF!</definedName>
    <definedName name="ññ">#REF!</definedName>
    <definedName name="_xlnm.Print_Titles" localSheetId="1">'PA PLANEACION'!$1:$8</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 i="20" l="1"/>
  <c r="V13" i="20"/>
  <c r="V14" i="20"/>
  <c r="V25" i="20"/>
  <c r="V29" i="20"/>
  <c r="V37" i="20"/>
  <c r="V39" i="20"/>
  <c r="V41" i="20"/>
  <c r="V49" i="20"/>
  <c r="V52" i="20"/>
  <c r="V53" i="20"/>
  <c r="V67" i="20"/>
  <c r="V69" i="20"/>
  <c r="V73" i="20"/>
  <c r="V74" i="20"/>
  <c r="V78" i="20"/>
  <c r="V92" i="20"/>
  <c r="R12" i="20"/>
  <c r="R18" i="20"/>
  <c r="R25" i="20"/>
  <c r="R28" i="20"/>
  <c r="R37" i="20"/>
  <c r="R52" i="20"/>
  <c r="R58" i="20"/>
  <c r="R65" i="20"/>
  <c r="R71" i="20"/>
  <c r="R75" i="20"/>
  <c r="R78" i="20"/>
  <c r="R81" i="20"/>
  <c r="R83" i="20"/>
  <c r="R85" i="20"/>
  <c r="R91" i="20"/>
  <c r="R92" i="20"/>
  <c r="Q87" i="20"/>
  <c r="Q85" i="20"/>
  <c r="Q79" i="20"/>
  <c r="Q78" i="20"/>
  <c r="Q74" i="20"/>
  <c r="Q73" i="20"/>
  <c r="Q72" i="20"/>
  <c r="Q71" i="20"/>
  <c r="Q69" i="20"/>
  <c r="Q67" i="20"/>
  <c r="Q56" i="20"/>
  <c r="Q54" i="20"/>
  <c r="Q53" i="20"/>
  <c r="Q52" i="20"/>
  <c r="Q50" i="20"/>
  <c r="Q49" i="20"/>
  <c r="Q47" i="20"/>
  <c r="Q46" i="20"/>
  <c r="Q43" i="20"/>
  <c r="Q41" i="20"/>
  <c r="Q40" i="20"/>
  <c r="Q39" i="20"/>
  <c r="Q38" i="20"/>
  <c r="Q37" i="20"/>
  <c r="Q28" i="20"/>
  <c r="Q24" i="20"/>
  <c r="Q23" i="20"/>
  <c r="Q22" i="20"/>
  <c r="Q20" i="20"/>
  <c r="Q19" i="20"/>
  <c r="AN18" i="20"/>
  <c r="Q18" i="20"/>
  <c r="Q15" i="20"/>
  <c r="Q13" i="20"/>
  <c r="Q12" i="20"/>
  <c r="V21" i="16"/>
  <c r="V35" i="16"/>
  <c r="V40" i="16"/>
  <c r="V41" i="16"/>
  <c r="V42" i="16"/>
  <c r="V53" i="16"/>
  <c r="V66" i="16"/>
  <c r="V71" i="16"/>
  <c r="V77" i="16"/>
  <c r="R12" i="16"/>
  <c r="R20" i="16"/>
  <c r="R23" i="16"/>
  <c r="R26" i="16"/>
  <c r="R35" i="16"/>
  <c r="R44" i="16"/>
  <c r="R51" i="16"/>
  <c r="R52" i="16"/>
  <c r="R55" i="16"/>
  <c r="R60" i="16"/>
  <c r="R66" i="16"/>
  <c r="R77" i="16"/>
  <c r="Q75" i="16"/>
  <c r="Q73" i="16"/>
  <c r="Q71" i="16"/>
  <c r="Q68" i="16"/>
  <c r="Q66" i="16"/>
  <c r="Q62" i="16"/>
  <c r="Q61" i="16"/>
  <c r="Q60" i="16"/>
  <c r="Q58" i="16"/>
  <c r="Q57" i="16"/>
  <c r="Q56" i="16"/>
  <c r="AP55" i="16"/>
  <c r="AO55" i="16"/>
  <c r="Z55" i="16"/>
  <c r="Y55" i="16"/>
  <c r="Q55" i="16"/>
  <c r="AN52" i="16"/>
  <c r="Q50" i="16"/>
  <c r="Q49" i="16"/>
  <c r="Q47" i="16"/>
  <c r="AN44" i="16"/>
  <c r="Q44" i="16"/>
  <c r="Q42" i="16"/>
  <c r="Q39" i="16"/>
  <c r="Q37" i="16"/>
  <c r="Q35" i="16"/>
  <c r="Q31" i="16"/>
  <c r="Q30" i="16"/>
  <c r="Q29" i="16"/>
  <c r="Q28" i="16"/>
  <c r="AN26" i="16"/>
  <c r="Q26" i="16"/>
  <c r="AN23" i="16"/>
  <c r="Q23" i="16"/>
  <c r="Q21" i="16"/>
  <c r="AN20" i="16"/>
  <c r="Q20" i="16"/>
  <c r="Q18" i="16"/>
  <c r="Q17" i="16"/>
  <c r="Q16" i="16"/>
  <c r="Q15" i="16"/>
  <c r="Q14" i="16"/>
  <c r="AN12" i="16"/>
  <c r="Q12" i="16"/>
  <c r="Q127" i="15"/>
  <c r="V126" i="15"/>
  <c r="Q124" i="15"/>
  <c r="V121" i="15"/>
  <c r="Q126" i="15"/>
  <c r="Q121" i="15"/>
  <c r="V120" i="15"/>
  <c r="Q123" i="15"/>
  <c r="R119" i="15"/>
  <c r="Q119" i="15"/>
  <c r="R103" i="15"/>
  <c r="V102" i="15"/>
  <c r="V93" i="15"/>
  <c r="V92" i="15"/>
  <c r="R89" i="15"/>
  <c r="AB89" i="15"/>
  <c r="R78" i="15"/>
  <c r="V77" i="15"/>
  <c r="V76" i="15"/>
  <c r="V75" i="15"/>
  <c r="V74" i="15"/>
  <c r="V72" i="15"/>
  <c r="R71" i="15"/>
  <c r="V71" i="15"/>
  <c r="R70" i="15"/>
  <c r="R69" i="15"/>
  <c r="R68" i="15"/>
  <c r="R66" i="15"/>
  <c r="V65" i="15"/>
  <c r="V64" i="15"/>
  <c r="Q69" i="15"/>
  <c r="V63" i="15"/>
  <c r="R53" i="15"/>
  <c r="R43" i="15"/>
  <c r="V41" i="15"/>
  <c r="V39" i="15"/>
  <c r="V37" i="15"/>
  <c r="V36" i="15"/>
  <c r="V34" i="15"/>
  <c r="V32" i="15"/>
  <c r="V31" i="15"/>
  <c r="V30" i="15"/>
  <c r="V29" i="15"/>
  <c r="V28" i="15"/>
  <c r="V27" i="15"/>
  <c r="V26" i="15"/>
  <c r="V25" i="15"/>
  <c r="V24" i="15"/>
  <c r="V23" i="15"/>
  <c r="V22" i="15"/>
  <c r="V21" i="15"/>
  <c r="V20" i="15"/>
  <c r="V19" i="15"/>
  <c r="V18" i="15"/>
  <c r="V16" i="15"/>
  <c r="V15" i="15"/>
  <c r="V128" i="15"/>
  <c r="R12" i="15"/>
  <c r="Q68" i="15"/>
  <c r="Q70" i="15"/>
  <c r="Q125" i="15"/>
  <c r="R63" i="15"/>
  <c r="Q63" i="15"/>
  <c r="Q66" i="15"/>
  <c r="Q120" i="15"/>
  <c r="Q122" i="15"/>
  <c r="R128" i="15"/>
  <c r="O17" i="14"/>
  <c r="S16" i="14"/>
  <c r="S19" i="14"/>
  <c r="O16" i="14"/>
  <c r="O15" i="14"/>
  <c r="AA14" i="14"/>
  <c r="Z14" i="14"/>
  <c r="Y14" i="14"/>
  <c r="X14" i="14"/>
  <c r="AK14" i="14"/>
  <c r="W14" i="14"/>
  <c r="V14" i="14"/>
  <c r="O14" i="14"/>
  <c r="AK12" i="14"/>
  <c r="O12" i="14"/>
  <c r="V271" i="13"/>
  <c r="R264" i="13"/>
  <c r="AD249" i="13"/>
  <c r="AD259" i="13"/>
  <c r="R249" i="13"/>
  <c r="Q249" i="13"/>
  <c r="R240" i="13"/>
  <c r="R234" i="13"/>
  <c r="Q234" i="13"/>
  <c r="R230" i="13"/>
  <c r="R225" i="13"/>
  <c r="Q219" i="13"/>
  <c r="R216" i="13"/>
  <c r="Q221" i="13"/>
  <c r="Q216" i="13"/>
  <c r="R205" i="13"/>
  <c r="Q209" i="13"/>
  <c r="AD198" i="13"/>
  <c r="AD205" i="13"/>
  <c r="AD216" i="13"/>
  <c r="AD225" i="13"/>
  <c r="AC198" i="13"/>
  <c r="AC205" i="13"/>
  <c r="AC216" i="13"/>
  <c r="AC225" i="13"/>
  <c r="AC230" i="13"/>
  <c r="AC234" i="13"/>
  <c r="AC240" i="13"/>
  <c r="AC249" i="13"/>
  <c r="AC259" i="13"/>
  <c r="AC264" i="13"/>
  <c r="R198" i="13"/>
  <c r="R192" i="13"/>
  <c r="Q192" i="13"/>
  <c r="Q181" i="13"/>
  <c r="R167" i="13"/>
  <c r="Q187" i="13"/>
  <c r="R153" i="13"/>
  <c r="Q159" i="13"/>
  <c r="Q147" i="13"/>
  <c r="R141" i="13"/>
  <c r="Q141" i="13"/>
  <c r="R133" i="13"/>
  <c r="Q136" i="13"/>
  <c r="AD123" i="13"/>
  <c r="AD133" i="13"/>
  <c r="AD141" i="13"/>
  <c r="AD153" i="13"/>
  <c r="AC123" i="13"/>
  <c r="AC133" i="13"/>
  <c r="AC141" i="13"/>
  <c r="AC153" i="13"/>
  <c r="R123" i="13"/>
  <c r="R113" i="13"/>
  <c r="Q119" i="13"/>
  <c r="Q109" i="13"/>
  <c r="R105" i="13"/>
  <c r="Q105" i="13"/>
  <c r="R91" i="13"/>
  <c r="Q91" i="13"/>
  <c r="Q85" i="13"/>
  <c r="AE71" i="13"/>
  <c r="AE91" i="13"/>
  <c r="R71" i="13"/>
  <c r="Q80" i="13"/>
  <c r="Q71" i="13"/>
  <c r="Q52" i="13"/>
  <c r="AG42" i="13"/>
  <c r="AD42" i="13"/>
  <c r="AD71" i="13"/>
  <c r="AD91" i="13"/>
  <c r="AC42" i="13"/>
  <c r="AC71" i="13"/>
  <c r="AC91" i="13"/>
  <c r="R42" i="13"/>
  <c r="Q64" i="13"/>
  <c r="Q42" i="13"/>
  <c r="R36" i="13"/>
  <c r="Q39" i="13"/>
  <c r="R17" i="13"/>
  <c r="Q23" i="13"/>
  <c r="N12" i="14"/>
  <c r="O19" i="14"/>
  <c r="Q28" i="13"/>
  <c r="Q96" i="13"/>
  <c r="Q17" i="13"/>
  <c r="Q36" i="13"/>
  <c r="Q45" i="13"/>
  <c r="Q101" i="13"/>
  <c r="Q113" i="13"/>
  <c r="Q153" i="13"/>
  <c r="Q156" i="13"/>
  <c r="Q174" i="13"/>
  <c r="Q205" i="13"/>
  <c r="R271" i="13"/>
  <c r="Q133" i="13"/>
  <c r="Q167" i="13"/>
  <c r="N14" i="14"/>
  <c r="N17" i="14"/>
  <c r="N16" i="14"/>
  <c r="N15" i="14"/>
  <c r="V54" i="12"/>
  <c r="AN52" i="12"/>
  <c r="AC52" i="12"/>
  <c r="Q52" i="12"/>
  <c r="Q49" i="12"/>
  <c r="Q48" i="12"/>
  <c r="AN47" i="12"/>
  <c r="Q47" i="12"/>
  <c r="Q43" i="12"/>
  <c r="Q39" i="12"/>
  <c r="AN36" i="12"/>
  <c r="Q36" i="12"/>
  <c r="Q31" i="12"/>
  <c r="Q28" i="12"/>
  <c r="AN26" i="12"/>
  <c r="Q26" i="12"/>
  <c r="AN21" i="12"/>
  <c r="AP18" i="12"/>
  <c r="AK18" i="12"/>
  <c r="AC18" i="12"/>
  <c r="AB18" i="12"/>
  <c r="AA18" i="12"/>
  <c r="Z18" i="12"/>
  <c r="Y18" i="12"/>
  <c r="AN18" i="12"/>
  <c r="R18" i="12"/>
  <c r="AN12" i="12"/>
  <c r="R12" i="12"/>
  <c r="Q16" i="12"/>
  <c r="Q12" i="12"/>
  <c r="R54" i="12"/>
  <c r="AN81" i="11"/>
  <c r="V81" i="11"/>
  <c r="R81" i="11"/>
  <c r="Q81" i="11"/>
  <c r="V78" i="11"/>
  <c r="V76" i="11"/>
  <c r="V74" i="11"/>
  <c r="V72" i="11"/>
  <c r="V70" i="11"/>
  <c r="AN68" i="11"/>
  <c r="V68" i="11"/>
  <c r="Q68" i="11"/>
  <c r="R68" i="11"/>
  <c r="AN62" i="11"/>
  <c r="R62" i="11"/>
  <c r="Q62" i="11"/>
  <c r="Q54" i="11"/>
  <c r="AN51" i="11"/>
  <c r="V51" i="11"/>
  <c r="R51" i="11"/>
  <c r="Q57" i="11"/>
  <c r="Q51" i="11"/>
  <c r="Q46" i="11"/>
  <c r="V42" i="11"/>
  <c r="Q38" i="11"/>
  <c r="AN32" i="11"/>
  <c r="V32" i="11"/>
  <c r="R32" i="11"/>
  <c r="Q42" i="11"/>
  <c r="Q32" i="11"/>
  <c r="V28" i="11"/>
  <c r="Q28" i="11"/>
  <c r="AN22" i="11"/>
  <c r="V22" i="11"/>
  <c r="R22" i="11"/>
  <c r="Q25" i="11"/>
  <c r="V16" i="11"/>
  <c r="V85" i="11"/>
  <c r="AN12" i="11"/>
  <c r="R12" i="11"/>
  <c r="Q65" i="11"/>
  <c r="Q22" i="11"/>
  <c r="V16" i="10"/>
  <c r="R12" i="10"/>
  <c r="R16" i="10"/>
  <c r="Q12" i="11"/>
  <c r="Q16" i="11"/>
  <c r="R85" i="11"/>
  <c r="Q14" i="10"/>
  <c r="Q12" i="10"/>
  <c r="Q15" i="10"/>
  <c r="R144" i="9"/>
  <c r="Q144" i="9"/>
  <c r="V140" i="9"/>
  <c r="V138" i="9"/>
  <c r="V136" i="9"/>
  <c r="V135" i="9"/>
  <c r="R135" i="9"/>
  <c r="R130" i="9"/>
  <c r="R129" i="9"/>
  <c r="R124" i="9"/>
  <c r="V122" i="9"/>
  <c r="R116" i="9"/>
  <c r="R113" i="9"/>
  <c r="Q113" i="9"/>
  <c r="V112" i="9"/>
  <c r="V111" i="9"/>
  <c r="R111" i="9"/>
  <c r="Q111" i="9"/>
  <c r="V109" i="9"/>
  <c r="V108" i="9"/>
  <c r="V107" i="9"/>
  <c r="V106" i="9"/>
  <c r="V105" i="9"/>
  <c r="V104" i="9"/>
  <c r="R104" i="9"/>
  <c r="V103" i="9"/>
  <c r="V102" i="9"/>
  <c r="R102" i="9"/>
  <c r="V101" i="9"/>
  <c r="V100" i="9"/>
  <c r="V99" i="9"/>
  <c r="V98" i="9"/>
  <c r="V97" i="9"/>
  <c r="R97" i="9"/>
  <c r="V96" i="9"/>
  <c r="V95" i="9"/>
  <c r="V94" i="9"/>
  <c r="R94" i="9"/>
  <c r="V93" i="9"/>
  <c r="V92" i="9"/>
  <c r="V91" i="9"/>
  <c r="R91" i="9"/>
  <c r="Q91" i="9"/>
  <c r="V87" i="9"/>
  <c r="V83" i="9"/>
  <c r="R82" i="9"/>
  <c r="V81" i="9"/>
  <c r="V80" i="9"/>
  <c r="R80" i="9"/>
  <c r="Q80" i="9"/>
  <c r="V78" i="9"/>
  <c r="V77" i="9"/>
  <c r="R76" i="9"/>
  <c r="V76" i="9"/>
  <c r="V73" i="9"/>
  <c r="R72" i="9"/>
  <c r="Q72" i="9"/>
  <c r="V72" i="9"/>
  <c r="V71" i="9"/>
  <c r="R70" i="9"/>
  <c r="V70" i="9"/>
  <c r="V66" i="9"/>
  <c r="R66" i="9"/>
  <c r="V64" i="9"/>
  <c r="R64" i="9"/>
  <c r="V59" i="9"/>
  <c r="R58" i="9"/>
  <c r="V57" i="9"/>
  <c r="R55" i="9"/>
  <c r="V53" i="9"/>
  <c r="V52" i="9"/>
  <c r="V51" i="9"/>
  <c r="V50" i="9"/>
  <c r="V49" i="9"/>
  <c r="V48" i="9"/>
  <c r="V47" i="9"/>
  <c r="R47" i="9"/>
  <c r="Q47" i="9"/>
  <c r="R44" i="9"/>
  <c r="R40" i="9"/>
  <c r="V38" i="9"/>
  <c r="V37" i="9"/>
  <c r="V35" i="9"/>
  <c r="R35" i="9"/>
  <c r="V34" i="9"/>
  <c r="R34" i="9"/>
  <c r="R31" i="9"/>
  <c r="V27" i="9"/>
  <c r="V26" i="9"/>
  <c r="V25" i="9"/>
  <c r="V24" i="9"/>
  <c r="V23" i="9"/>
  <c r="V22" i="9"/>
  <c r="V20" i="9"/>
  <c r="V19" i="9"/>
  <c r="V18" i="9"/>
  <c r="R18" i="9"/>
  <c r="V16" i="9"/>
  <c r="V149" i="9"/>
  <c r="R14" i="9"/>
  <c r="AN12" i="9"/>
  <c r="R12" i="9"/>
  <c r="Q44" i="9"/>
  <c r="Q40" i="9"/>
  <c r="Q34" i="9"/>
  <c r="Q58" i="9"/>
  <c r="Q35" i="9"/>
  <c r="Q64" i="9"/>
  <c r="Q70" i="9"/>
  <c r="Q76" i="9"/>
  <c r="Q82" i="9"/>
  <c r="Q55" i="9"/>
  <c r="Q94" i="9"/>
  <c r="Q97" i="9"/>
  <c r="Q104" i="9"/>
  <c r="Q135" i="9"/>
  <c r="Q66" i="9"/>
  <c r="Q102" i="9"/>
  <c r="Q124" i="9"/>
  <c r="Q130" i="9"/>
  <c r="Q129" i="9"/>
  <c r="R15" i="9"/>
  <c r="Q116" i="9"/>
  <c r="V55" i="8"/>
  <c r="AN54" i="8"/>
  <c r="R54" i="8"/>
  <c r="Q56" i="8"/>
  <c r="R49" i="8"/>
  <c r="Q49" i="8"/>
  <c r="Q44" i="8"/>
  <c r="AN39" i="8"/>
  <c r="R39" i="8"/>
  <c r="Q39" i="8"/>
  <c r="R34" i="8"/>
  <c r="Q34" i="8"/>
  <c r="Q25" i="8"/>
  <c r="AN21" i="8"/>
  <c r="R21" i="8"/>
  <c r="Q29" i="8"/>
  <c r="AN19" i="8"/>
  <c r="V19" i="8"/>
  <c r="Q19" i="8"/>
  <c r="V22" i="7"/>
  <c r="V21" i="7"/>
  <c r="R20" i="7"/>
  <c r="V17" i="7"/>
  <c r="V15" i="7"/>
  <c r="V14" i="7"/>
  <c r="V13" i="7"/>
  <c r="V12" i="7"/>
  <c r="R12" i="7"/>
  <c r="Q31" i="9"/>
  <c r="Q12" i="9"/>
  <c r="Q15" i="9"/>
  <c r="Q18" i="9"/>
  <c r="Q14" i="9"/>
  <c r="R149" i="9"/>
  <c r="Q13" i="9"/>
  <c r="V59" i="8"/>
  <c r="Q21" i="8"/>
  <c r="R59" i="8"/>
  <c r="Q54" i="8"/>
  <c r="Q12" i="7"/>
  <c r="Q17" i="7"/>
  <c r="R23" i="7"/>
  <c r="Q15" i="7"/>
  <c r="Q21" i="7"/>
  <c r="V23" i="7"/>
  <c r="Q20" i="7"/>
  <c r="S138" i="6"/>
  <c r="S137" i="6"/>
  <c r="O128" i="6"/>
  <c r="S136" i="6"/>
  <c r="N136" i="6"/>
  <c r="W128" i="6"/>
  <c r="AK128" i="6"/>
  <c r="S125" i="6"/>
  <c r="S124" i="6"/>
  <c r="O120" i="6"/>
  <c r="N120" i="6"/>
  <c r="AK120" i="6"/>
  <c r="S118" i="6"/>
  <c r="S117" i="6"/>
  <c r="AK116" i="6"/>
  <c r="S116" i="6"/>
  <c r="O116" i="6"/>
  <c r="N116" i="6"/>
  <c r="AK112" i="6"/>
  <c r="O112" i="6"/>
  <c r="N112" i="6"/>
  <c r="AK109" i="6"/>
  <c r="O109" i="6"/>
  <c r="N109" i="6"/>
  <c r="AK107" i="6"/>
  <c r="O107" i="6"/>
  <c r="N107" i="6"/>
  <c r="AK102" i="6"/>
  <c r="O102" i="6"/>
  <c r="N102" i="6"/>
  <c r="S99" i="6"/>
  <c r="AK80" i="6"/>
  <c r="O80" i="6"/>
  <c r="AK61" i="6"/>
  <c r="AA61" i="6"/>
  <c r="Z61" i="6"/>
  <c r="Y61" i="6"/>
  <c r="X61" i="6"/>
  <c r="O61" i="6"/>
  <c r="N61" i="6"/>
  <c r="N55" i="6"/>
  <c r="AK48" i="6"/>
  <c r="O48" i="6"/>
  <c r="N52" i="6"/>
  <c r="N48" i="6"/>
  <c r="S39" i="6"/>
  <c r="S139" i="6"/>
  <c r="Z33" i="6"/>
  <c r="Y33" i="6"/>
  <c r="X33" i="6"/>
  <c r="W33" i="6"/>
  <c r="AK33" i="6"/>
  <c r="V33" i="6"/>
  <c r="AK23" i="6"/>
  <c r="O23" i="6"/>
  <c r="N23" i="6"/>
  <c r="N17" i="6"/>
  <c r="AK13" i="6"/>
  <c r="O13" i="6"/>
  <c r="N13" i="6"/>
  <c r="N137" i="6"/>
  <c r="N128" i="6"/>
  <c r="N138" i="6"/>
  <c r="O33" i="6"/>
  <c r="V20" i="5"/>
  <c r="R20" i="5"/>
  <c r="N33" i="6"/>
  <c r="N44" i="6"/>
  <c r="N41" i="6"/>
  <c r="O139" i="6"/>
  <c r="V31" i="3"/>
  <c r="V30" i="3"/>
  <c r="Q30" i="3"/>
  <c r="V29" i="3"/>
  <c r="R27" i="3"/>
  <c r="R33" i="3"/>
  <c r="V26" i="3"/>
  <c r="R26" i="3"/>
  <c r="V24" i="3"/>
  <c r="R24" i="3"/>
  <c r="V21" i="3"/>
  <c r="R21" i="3"/>
  <c r="V20" i="3"/>
  <c r="V19" i="3"/>
  <c r="R19" i="3"/>
  <c r="Q28" i="3"/>
  <c r="Q31" i="3"/>
  <c r="V33" i="3"/>
  <c r="Q27" i="3"/>
  <c r="Q32" i="3"/>
  <c r="V103" i="2"/>
  <c r="V102" i="2"/>
  <c r="V101" i="2"/>
  <c r="V100" i="2"/>
  <c r="V98" i="2"/>
  <c r="V97" i="2"/>
  <c r="V94" i="2"/>
  <c r="V89" i="2"/>
  <c r="V88" i="2"/>
  <c r="V86" i="2"/>
  <c r="V85" i="2"/>
  <c r="V84" i="2"/>
  <c r="V83" i="2"/>
  <c r="V81" i="2"/>
  <c r="V79" i="2"/>
  <c r="V78" i="2"/>
  <c r="V77" i="2"/>
  <c r="V76" i="2"/>
  <c r="V75" i="2"/>
  <c r="R74" i="2"/>
  <c r="AN74" i="2"/>
  <c r="V74" i="2"/>
  <c r="V71" i="2"/>
  <c r="V70" i="2"/>
  <c r="V69" i="2"/>
  <c r="V68" i="2"/>
  <c r="V67" i="2"/>
  <c r="V66" i="2"/>
  <c r="V64" i="2"/>
  <c r="R63" i="2"/>
  <c r="AN63" i="2"/>
  <c r="V63" i="2"/>
  <c r="AN52" i="2"/>
  <c r="R52" i="2"/>
  <c r="Q52" i="2"/>
  <c r="AN44" i="2"/>
  <c r="X44" i="2"/>
  <c r="R44" i="2"/>
  <c r="Q44" i="2"/>
  <c r="AN36" i="2"/>
  <c r="R36" i="2"/>
  <c r="Q36" i="2"/>
  <c r="AN28" i="2"/>
  <c r="R28" i="2"/>
  <c r="Q28" i="2"/>
  <c r="AN20" i="2"/>
  <c r="V20" i="2"/>
  <c r="V114" i="2"/>
  <c r="R20" i="2"/>
  <c r="AN12" i="2"/>
  <c r="V12" i="2"/>
  <c r="R12" i="2"/>
  <c r="R114" i="2"/>
  <c r="Q71" i="2"/>
  <c r="Q63" i="2"/>
  <c r="Q67" i="2"/>
  <c r="Q102" i="2"/>
  <c r="Q94" i="2"/>
  <c r="Q90" i="2"/>
  <c r="Q97" i="2"/>
  <c r="Q80" i="2"/>
  <c r="Q100" i="2"/>
  <c r="Q84" i="2"/>
  <c r="Q74" i="2"/>
  <c r="AN19" i="1"/>
  <c r="V19" i="1"/>
  <c r="R19" i="1"/>
  <c r="Q19" i="1"/>
  <c r="AN16" i="1"/>
  <c r="R16" i="1"/>
  <c r="Q16" i="1"/>
  <c r="V13" i="1"/>
  <c r="V22" i="1"/>
  <c r="AN12" i="1"/>
  <c r="R12" i="1"/>
  <c r="R22" i="1"/>
  <c r="Q12" i="1"/>
</calcChain>
</file>

<file path=xl/sharedStrings.xml><?xml version="1.0" encoding="utf-8"?>
<sst xmlns="http://schemas.openxmlformats.org/spreadsheetml/2006/main" count="3897" uniqueCount="2530">
  <si>
    <t xml:space="preserve">CODIGO:  </t>
  </si>
  <si>
    <t xml:space="preserve">F-PLA-06   </t>
  </si>
  <si>
    <t xml:space="preserve">VERSIÓN: </t>
  </si>
  <si>
    <t>O6</t>
  </si>
  <si>
    <t xml:space="preserve">FECHA: </t>
  </si>
  <si>
    <t>Nov. 22 de 2017</t>
  </si>
  <si>
    <t>PÁGINA:</t>
  </si>
  <si>
    <t xml:space="preserve"> 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</si>
  <si>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</si>
  <si>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</si>
  <si>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</si>
  <si>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</si>
  <si>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</si>
  <si>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</si>
  <si>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</si>
  <si>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</si>
  <si>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</si>
  <si>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</si>
  <si>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</si>
  <si>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</si>
  <si>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</si>
  <si>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</si>
  <si>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</si>
  <si>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</si>
  <si>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</si>
  <si>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</si>
  <si>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</si>
  <si>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</si>
  <si>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</si>
  <si>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</si>
  <si>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</si>
  <si>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</si>
  <si>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</si>
  <si>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</si>
  <si>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</si>
  <si>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</si>
  <si>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</si>
  <si>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</si>
  <si>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</si>
  <si>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</si>
  <si>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</si>
  <si>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</si>
  <si>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</si>
  <si>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</si>
  <si>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</si>
  <si>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</si>
  <si>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</si>
  <si>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</si>
  <si>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</si>
  <si>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BUEN GOBIERNO</t>
  </si>
  <si>
    <t>Quindío Transparente y Legal</t>
  </si>
  <si>
    <t>QUINDIO EJEMPLAR Y LEGAL</t>
  </si>
  <si>
    <t xml:space="preserve">Realizar 40 eventos  de sensibilización en transparencia , participación, buen gobierno y valores éticos y morales  </t>
  </si>
  <si>
    <t>No de Eventos  de sensibilización   realizados</t>
  </si>
  <si>
    <t>0313 - 5 - 3 1 5 26 83 17 82 - 20</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</si>
  <si>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</si>
  <si>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</si>
  <si>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</si>
  <si>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</si>
  <si>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Puesta en marcha del sistema departamental del servicio al ciudadano </t>
  </si>
  <si>
    <t xml:space="preserve">20
</t>
  </si>
  <si>
    <t>Recurso Ordinario</t>
  </si>
  <si>
    <t>Director Oficina Privada</t>
  </si>
  <si>
    <t xml:space="preserve">Diseño e implementacion de la estrategia de transparencia </t>
  </si>
  <si>
    <t>20
88</t>
  </si>
  <si>
    <t>Recurso Ordinario
Superávit Ordinario</t>
  </si>
  <si>
    <t xml:space="preserve">Mejorar la cultura del civismo y participación de los ciudadanos  en los  procesos institucionales del gobierno.
</t>
  </si>
  <si>
    <t>Implemetación de una escuela de liderazgo</t>
  </si>
  <si>
    <t>Fortalecimiento del presupuesto participativo</t>
  </si>
  <si>
    <t>Implementar una (1) sala de transparencia "Urna de Cristal" en el Departamento</t>
  </si>
  <si>
    <t>Sala de transparencia implementada</t>
  </si>
  <si>
    <t xml:space="preserve">0313 - 5 - 3 1 5 26 83 17 83 - 20  </t>
  </si>
  <si>
    <t>201663000-0083</t>
  </si>
  <si>
    <t>Implementacion de una (1) sala de transparencia "Urna de Cristal" en el Departamento del Quindio</t>
  </si>
  <si>
    <t>Mejorar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</si>
  <si>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</si>
  <si>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 xml:space="preserve">Operatividad de la sala de transparencia </t>
  </si>
  <si>
    <t>Gestión Territorial</t>
  </si>
  <si>
    <t xml:space="preserve">MODERNIZACIÓN TECNOLOGICA Y ADMINISTRATIVA </t>
  </si>
  <si>
    <t xml:space="preserve">Desarrollar e implementar una (1) estrategía de comunicaciones  </t>
  </si>
  <si>
    <t>Estrategía de comunicaciones desarrollada e implementada</t>
  </si>
  <si>
    <t xml:space="preserve">0313 - 5 - 3 1 5 28 89 17 81 - 20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</si>
  <si>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</si>
  <si>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</si>
  <si>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</si>
  <si>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</si>
  <si>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</si>
  <si>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20
88</t>
  </si>
  <si>
    <t>Recurso Ordinario 
Superavit Ordinario</t>
  </si>
  <si>
    <t>Desarrollo de la estrategia de comunicación interna (boletin informativo)</t>
  </si>
  <si>
    <t>Planificación institucional en la divulgación de los programas y proyectos</t>
  </si>
  <si>
    <t xml:space="preserve">Operatividad de la estrategica de comunicaciones </t>
  </si>
  <si>
    <t> </t>
  </si>
  <si>
    <t>JORGE ANDRES BUITRAGO MONCALEANO</t>
  </si>
  <si>
    <t xml:space="preserve"> DIRECTOR OFICINA PRIVADA</t>
  </si>
  <si>
    <t>Edad Económicamente Activa (20-59 años)</t>
  </si>
  <si>
    <t>DESARROLLO SOSTENIBLE</t>
  </si>
  <si>
    <t>Territorio Vital</t>
  </si>
  <si>
    <t>Manejo Integral del Agua y Saneamiento Basico</t>
  </si>
  <si>
    <t>Formular y ejecutar veinte (20) proyectos de infraestructura de agua potable y saneamiento básico</t>
  </si>
  <si>
    <t>No de proyectos de infraestructura formulados y/o ejecutados</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</si>
  <si>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</si>
  <si>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</si>
  <si>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</si>
  <si>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</si>
  <si>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</si>
  <si>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SGP Agua Potable y Saneamineto Básico</t>
  </si>
  <si>
    <t>Secretario de Aguas e Infraestructura  -      Director PAP-PDA</t>
  </si>
  <si>
    <t>0308 - 5 - 3 1 1 1 2 3 22 - 04</t>
  </si>
  <si>
    <t xml:space="preserve"> Superavit SGP APSB</t>
  </si>
  <si>
    <t xml:space="preserve">0308 - 5 - 3 1 1 1 2 3 22 - 27
</t>
  </si>
  <si>
    <t>Formular proyectos para ejecutar diferentes proyectos con el fin de brindar un buen servicio de Agua potable y Saneamiento basico.</t>
  </si>
  <si>
    <t>Estampilla Prodesarrollo</t>
  </si>
  <si>
    <t>0308 - 5 - 3 1 1 1 2 3 22 - 82</t>
  </si>
  <si>
    <t>04</t>
  </si>
  <si>
    <t>0308 - 5 - 3 1 1 1 2 3 22 - 90</t>
  </si>
  <si>
    <t>82</t>
  </si>
  <si>
    <t xml:space="preserve"> Superavit Estampilla Prodesarrollo</t>
  </si>
  <si>
    <t>201663000-0023</t>
  </si>
  <si>
    <t>Construción y mejoramiento de la infraestructura de agua potable y saneamiento básico del Departamento del Quindio.</t>
  </si>
  <si>
    <t>Infraestructura eficiente para la prestación del servicio de agua potable y saneamiento basico</t>
  </si>
  <si>
    <t xml:space="preserve">Realizar estudios y diseños enfocados a las necesidades en cuanto a la construccion y mejoramiento de la infraestructura de agua potable y saneamiento basico
</t>
  </si>
  <si>
    <t xml:space="preserve">0308 - 5 - 3 1 1 1 2 3 23 - 27
</t>
  </si>
  <si>
    <t>0308 - 5 - 3 1 1 1 2 3 23 - 82</t>
  </si>
  <si>
    <t xml:space="preserve">Formular,priorizar, viabilizar y ejecutar proyectos de infraestructura de Agua Potable y Saneamiento Basico 
</t>
  </si>
  <si>
    <t>Superavit Estampilla Prodesarrollo</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</si>
  <si>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</si>
  <si>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</si>
  <si>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</si>
  <si>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</si>
  <si>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</si>
  <si>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</si>
  <si>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</si>
  <si>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</si>
  <si>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SGP Agua Potable y Saneamineto Básico
</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</si>
  <si>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</si>
  <si>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</si>
  <si>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</si>
  <si>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</si>
  <si>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</si>
  <si>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</si>
  <si>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 xml:space="preserve">
Ejecutar el Plan Ambiental para el sector agua potable y saneamiento básico deacuerdo al decreto 1077 de 2015 para la vigencia 2016 - 2019
</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</si>
  <si>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</si>
  <si>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 xml:space="preserve">Actualización e implementacion del Plan Ambiental para el Sector de Agua Potable y Saneamiento Básico
</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</si>
  <si>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</si>
  <si>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</si>
  <si>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</si>
  <si>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</si>
  <si>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</si>
  <si>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</si>
  <si>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</si>
  <si>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</si>
  <si>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</si>
  <si>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</si>
  <si>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Formular e implementar dos (2) proyectos para la gestión del riesgo del sector de agua potable y saneamiento básico. </t>
  </si>
  <si>
    <t xml:space="preserve">N° de proyectos para la gestión del riesgo ejecutados </t>
  </si>
  <si>
    <t>0308 - 5 - 3 1 1 1 2 3 27 - 27</t>
  </si>
  <si>
    <t>201663000-0027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</si>
  <si>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</si>
  <si>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2018.</t>
  </si>
  <si>
    <t>Destinar recursos de inversion en planes mantenimiento con su correspondiente priorizacion a través de la estructuración priorizada de
inversión por fases para la gestión del riesgo en el sector de agua potable y saneamiento básico en el Dpto.</t>
  </si>
  <si>
    <t>Estructuración priorizada de inversión para la Gestión del Riesgo en el Sector de Agua Potable y Saneamiento Básico.</t>
  </si>
  <si>
    <t>Atención de emergencias que afecten la prestación de servicios de Agua Potable y Saneamiento Básico.</t>
  </si>
  <si>
    <t>Planificar  adecuadamente los procesos para la mitigación de riesgos en la prestación del servicio de  ,APSB a través de estudios de la gestión del riesgo que aporten en el conocimiento de los mismos.</t>
  </si>
  <si>
    <t>Formulación de un (1) Estudio de Gestión del Riesgo en el Sector de Agua Potable y Saneamiento Básico.</t>
  </si>
  <si>
    <t xml:space="preserve">2. </t>
  </si>
  <si>
    <t xml:space="preserve">PROSPERIDAD CON EQUIDAD </t>
  </si>
  <si>
    <t xml:space="preserve">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</si>
  <si>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</si>
  <si>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</si>
  <si>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</si>
  <si>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</si>
  <si>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</si>
  <si>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</si>
  <si>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</si>
  <si>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</si>
  <si>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</si>
  <si>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</si>
  <si>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 xml:space="preserve"> Adquisición de bienes y servicios</t>
  </si>
  <si>
    <t>Sobretasa ACPM</t>
  </si>
  <si>
    <t>Secretario de Aguas e Infraestructura</t>
  </si>
  <si>
    <t>Componente Técnico</t>
  </si>
  <si>
    <t>0308 - 5 - 3 1 2 4 14 9 19 - 23</t>
  </si>
  <si>
    <t>Interventoria y Administracion</t>
  </si>
  <si>
    <t>Obra Física</t>
  </si>
  <si>
    <t>Apoyar la atención de emergencias viales en los doce (12) Municipios del Departamento del Quindío.</t>
  </si>
  <si>
    <t>Numero de municipios con emergencias viales apoyados</t>
  </si>
  <si>
    <t>0308 - 5 - 3 1 2 4 14 9 19 - 46</t>
  </si>
  <si>
    <t>Atención oportuna y eficiente de las emergencias viales en el departamento del Quindìo.</t>
  </si>
  <si>
    <t>Recurso del Crédito</t>
  </si>
  <si>
    <t xml:space="preserve"> Apoyo Institucional</t>
  </si>
  <si>
    <t>Superavit Recurso Ordinario</t>
  </si>
  <si>
    <t>0308 - 5 - 3 1 2 4 14 9 19 - 88</t>
  </si>
  <si>
    <t>Realizar ocho (8) estudios y/o diseños para el mantenimiento, mejoramiento y/o rehabilitación de la infraestructura vial del departamento para la implementación del Plan Vial departamental</t>
  </si>
  <si>
    <t>Número de estudios y/o diseños realizados</t>
  </si>
  <si>
    <t>0308 - 5 - 3 1 2 4 14 9 19 - 89</t>
  </si>
  <si>
    <t>Actualización e implementación del diagnóstico de la red vial</t>
  </si>
  <si>
    <t>Estudios</t>
  </si>
  <si>
    <t>Superavit Sobretasa ACPM</t>
  </si>
  <si>
    <t>Ingenieria y Administración</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</si>
  <si>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</si>
  <si>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</si>
  <si>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</si>
  <si>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</si>
  <si>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</si>
  <si>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</si>
  <si>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</si>
  <si>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</si>
  <si>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 xml:space="preserve">Estudios </t>
  </si>
  <si>
    <t>Apoyar la construcción, mejoramiento y/o rehabilitación de cuatro (4) obras de infraestructura de salud del departamento del Quindío</t>
  </si>
  <si>
    <t>Numero de instituciones de salud mejoradas y/o apoyadas</t>
  </si>
  <si>
    <t>Adquisicion de bienes y Servicios</t>
  </si>
  <si>
    <t>Apoyar la construcción, mejoramiento y/o  rehabilitación de la infraestructura de doce (12) escenarios deportivos y/o recreativos en el departamento del Quindío</t>
  </si>
  <si>
    <t>Número de escenarios deportivo o recreativo  apoyado</t>
  </si>
  <si>
    <t>0308 - 5 - 3 1 2 4 15 15 21 - 04</t>
  </si>
  <si>
    <t>Apoyo Institucional</t>
  </si>
  <si>
    <t>0308 - 5 - 3 1 2 4 15 15 21 - 20</t>
  </si>
  <si>
    <t>Apoyar la construcción, el mantenimiento, el mejoramiento y/o la rehabilitación de la infraestructura de doce (12) equipamientos públicos y colectivos del Departamento del Quindío.</t>
  </si>
  <si>
    <t>Número de  equipamientos públcos  y colectivos rehabilitados</t>
  </si>
  <si>
    <t>0308 - 5 - 3 1 2 4 15 15 21 - 46</t>
  </si>
  <si>
    <t>Obra Fisica</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</si>
  <si>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</si>
  <si>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</si>
  <si>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0308 - 5 - 3 1 2 4 15 15 21 - 82</t>
  </si>
  <si>
    <t xml:space="preserve">0308 - 5 - 3 1 2 4 15 15 21 - 88
</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</si>
  <si>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</si>
  <si>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</si>
  <si>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Apoyar la construcción y  el mejoramiento de mil (1000) viviendas urbana y rural priorizada en el departamento del Quindío.</t>
  </si>
  <si>
    <t>Número de viviendas apoyadas</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</si>
  <si>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</si>
  <si>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</si>
  <si>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31/09/2017</t>
  </si>
  <si>
    <t>Apoyar la construcción, mejoramiento y/o  rehabilitación de la infraestructura de doce (12) escenarios deportivos y/o recreativos en el departamento del Quindío</t>
  </si>
  <si>
    <t>Cancha Sintetica contruida y Polideportivo, Sector Naranjal, Quimbaya Quindio adecuado </t>
  </si>
  <si>
    <t>0.50</t>
  </si>
  <si>
    <t>0308 - 5 - 3 1 2 4 15 15 2 - 149</t>
  </si>
  <si>
    <t>2018003630- 002</t>
  </si>
  <si>
    <t>Construcion Cancha Sintetica y Adecuacion del Polideportivo en el Sector de Naranjal, Quimbaya Quindio</t>
  </si>
  <si>
    <t>Incrementar los niveles de práctica deportiva</t>
  </si>
  <si>
    <t>Aumentar los espacios para la prácticas deportivas</t>
  </si>
  <si>
    <t>Superavit Recursos Nacionales</t>
  </si>
  <si>
    <t>SEGURIDAD HUMANA</t>
  </si>
  <si>
    <t>SEGURIDAD HUMANA COMO DINAMIZADOR DE LA VIDA, DIGNIDAD Y LIBERTAD EN EL QUINDIO</t>
  </si>
  <si>
    <t>FORTALECIMIENTO DE LA SEGURIDAD VIAL DEPARTAMENTAL</t>
  </si>
  <si>
    <t>Implementar un programa para disminuir la accidentalidad en las vías del departamento</t>
  </si>
  <si>
    <t>programa para disminuir la accidentalidad en las vías del departamento implementado</t>
  </si>
  <si>
    <t>0308 - 5 - 3 1 4 23 77 9 1 - 150</t>
  </si>
  <si>
    <t>2018003630-001</t>
  </si>
  <si>
    <t>Implementacion Plataforma Tecnologica para la Recoleccion Actualizada y Analisis de Datos de Siniestralidad Vial, Mapa de Siniestralidad e Insumos linea Base Plan Seguridad Vial Quindio</t>
  </si>
  <si>
    <t>Implementar plataforma tecnológica para la recoleccion automatizada y analisis de datos de siniestralidad vial para disminuir accidentalidad</t>
  </si>
  <si>
    <t>Obtener la informacion de linea base y mapas de siniestralidad exigidos por la Ley 1503 de 2011 como insumo PSV</t>
  </si>
  <si>
    <t>Recolección automatizada de los datos de accidentalidad</t>
  </si>
  <si>
    <t>Generaciópn de mapa georeferenciado (mapa de siniestralidad Ley 1503) y consultas de datos sobre variables de accidentalidad</t>
  </si>
  <si>
    <t>Aplicación Web de generación automática de informes de resultados e impactos de las actividades del proyecto</t>
  </si>
  <si>
    <t>JUAN ANTONIO OSORIO ALVAREZ</t>
  </si>
  <si>
    <t>06</t>
  </si>
  <si>
    <t>Noviembre 22 de 2017</t>
  </si>
  <si>
    <t>Edad Económicamente Activa
(20-59 años)</t>
  </si>
  <si>
    <t>GESTIÓN TERRITORIAL</t>
  </si>
  <si>
    <t>MODERNIZACIÓN TECNOLOGICA Y ADMINISTRATIVA</t>
  </si>
  <si>
    <t>Virtualizar ocho (8) trámites de la administración departamental a través de Gobierno en Línea</t>
  </si>
  <si>
    <t>Número de trámites virtualizados</t>
  </si>
  <si>
    <t>0304 - 5 - 3 1 5 28 89 17 1 - 20
0304 - 5 - 3 1 5 28 89 17 1 - 88</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</si>
  <si>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</si>
  <si>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</si>
  <si>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</si>
  <si>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</si>
  <si>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Sostenibilidad de la estrategia de gobierno en linea</t>
  </si>
  <si>
    <t xml:space="preserve">Recurso Ordinario
</t>
  </si>
  <si>
    <t xml:space="preserve">Secretaria Administrativa
</t>
  </si>
  <si>
    <t>Compra o adquisición de Sofware</t>
  </si>
  <si>
    <t>Superavit  Recurso Ordinario</t>
  </si>
  <si>
    <t>Formular e  implementar un (1) programa de seguridad y salud en el trabajo, capacitación y bienestar social en  el departamento</t>
  </si>
  <si>
    <t>Programa de seguridad y salud formulado e implementado</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</si>
  <si>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</si>
  <si>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</si>
  <si>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</si>
  <si>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</si>
  <si>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</si>
  <si>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 xml:space="preserve">Secretaria Administrativa
Dirección Talento Humano
</t>
  </si>
  <si>
    <t>0304 - 5 - 3 1 5 28 89 17 2 - 20</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</si>
  <si>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</si>
  <si>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</si>
  <si>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Superavit  Recurso Ordinario</t>
  </si>
  <si>
    <t>0304 - 5 - 3 1 5 28 89 17 2 - 88</t>
  </si>
  <si>
    <t>Formular e implementar 1 plan institucional de capacitación para los funcionarios de la entidad en  la vigencia 2018</t>
  </si>
  <si>
    <t>Desarrollo y ejecución de capacitaciones de conformidad con el plan institucional de capacitaciones aprobado</t>
  </si>
  <si>
    <t>Fortalecer el programa de  infraestructura tecnológica de la  Administración Departamental (hadware, aplicativos, redes, y capacitación)</t>
  </si>
  <si>
    <t>Programa de infraestructura tecnologica de la administracion fortalecido</t>
  </si>
  <si>
    <t>0304 - 5 - 3 1 5 28 89 17 3 - 20</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</si>
  <si>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</si>
  <si>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</si>
  <si>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</si>
  <si>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</si>
  <si>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 xml:space="preserve">Recurso Ordinario
</t>
  </si>
  <si>
    <t>Secretaria Administrativa
Dirección Tic´s</t>
  </si>
  <si>
    <t>Incrementar la  renovación de las herramientas tecnológicas a través de outsourcing para ampliar el numero de equipos de ultima tecnología logrando una mejor atención a los usuarios</t>
  </si>
  <si>
    <t>Soporte aplicativos</t>
  </si>
  <si>
    <t xml:space="preserve">Fortalecer el programa de sostenibilidad de las  Tecnologias de la Información de las Comunicaciones de la Gobernación del Quindio </t>
  </si>
  <si>
    <t>Programa de sostenibilidad de las TIC fortalecido</t>
  </si>
  <si>
    <t>0304 - 5 - 3 1 5 28 89 17 4 - 20
0304 - 5 - 3 1 5 28 89 17 4 - 88</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</si>
  <si>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</si>
  <si>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</si>
  <si>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</si>
  <si>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</si>
  <si>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</si>
  <si>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Recurso Ordinario
Superavit Recurso Ordinario</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</si>
  <si>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</si>
  <si>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</si>
  <si>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</si>
  <si>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</si>
  <si>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</si>
  <si>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</si>
  <si>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</si>
  <si>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Secretaria Administrativa
Dirección del FTP</t>
  </si>
  <si>
    <t>Implementar un programa de actualización y registro de los bienes de propiedad del departamento</t>
  </si>
  <si>
    <t>Programa de actualización y registro implementado</t>
  </si>
  <si>
    <t>Administrar, depurar y registrar la totalidad de los bienes  de propiedad de la Gobernación del Departamento del Quindío con información real  y pertinente</t>
  </si>
  <si>
    <t>Implementar procedimientos correspondiente  a las bodegas a cargo de la dirección de almacén</t>
  </si>
  <si>
    <t>Secretaria Administrativa
Dirección Recuroso Físsicos
Dirección de Almacén</t>
  </si>
  <si>
    <t xml:space="preserve">0304 - 5 - 3 1 5 28 89 17 5 - 20 </t>
  </si>
  <si>
    <t>Realizar avalúos a los bienes inmuebles a cargo de la entidad</t>
  </si>
  <si>
    <t xml:space="preserve">Superavit  Recurso Ordinario
</t>
  </si>
  <si>
    <t xml:space="preserve">Realizar un (1) estudio de modernización administrativa en el departamento </t>
  </si>
  <si>
    <t>Estudio de modernización administrativa realizado</t>
  </si>
  <si>
    <t>0304 - 5 - 3 1 5 28 89 17 5 - 46</t>
  </si>
  <si>
    <t>Realizar estudio que permita conformar una planta de cargos de acuerdo a las necesidades del servicio de la entidad</t>
  </si>
  <si>
    <t xml:space="preserve">Recurso del Crédito </t>
  </si>
  <si>
    <t>Secretaria Administrativa
Dirección de Talento Humano</t>
  </si>
  <si>
    <t>Implementar un (1) programa de modernización de la gestión documental en el departamento</t>
  </si>
  <si>
    <t>Programa de modernización implementado</t>
  </si>
  <si>
    <t xml:space="preserve"> 0304 - 5 - 3 1 5 28 89 17 5 - 88</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</si>
  <si>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</si>
  <si>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</si>
  <si>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</si>
  <si>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</si>
  <si>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</si>
  <si>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procesos de adquisición de un bien inmueble</t>
  </si>
  <si>
    <t>Secretaria Administrativa
Dirección de Recursos Físicos</t>
  </si>
  <si>
    <t>CATALINA GÓMEZ RESTREPO</t>
  </si>
  <si>
    <t>Secretaria Administrativa</t>
  </si>
  <si>
    <t>F-PLA-06</t>
  </si>
  <si>
    <t>01 de 1</t>
  </si>
  <si>
    <t>META FISICA</t>
  </si>
  <si>
    <t>No.</t>
  </si>
  <si>
    <t>P</t>
  </si>
  <si>
    <t>PRESUPUESTADO</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</si>
  <si>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</si>
  <si>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</si>
  <si>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</si>
  <si>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</si>
  <si>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</si>
  <si>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</si>
  <si>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</si>
  <si>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</si>
  <si>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</si>
  <si>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</si>
  <si>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 xml:space="preserve">Implementar un programa de atencion integral a menores de 5 años y madres gestantes en entornos familiares
</t>
  </si>
  <si>
    <t>Maria Del Carmen Aguirre Botero
Secretaria de Familia</t>
  </si>
  <si>
    <t>Realizar talleres de sensibilización en entorno Institucional a la primera infancia</t>
  </si>
  <si>
    <t>Apoyo en la realizacion de actividades y seguimiento del modelo intersectorial de atencion integral a los municipios del departamento</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</si>
  <si>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</si>
  <si>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</si>
  <si>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</si>
  <si>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</si>
  <si>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</si>
  <si>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</si>
  <si>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</si>
  <si>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</si>
  <si>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</si>
  <si>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</si>
  <si>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</si>
  <si>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</si>
  <si>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</si>
  <si>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</si>
  <si>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</si>
  <si>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</si>
  <si>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 xml:space="preserve">Elaboracion del  plan de accion con los actores responsables del cumplimiento de la politica publica de familia
</t>
  </si>
  <si>
    <t xml:space="preserve">Apoyar con el seguimiento  al plan de accion de la politica publica de familia
</t>
  </si>
  <si>
    <t>Proceso de  formulacion de la politica publica de familia</t>
  </si>
  <si>
    <t>Apoyo  al  seguimiento de  la  ejecucion presupuestal  de los recursos destinados  a la a la  politica pública de familia</t>
  </si>
  <si>
    <t xml:space="preserve">Apoyo y acompañamiento juridico en el marco de la formulacion e implementacion de la politica publica de familia
</t>
  </si>
  <si>
    <t>Realizar acciones tendientes a la implementacion de la politica publica de familia</t>
  </si>
  <si>
    <t>Realizar  actividades tendientes al cumplimiento de las acciones de responsabilidad de la jefatura de familia</t>
  </si>
  <si>
    <t xml:space="preserve">Alto grado de tolerancia ante la diversidad de pensamientos y comportamientos al interior de las familias </t>
  </si>
  <si>
    <t xml:space="preserve">Campañas, publicidad y promocion </t>
  </si>
  <si>
    <t>Refrigerios, logistica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</si>
  <si>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</si>
  <si>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</si>
  <si>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</si>
  <si>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</si>
  <si>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</si>
  <si>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</si>
  <si>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</si>
  <si>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</si>
  <si>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 xml:space="preserve">Apoyar con el seguimiento al Plan de Acción de la Politica Publica  de primera infancia, infancia y adolescencia del departamento
</t>
  </si>
  <si>
    <t xml:space="preserve">Apoyo al Comite de  Primera Infancia, Infancia y Adolescencia y al Consejo de Politica Social
</t>
  </si>
  <si>
    <t>Apoyo a programas que conlleven a la  implementación de la Politica publica de primera infancia, infancia y adolescencia en el Departamento del Quindio</t>
  </si>
  <si>
    <t>Apoyo  al  seguimiento de  la  ejecución presupuestal  de los recursos destinados  a la a la  política pública de primera infancia, infancia y adolescencia en el Departamento del Quindío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</si>
  <si>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</si>
  <si>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</si>
  <si>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0316 - 5 - 3 1 3 17 59 14 109 - 20</t>
  </si>
  <si>
    <t>Promover prácticas deportivas, recreativas, lúdicas y culturales, como generadora y potenciadora en el desarrollo integral de los niños, niñas y adolescentes vulnerables del departamento del Quindío.</t>
  </si>
  <si>
    <t xml:space="preserve">Recurso Ordinario
Superavit Recurso Ordinario
</t>
  </si>
  <si>
    <t>Logistica operativa, sonido, refrigerios.</t>
  </si>
  <si>
    <t>Implementar  una estrategia de prevención y atención de embarazos y segundos embarazos a temprana edad.</t>
  </si>
  <si>
    <t>Estrategia de prevención  y atención de embarazos a temprana edad implementada</t>
  </si>
  <si>
    <t>0316 - 5 - 3 1 3 17 59 14 109 - 88</t>
  </si>
  <si>
    <t xml:space="preserve">Disminuir los factores de vulneracion de los derechos de niños, niñas y adolescentes (maltrato, abuso,abandono, explotación sexual) </t>
  </si>
  <si>
    <t xml:space="preserve">Apoyar la Implementación de una estrategia de prevencion de embarazos y segundos embarazos a temprana edad
</t>
  </si>
  <si>
    <t>Realizar jornadas pedagogicas de prevencion en las Instituciones educativas del depto</t>
  </si>
  <si>
    <t>Apoyar la articulación intersectorial, a través de mesas de trabajo en pro de la prevencion de los embarazos en adolescentes y segundos embarazos a temprana edad.</t>
  </si>
  <si>
    <r>
      <t>Implemen</t>
    </r>
    <r>
      <rPr>
        <sz val="12"/>
        <rFont val="Arial"/>
        <family val="2"/>
      </rPr>
      <t xml:space="preserve">tar una  </t>
    </r>
    <r>
      <rPr>
        <sz val="12"/>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</si>
  <si>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</si>
  <si>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</si>
  <si>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 xml:space="preserve">Apoyar la implementación de una  estrategia  de prevención y atención de la erradicación del abuso, explotación sexual comercial, trabajo infantil y peores formas de trabajo, y actividades delictivas
</t>
  </si>
  <si>
    <t>Apoyar la implementación del Plan integral de prevención y erradicación del trabajo infantil "PIPETI", las peores formas de trabajo y apoyar al CIETI</t>
  </si>
  <si>
    <t xml:space="preserve">Apoyar la Implementacion  y  el seguimiento en los doce municipios de la ruta departamental de prevención del abuso y maltrato infantil en los ambientes familiares, escolares, sociales e institucionales 
</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</si>
  <si>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</si>
  <si>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</si>
  <si>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</si>
  <si>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</si>
  <si>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</si>
  <si>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</si>
  <si>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</si>
  <si>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</si>
  <si>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Apoyo y seguimiento a los indicadores de cumplimiento del plan de accion de la politica publica de juventud </t>
  </si>
  <si>
    <t xml:space="preserve">20
</t>
  </si>
  <si>
    <t>170</t>
  </si>
  <si>
    <t xml:space="preserve">Aunar exfuerzos con entidades de apoyo a la micro y mediana empresa. </t>
  </si>
  <si>
    <t xml:space="preserve">Capacitaciones, socialización y conformación de espacios de participación juvenil </t>
  </si>
  <si>
    <t>Desarrollo de acciones dispuestas a la implementacion de la politica de juventud, en los componentes de responsabilidad de la oficina de juventud</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</si>
  <si>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</si>
  <si>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</si>
  <si>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</si>
  <si>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</si>
  <si>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</si>
  <si>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</si>
  <si>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</si>
  <si>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</si>
  <si>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</si>
  <si>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</si>
  <si>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</si>
  <si>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ADQUISICION DE BIENES Y SERVICIOS: Logistica operativa,  refrigerios, sonido, ferreteria, etc</t>
  </si>
  <si>
    <t>Volantes, pendones, afiches, manillas, etc.</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</si>
  <si>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</si>
  <si>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</si>
  <si>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</si>
  <si>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</si>
  <si>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</si>
  <si>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</si>
  <si>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</si>
  <si>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</si>
  <si>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LOGISTICA OPERATIVA: Rrefrigerios, sonido, logistica en genreal, elementos y/o materia prima </t>
  </si>
  <si>
    <t xml:space="preserve">Apoyar la elaboración ,seguimiento y evaluacion de los planes de accion de los municipios y depto de la Politica Publica de discapacidad.
</t>
  </si>
  <si>
    <t xml:space="preserve">Diseñar , construir  y difundir  de manera concertada la malla de oferta institucional con los diferentes actores
</t>
  </si>
  <si>
    <t>Promover el derecho a participar en los escenarios políticos y generar los espacios necesios para la formación política de las personas con discapacidad</t>
  </si>
  <si>
    <t>Procesos de  fortalecimiento en la cultura organizacional  del sector público y privado</t>
  </si>
  <si>
    <t xml:space="preserve">Apoyar la elaboración de diagnósticos comunitarios sobre la situación de personas con discapacidad en comunidades focalizadas. 
</t>
  </si>
  <si>
    <t xml:space="preserve">Apoyar la Implementación de programas para la creación de empresas asociativas 
</t>
  </si>
  <si>
    <t xml:space="preserve">Promover  y  fortalecer la creación de organizaciones que trabajan con y para las personas con discapacidad y sus familias 
</t>
  </si>
  <si>
    <t xml:space="preserve">Apoyar la Formación a líderes y al Comité Departamental de Discapacidad en gestión y formulación de proyectos
</t>
  </si>
  <si>
    <t>Apoyar la Formación de la población con discapacidad, cuidadores , cuidadoras y sus familias, en talleres de formación en maderas, pintura, muralismo, escultura y artes plasticas, etc, con el fin de realizar inclusion social y mejoramiento de su calidad de vida.</t>
  </si>
  <si>
    <t xml:space="preserve">Apoyar con un plan de mercadeo a las unidades productivas de las personas con discapacidad
</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</si>
  <si>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</si>
  <si>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</si>
  <si>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</si>
  <si>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</si>
  <si>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</si>
  <si>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</si>
  <si>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</si>
  <si>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</si>
  <si>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</si>
  <si>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</si>
  <si>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</si>
  <si>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</si>
  <si>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</si>
  <si>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</si>
  <si>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</si>
  <si>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al plan de acción que conlleve a la implementación de la estrategia para atención de la población en alta vulnerabilidad</t>
  </si>
  <si>
    <t xml:space="preserve">Apoyar con el diagnóstico situacional de Habitantes en Calle y  personas en alta  vulnerabilidad y alto riesgo social
</t>
  </si>
  <si>
    <t>Apoyar a las poblaciones en estado de vulnerabilidad de los Barrios priorizados en procesos de emprendimiento, creación  y formalización de empresas asociativas.</t>
  </si>
  <si>
    <t>Apoyar a las poblaciones vulnerables de los Barrios priorizados del departamento, con talleres de capacitación y  seguimiento en  proyectos productivos</t>
  </si>
  <si>
    <t>Atención a habitantes de calle en los municipios del departamento, en la ejecución de acciones encaminadas a garantizar los derechos de la población en estado  de  vulnerabilidad  extrema  en el departamento del Quindío".</t>
  </si>
  <si>
    <t>Brindar apoyo en los procesos que conlleven a la ejecución de la meta 191: Diseñar  e   implementar una  estrategia para la atención de la  población  en  situación  de  vulnerabilidad  extrema  en el Departamento del Quindío (habitantes de  calle, trabajo  sexual, reincidencia delictiva, drogadicción, bandas delincuenciales, entre otros).</t>
  </si>
  <si>
    <t xml:space="preserve">Apoyo  al  seguimiento de  la  ejecución presupuestal  de los recursos destinados  a la Implementacion de la estrategioa de atención de la poblacion en situacion de vulnerabilidad del departamento </t>
  </si>
  <si>
    <t>Brindar apoyo a la Secretaría de Familia en la   difusión de Derechos y garantías fundamentales de la  población vulnerable del Departamento del Quindío</t>
  </si>
  <si>
    <t xml:space="preserve">Brindar apoyo a la Secretaría de Familia en las diferentes jornadas realizadas  con  población vulnerable.
</t>
  </si>
  <si>
    <t xml:space="preserve">Apoyar a la secretaría de familia, en las diferentes actividades que se realicen,   tendientes a  la implementación de una estrategia para la   atención a  la  población en  vulnerabilidad extrema en el  departamento del Quindío” </t>
  </si>
  <si>
    <t xml:space="preserve">Apoyar a la Secretaría de Familia en la realización de convocatorias, acompañamiento logístico y asistencia operativa tendientes a la atención de la población vulnerable del departamento.
</t>
  </si>
  <si>
    <t>0316 - 5 - 3 1 3 18 62 14 117 - 20</t>
  </si>
  <si>
    <t>Apoyar  con los procesos que conlleven a  la implementacion de la estrategia para la atención de la población en situación de vulnerabilidad extrema del departamento. (habitantes de calle, trabajo sexual,  reincidencia delictiva, drogadicción, bandas delincuenciales, entre otras</t>
  </si>
  <si>
    <t>0316 - 5 - 3 1 3 18 62 14 117 - 88</t>
  </si>
  <si>
    <t>Apoyar con la realización de informes relacionados con el cumplimiento d ela meta: 191: Diseñar  e   implementar una  estrategia para la atención de la  población  en  situación  de  vulnerabilidad  extrema  en el Departamento del Quindío (habitantes de  calle, trabajo  sexual, reincidencia delictiva, drogadicción, bandas delincuenciales, entre otros).</t>
  </si>
  <si>
    <t>Apoyar en la realizacion de un ciclo de talleres que comprenden temáticas que permiten promover el desarrollo de competencias sociales y laborales  en la poblacion vulenrable del depto</t>
  </si>
  <si>
    <t xml:space="preserve">Establecer convenios con Instituciones de orden departamental y/o privada para promover programas de formación laboral complementaria.
</t>
  </si>
  <si>
    <t xml:space="preserve">Apoyar con la realización de un  documento denominado  proyecto o programa  piloto  para  atender  la  población  vulnerable  de cuatro municipios del depto
                                                                           </t>
  </si>
  <si>
    <t xml:space="preserve">Identificación de las necesidades y perfil  educativo de las poblaciones que se encuentran en riesgo, para ser vinculadas a la fuerza laboral, de conformidad con los diagnósticos locales realizados por organismos gubernamentales y no  gubernamentales
</t>
  </si>
  <si>
    <t>Apoyar la coordinación entre las diferentes Secretarías del orden departamental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</si>
  <si>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</si>
  <si>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Aunar esfuerzos técnicos y financieros para la realización de estrategias orientadas a  permitir la  garantía de  derechos de las comunidades en situación de riesgo social focalizadas en los municipios  del departamento”.</t>
  </si>
  <si>
    <t>Facilitar   el acceso  a la  oferta institucional para  garantizar  a la  población en situación de riesgo la atención oportuna de conformidad con las rutas de atención  establecidas en la ley para  la atención de los diferentes tipos violencias  o afectaciones  a  los  derechos.</t>
  </si>
  <si>
    <t>Logistica operativa, refrigerios, sonido</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</si>
  <si>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</si>
  <si>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</si>
  <si>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</si>
  <si>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</si>
  <si>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</si>
  <si>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</si>
  <si>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</si>
  <si>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</si>
  <si>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garantia de derechos de la población migrante del Departamento</t>
  </si>
  <si>
    <t xml:space="preserve">1.1.2.Asistencias tecnicas  personales y grupales para la creación de rutas de atención al ciudadano migrante </t>
  </si>
  <si>
    <t>Capacitación secretarias sectoriales en cuanto la atención al ciudadano migrante</t>
  </si>
  <si>
    <t>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</si>
  <si>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</si>
  <si>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</si>
  <si>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</si>
  <si>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</si>
  <si>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</si>
  <si>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</si>
  <si>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</si>
  <si>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Apoyar con unidades productivas al plan de vida del Resguardo Indigena</t>
  </si>
  <si>
    <t xml:space="preserve">Apoyo, acompañamiento y fortalecimiento en cuanto procesos de seguridad alimentaria, saneamiento basico, educación, salud, justicia, gobernabilidad y territorio </t>
  </si>
  <si>
    <t xml:space="preserve"> 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</si>
  <si>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</si>
  <si>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</si>
  <si>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</si>
  <si>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</si>
  <si>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</si>
  <si>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</si>
  <si>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</si>
  <si>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</si>
  <si>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</si>
  <si>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</si>
  <si>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</si>
  <si>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</si>
  <si>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</si>
  <si>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</si>
  <si>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</si>
  <si>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</si>
  <si>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</si>
  <si>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</si>
  <si>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Capacitaciones dirigidas a comunidades Afros del Departamento</t>
  </si>
  <si>
    <t xml:space="preserve">Apoyo, acompañamiento y fortalecimiento en cuanto procesos de seguridad alimentaria, saneamiento basico, educación, salud y vivienda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</si>
  <si>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</si>
  <si>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</si>
  <si>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</si>
  <si>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</si>
  <si>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
0316 - 5 - 3 1 3 18 65 14 125 - 88</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</si>
  <si>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</si>
  <si>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</si>
  <si>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</si>
  <si>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</si>
  <si>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Articulacion insteristitucional de la politica publica de diversidad sexual</t>
  </si>
  <si>
    <t xml:space="preserve">Recurso Ordinario
Superavit ordinario
</t>
  </si>
  <si>
    <t>Apoyo al seguimiento del plan de accion de la politica publica de diversidad sexual, con los sectores y actores del depto</t>
  </si>
  <si>
    <t>Logistica Operativa</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</si>
  <si>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</si>
  <si>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</si>
  <si>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</si>
  <si>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</si>
  <si>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</si>
  <si>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</si>
  <si>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Cumplimiento de la normatividad jurídica nacional e internacional</t>
  </si>
  <si>
    <t>Campañas de socialización de las normas y las leyes que cobijan a la Mujer</t>
  </si>
  <si>
    <t>Logística operativa para los eventos en la implementación de la política publica de equidad</t>
  </si>
  <si>
    <t>seguimiento al Plan de Acción de la Política Publica de Equidad de Género para Mujer</t>
  </si>
  <si>
    <t xml:space="preserve">Apoyar la realización de Ruedas de negocios para mujeres emprendedoras y empresarias del departamento del Quindio.
</t>
  </si>
  <si>
    <t>0316 - 5 - 3 1 3 19 67 14 128 - 20</t>
  </si>
  <si>
    <t>Fortalecimiento a unidades productivas y/o proyectos de emprendemiento de mujeres</t>
  </si>
  <si>
    <t>0316 - 5 - 3 1 3 19 67 14 128 - 88</t>
  </si>
  <si>
    <t>Apoyo en el diseño de  estrategias de articulación e incorporación entre las organizaciones de mujeres del departamento y los consejos municipales y departamental de mujeres.</t>
  </si>
  <si>
    <t xml:space="preserve">Seguimiento al cumplimiento de los planes de acción de la Politica Publica de  Equidad de Género para la mujer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</si>
  <si>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</si>
  <si>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</si>
  <si>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</si>
  <si>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</si>
  <si>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201663000-0129</t>
  </si>
  <si>
    <t xml:space="preserve">Apoyo y bienestar integral a las personas mayores del Departamento del Quindio </t>
  </si>
  <si>
    <t>Altos índices de atención a los adultos mayores en el departamento del Quindío.</t>
  </si>
  <si>
    <t xml:space="preserve">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</si>
  <si>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</si>
  <si>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 xml:space="preserve">Apoyar elseguimiento y evaluacion de los planes de accion de los municipios y depto de la Politica Publica de envejecimiento y vejez
</t>
  </si>
  <si>
    <t xml:space="preserve">Apoyar asistencias técnicas grupales a los grupos de adultos mayores del depto, en deporte, cultura, recreación y motivación </t>
  </si>
  <si>
    <t>0316 - 5 - 3 1 3 19 67 14 129 - 06</t>
  </si>
  <si>
    <t xml:space="preserve">Desarrollar actividades como asistente jurídico para el cumplimiento de la normatividad que protejan los derechos de la población adulto mayor del departamento del Quindío </t>
  </si>
  <si>
    <t>Realizar motivación e infundir  sentido de pertenencia y compromiso de parte del Consejo Departamental del  adulto mayor</t>
  </si>
  <si>
    <t xml:space="preserve">
Superavit Recurso Ordinario</t>
  </si>
  <si>
    <t>0316 - 5 - 3 1 3 19 67 14 129 - 20</t>
  </si>
  <si>
    <t xml:space="preserve">Desarrollar estrategias de vigilancia y control que permitan garantizar el cumplimiento y reconocimiento de los derechos de las personas mayores 
</t>
  </si>
  <si>
    <t xml:space="preserve">
 Estampilla Pro Adulto Mayor</t>
  </si>
  <si>
    <t>Logística Operativa: Sonido, logistica, refrigerios</t>
  </si>
  <si>
    <t>Superavit Estampilla Pro Adulto Mayor</t>
  </si>
  <si>
    <t>0316 - 5 - 3 1 3 19 67 14 129 - 84</t>
  </si>
  <si>
    <t>Apoyo a  eventos programados por la Secretaría dia de la celebracion de las eprsonas de la tercera edad y el pensionado</t>
  </si>
  <si>
    <t>Crear el cabildo de adulto mayor del Departamento y apoyar la creación en once municipios del Quindío</t>
  </si>
  <si>
    <t>Número de Cabildos de Adulto Mayor creados.</t>
  </si>
  <si>
    <t>0316 - 5 - 3 1 3 19 67 14 129 - 88</t>
  </si>
  <si>
    <t xml:space="preserve">
Apoyar con actividades para la  creacion del cabildo de adulto mayoren en 6 municipios del Quindio
</t>
  </si>
  <si>
    <t xml:space="preserve">Apoyar 12 Centros de Bienestar del Departamento </t>
  </si>
  <si>
    <t>Centro de bienestar apoyados</t>
  </si>
  <si>
    <t>Centros de Binestar del Adulto Mayor (CBA)</t>
  </si>
  <si>
    <t xml:space="preserve">Apoyar 14 Centros Vida del Departamento </t>
  </si>
  <si>
    <t>Centros vida apoyados</t>
  </si>
  <si>
    <t>Centros Vida (DV)</t>
  </si>
  <si>
    <t>Revisó: Gloria Cristina Zuleta Rincón, Directora de Desarrollo Humano y Familia</t>
  </si>
  <si>
    <t>Proyectó y elaboró: Doris Castaño Agudelo, contratista</t>
  </si>
  <si>
    <t>MARIA DEL CARMEN AGUIRRE BOTERO</t>
  </si>
  <si>
    <t>SECRETARIA DE FAMILIA</t>
  </si>
  <si>
    <t>Quindío Ejemplar y Legal</t>
  </si>
  <si>
    <t>Establecer y socializar veinte (20)  políticas desde la cultura de la legalidad y  la prevención de daño antijurídico en  el Departamento.</t>
  </si>
  <si>
    <t>Número muncipios con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</si>
  <si>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</si>
  <si>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</si>
  <si>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</si>
  <si>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</si>
  <si>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</si>
  <si>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</si>
  <si>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Ordinario</t>
  </si>
  <si>
    <t>Secretario de Representación Judicial y Defensa del Departamento</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</si>
  <si>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</si>
  <si>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</si>
  <si>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</si>
  <si>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</si>
  <si>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PROGRAMACIÓN PLAN DE ACCIÓN
SECRETARIA ADMINISTRATIVA
I TRIMESTRE 2018</t>
  </si>
  <si>
    <t>PROGRAMACIÓN PLAN DE ACCIÓN
SECRETARIA DE AGUAS E INFRAESTRUCTURA
I TRIMESTRE 2018</t>
  </si>
  <si>
    <t>PROGRAMACIÓN PLAN DE ACCIÓN 
OFICINA PRIVADA
I TRIMESTRE 2018</t>
  </si>
  <si>
    <t xml:space="preserve">PROGRAMACION PLAN DE ACCIÓN
SECRETARIA DE FAMILIA
I TRIMESTRE 2018
</t>
  </si>
  <si>
    <t>PROGRAMACIÓN PLAN DE ACCIÓN 
SECRETARIA DE REPRESENTACION JUDICIAL
I TRIMESTRE 2018</t>
  </si>
  <si>
    <t>PROGRAMACIÓN PLAN DE ACCIÓN
SECRETARIA DE HACIENDA Y FINANZAS PUBLICAS
I TRIMESTRE 2018</t>
  </si>
  <si>
    <t xml:space="preserve">                                                               </t>
  </si>
  <si>
    <t>GESTIÓN TERRIITORIAL</t>
  </si>
  <si>
    <t>Implementar 4 procesos de fiscalización de las Rentas Departamentales</t>
  </si>
  <si>
    <t>Procesos de fiscalización implementados</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</si>
  <si>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</si>
  <si>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</si>
  <si>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</si>
  <si>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</si>
  <si>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Fiscalización tributaria del Impuesto vehiculos automotores I.S.V.A.</t>
  </si>
  <si>
    <t>20
88
56</t>
  </si>
  <si>
    <t xml:space="preserve">
Recurso Ordinario
Superavit Recurso Ordinario
Cofinanciación Convenios Interadministrativos
</t>
  </si>
  <si>
    <t xml:space="preserve"> Secretaria de Hacienda y Finanzas Públicas </t>
  </si>
  <si>
    <t>0307 - 5 - 3 1 5 28 88 17 16 - 20</t>
  </si>
  <si>
    <t xml:space="preserve">Fiscalización impuesto de registro </t>
  </si>
  <si>
    <t xml:space="preserve">0307 - 5 - 3 1 5 28 88 17 16 - 88_x000D_
</t>
  </si>
  <si>
    <t>Procesos de Fiscalización sobre las diferentes rentas Departamentales</t>
  </si>
  <si>
    <t>Implementar una estrategia de cobro coactivo sobre la cartera morosa de las Rentas Departamentales.</t>
  </si>
  <si>
    <t>Estrategia de cobro coactivo implementada</t>
  </si>
  <si>
    <t>0307 - 5 - 3 1 5 28 88 17 16 - 56</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</si>
  <si>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</si>
  <si>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</si>
  <si>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Ejecutar el programa anti contrabando suscrito con la Federación Nacional de Departamentos.                               </t>
  </si>
  <si>
    <t>Programa anticontrabando ejecutado</t>
  </si>
  <si>
    <t xml:space="preserve">Ejecutar el Programa Anticontrabando en el Departamento del Quindìo con ocasion de la suscripcion del Convenio entre el Departamento del Quindìo y la Federaciòn Nacional de Departamentos
</t>
  </si>
  <si>
    <t xml:space="preserve">Programa Anticontrabando de licores, Cerveza y Cigarrillos.
</t>
  </si>
  <si>
    <t>Elaborar el diagnóstico del sistema de Información tributario y financiero</t>
  </si>
  <si>
    <t>Diagnostico del sistema de información tributario y financiero elaborado</t>
  </si>
  <si>
    <t>0307 - 5 - 3 1 5 28 88 17 17 - 20</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</si>
  <si>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</si>
  <si>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</si>
  <si>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</si>
  <si>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</si>
  <si>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</si>
  <si>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 xml:space="preserve">  Secretaría de Hacienda y Finanzas Públicas</t>
  </si>
  <si>
    <t xml:space="preserve">Implementar un programa para el cumplimiento de las políticas y prácticas contables para la administración departamental         </t>
  </si>
  <si>
    <t>Programa para el cumplimiento de políticas contables implementado</t>
  </si>
  <si>
    <t>0307 - 5 - 3 1 5 28 88 17 17 - 88</t>
  </si>
  <si>
    <t xml:space="preserve">Adoptar el nuevo modelo de informaciòn Financiera determinado por las Normas Internacionales de Contabilidad de información financiera NIIF, a fin de garantizar la confiabilidad de la información financiera.
</t>
  </si>
  <si>
    <t>Implementacion de Normas Internacionales Información Financiera (NIIF).</t>
  </si>
  <si>
    <t xml:space="preserve">Fortalecimiento institucional para el cumplimiento de las politicas y practicas contables en el area de tesoreria, presupuesto y contabilidad </t>
  </si>
  <si>
    <t xml:space="preserve">LUZ HELENA MEJIA  CARDONA </t>
  </si>
  <si>
    <t xml:space="preserve">Secretaria de Hacienda </t>
  </si>
  <si>
    <t>PROGRAMACION PLAN DE ACCIÓN
SECRETARIA DE CULTURA
I TRIMESTRE</t>
  </si>
  <si>
    <t>F-PLA-07</t>
  </si>
  <si>
    <t xml:space="preserve">HOMBRE </t>
  </si>
  <si>
    <t>Mestiza</t>
  </si>
  <si>
    <t>Victimas</t>
  </si>
  <si>
    <t>FUENTE DE LOS RECURSOS</t>
  </si>
  <si>
    <t>SUPERVISOR RESPONSABLE</t>
  </si>
  <si>
    <t xml:space="preserve">P </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</si>
  <si>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</si>
  <si>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</si>
  <si>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</si>
  <si>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</si>
  <si>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</si>
  <si>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45 - 33
0310 - 5 - 3 1 3 9 29 5 45 - 83</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</si>
  <si>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</si>
  <si>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</si>
  <si>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</si>
  <si>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</si>
  <si>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Aportes para la seguridad social de artistas reconocidos por el consejo Departamental de Cultura </t>
  </si>
  <si>
    <t>James Gonzalez Mata
Secretaria de Cultura</t>
  </si>
  <si>
    <t>Apoyar  treinta (30) proyectos y/o actividades de formación, difusión, circulación, creación e investigación, planeación y de espacios para el disfrute de las artes</t>
  </si>
  <si>
    <t>Nro de proyectos o actividades programdas  /  Proyectos o actividades ejecutados</t>
  </si>
  <si>
    <t xml:space="preserve">
0310 - 5 - 3 1 3 9 29 5 46 - 88
0310 - 5 - 3 1 3 9 29 5 46 - 20
0310 - 5 - 3 1 3 9 29 5 46 - 39
0310 - 5 - 3 1 3 9 29 5 46 - 41
0310 - 5 - 3 1 3 9 29 5 46 - 83</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</si>
  <si>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</si>
  <si>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</si>
  <si>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</si>
  <si>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</si>
  <si>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Escuelas de formación</t>
  </si>
  <si>
    <t>Secretario de Cultura
Director de Análisis Financiero y Administrativo
Directora de Cultura Arte y Patrimonio
Asesora de Despacho
Profesional Universitario</t>
  </si>
  <si>
    <t xml:space="preserve"> Difusión y Circulación Artística</t>
  </si>
  <si>
    <t>Apoyo técnico y logístico</t>
  </si>
  <si>
    <t>Apoyar  ciento veinte (120) proyectos del programa de concertación cultural del departamento</t>
  </si>
  <si>
    <t>Alta concertación de proyectos con la institucionalidad cultural</t>
  </si>
  <si>
    <t>Convocatoria y apoyo logístico</t>
  </si>
  <si>
    <t>Estampilla Procultura 50% Concertación</t>
  </si>
  <si>
    <t xml:space="preserve">Evaluación y Seguimiento </t>
  </si>
  <si>
    <t>Estampilla Procultura 10% Estímulos</t>
  </si>
  <si>
    <t>Cofinanciación de proyectos</t>
  </si>
  <si>
    <t>Superavit Estampilla Procultura</t>
  </si>
  <si>
    <t>Apoyar treinta y seis (36) proyectos mediante estímulos artísticos y culturales</t>
  </si>
  <si>
    <t>Mayor apoyo a la creación investigación y producción artistica</t>
  </si>
  <si>
    <t xml:space="preserve"> Evaluación y Seguimiento </t>
  </si>
  <si>
    <t xml:space="preserve">Emprendimiento Cultural </t>
  </si>
  <si>
    <t>Fortalecer cinco (5) procesos de emprendimiento cultural y de desarrollo de industrias creativas</t>
  </si>
  <si>
    <t>0310 - 5 - 3 1 3 9 30 5 47 - 20</t>
  </si>
  <si>
    <t>201663000-0047</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</si>
  <si>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</si>
  <si>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</si>
  <si>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</si>
  <si>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</si>
  <si>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Directora de Cultura arte y Patrimonio</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</si>
  <si>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</si>
  <si>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</si>
  <si>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</si>
  <si>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0310 - 5 - 3 1 3 9 31 5 48 - 34
0310 - 5 - 3 1 3 9 31 5 48 - 83</t>
  </si>
  <si>
    <t>201663000-0048</t>
  </si>
  <si>
    <t>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</si>
  <si>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</si>
  <si>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</si>
  <si>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Realización de procesos formativos para promotores de lectura y escritura</t>
  </si>
  <si>
    <t>34
83</t>
  </si>
  <si>
    <t>Estampilla Procultura 10% bibliotecas
Superavit Estampilla Procultura</t>
  </si>
  <si>
    <t xml:space="preserve">Director de Análisis Financiero y Administrativo
Directora de Cultura arte y Patrimonio
Asesora de Despacho
Profesional Universitario
</t>
  </si>
  <si>
    <t>Encuentros para el intercambio, formación y retroalimentación de la Red de Bibliotecas</t>
  </si>
  <si>
    <t>Dotación y adecuación bibliotecaria</t>
  </si>
  <si>
    <t xml:space="preserve">Coordinación de actividades para el fortalecimiento de la Red </t>
  </si>
  <si>
    <t xml:space="preserve">Ampliación de espacios y acciones para la difusión de la lectura y escritura </t>
  </si>
  <si>
    <t>Apoyo al proyecto editorial Biblioteca de Autores Quindianos</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</si>
  <si>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</si>
  <si>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</si>
  <si>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</si>
  <si>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</si>
  <si>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49 - 47
0310 - 5 - 3 1 3 10 32 5 49 - 93</t>
  </si>
  <si>
    <t>201663000-0049</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</si>
  <si>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</si>
  <si>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</si>
  <si>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</si>
  <si>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</si>
  <si>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Jefe de Patrimonio y Arte</t>
  </si>
  <si>
    <t>Investigaciones</t>
  </si>
  <si>
    <t>Apoyo a procesos, evaluación y seguimiento</t>
  </si>
  <si>
    <t>Mayor reconocimiento y valoración de la diversidad poblacional presente en el Quindío</t>
  </si>
  <si>
    <t>Apoyo a  proyectos y/o actividades de poblaciones especiales</t>
  </si>
  <si>
    <t xml:space="preserve">Apoyar diez (10) proyectos y/o actividades orientados a fortalecer la articulación comunicación y cultura </t>
  </si>
  <si>
    <t>0310 - 5 - 3 1 3 10 33 5 50 - 20
0310 - 5 - 3 1 3 10 33 5 50 - 88</t>
  </si>
  <si>
    <t>201663000-0050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</si>
  <si>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</si>
  <si>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</si>
  <si>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</si>
  <si>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</si>
  <si>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Directora de Cultura arte y Patrimonio
Jefe de Patrimonio y Arte</t>
  </si>
  <si>
    <t>Implementación de una emisora de interés público del departamento del Quindío</t>
  </si>
  <si>
    <t>Apoyar  dieciséis (16) actividades y/o proyectos  para el afianzamiento del Sistema Departamental de Cultura</t>
  </si>
  <si>
    <t>Participación y  apoyo por parte de la Gobernación del Quindío a medios ciudadanos, comunitarios y de interés público</t>
  </si>
  <si>
    <t>Formación para la gestión cultural</t>
  </si>
  <si>
    <t>Fortalecimiento del Sistema de Información Cultural</t>
  </si>
  <si>
    <t>Apoyo a Consejos de las artes y la cultura</t>
  </si>
  <si>
    <t>TOTALES</t>
  </si>
  <si>
    <t>JAMES GONZALEZ MATA</t>
  </si>
  <si>
    <t xml:space="preserve"> SECRETARIO DE CULTURA</t>
  </si>
  <si>
    <t>PROGRAMACIÓN PLAN DE ACCIÓN
SECRETARIA DEL INTERIOR
I TRIMESTRE 2018</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</si>
  <si>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</si>
  <si>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</si>
  <si>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</si>
  <si>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</si>
  <si>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</si>
  <si>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</si>
  <si>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</si>
  <si>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</si>
  <si>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</si>
  <si>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20
42
92</t>
  </si>
  <si>
    <t>Recurso Ordinario
Fondos de seguridad 5%
Superávit fondo de seguridad</t>
  </si>
  <si>
    <t>Secretario del Interior</t>
  </si>
  <si>
    <t>Fortalecer 10 programas de prevención y superación del Sistema de responsabilidad penal para adolescentes</t>
  </si>
  <si>
    <t>Número de programas de prevención y superación fortalecidos</t>
  </si>
  <si>
    <t>Apoyo para iniciativas,actividades y/o proyectos productivos dirigido a la población de infancia y adolescencia</t>
  </si>
  <si>
    <t>Apoyar la construcción, refacción o adecuación de  seis (6) estaciones de policía y/o guarniciones militares y/o instituciones carcelarias</t>
  </si>
  <si>
    <t>Número de estaciones de policía y/o guarniciones militares y/o instituciones carcelarias apoyadas</t>
  </si>
  <si>
    <t>Procesos de consultoria como requisito para interventorias, diseños, estudios de factibilidad, ambientales entre otros</t>
  </si>
  <si>
    <t>Contrucción de obras para los organismos de seguridad</t>
  </si>
  <si>
    <t>Intervención de obras menores en bienes  de los organismos de seguridad</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</si>
  <si>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</si>
  <si>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</si>
  <si>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</si>
  <si>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Financiación y/o Coofinanciación de proyectos de móvilidad</t>
  </si>
  <si>
    <t>Suministro de combustible</t>
  </si>
  <si>
    <t>Arrendamientos de oficinas para organismos de seguridad</t>
  </si>
  <si>
    <t>0309 - 5 - 3 1 4 23 75 18 28 - 20</t>
  </si>
  <si>
    <t xml:space="preserve">Adecuación de tecnología en salas de organismos de seguridad </t>
  </si>
  <si>
    <t>Suministro de alimentación</t>
  </si>
  <si>
    <t>0309 - 5 - 3 1 4 23 75 18 28 - 42</t>
  </si>
  <si>
    <t>Adquisición de bienes muebles necesarios para el funcionamiento de la diferentes iniciativas o programas de los oraganismos de seguridad del departamento</t>
  </si>
  <si>
    <t>0309 - 5 - 3 1 4 23 75 18 28 - 92</t>
  </si>
  <si>
    <t>Servicios de apoyo para llevar a cabo los procesos de adquisición de bienes y servicios relacionados con  la seguridad del departamento</t>
  </si>
  <si>
    <t>Servicios de apoyo en procesos tecnológicos de seguridad en el departamento</t>
  </si>
  <si>
    <t>Servicios de apoyo en estudios financieros y ecónomicos de los diferentes procesos para los organismos de seguridad</t>
  </si>
  <si>
    <t>Pago a fuentes humanas</t>
  </si>
  <si>
    <t>Adquisición de bienes inmuebles para los organismos de seguridad</t>
  </si>
  <si>
    <t>Adquisición de bienes y suministro, para material de intendencia y logistica</t>
  </si>
  <si>
    <t>Apoyar 3 observatorios locales del delito</t>
  </si>
  <si>
    <t>Número de observatorios del delito apoyados</t>
  </si>
  <si>
    <t>Operatividad y/o funcionamiento del observatorio oficial del departamento</t>
  </si>
  <si>
    <t>Dotación tecnológica y/o logística para os programas, proyectos o estrateg{ias de seguridad en el departamento del Quindío</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</si>
  <si>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</si>
  <si>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</si>
  <si>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</si>
  <si>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</si>
  <si>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</si>
  <si>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</si>
  <si>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</si>
  <si>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</si>
  <si>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Recurso 
ordinario
Fondos de seguridad 5%
 Superavit Fondo de Seguridad</t>
  </si>
  <si>
    <t>Atencion integral de Barrios con situacion critica de convivencia en los 12 Municipios  del Departamento</t>
  </si>
  <si>
    <t>Municipios con atencion integral</t>
  </si>
  <si>
    <t xml:space="preserve">Intervenciones Psicosociales y/o de formación productiva integrales en los cinco municipios focalizados </t>
  </si>
  <si>
    <t>0309 - 5 - 3 1 4 23 76 18 29 - 20</t>
  </si>
  <si>
    <t>Implementación de programas lúdicos,culturales y/o deportivos  para población vulnerable en áreas focalizadas</t>
  </si>
  <si>
    <t>0309 - 5 - 3 1 4 23 76 18 29 - 42</t>
  </si>
  <si>
    <t xml:space="preserve">Generación y/o apoyo a programas de intervención social o de seguridad </t>
  </si>
  <si>
    <t>0309 - 5 - 3 1 4 23 76 18 29 - 92</t>
  </si>
  <si>
    <t>Logística, refrigerios,transporte y/o combustible</t>
  </si>
  <si>
    <t>Actualizar el código departamental de Policía</t>
  </si>
  <si>
    <t>Código departamental de policía actualizado</t>
  </si>
  <si>
    <t>Apoyo y/o seguimiento a los códigos de policia de los municipios y a la corresponsabilidad del departamento</t>
  </si>
  <si>
    <t>Adquisición de bienes y/o servicos como apoyo al cumplimiento de las normas del código Nacional de policia</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</si>
  <si>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</si>
  <si>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</si>
  <si>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</si>
  <si>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</si>
  <si>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</si>
  <si>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</si>
  <si>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</si>
  <si>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0309 - 5 - 3 1 4 24 78 14 30 - 20
0309 - 5 - 3 1 4 24 78 14 30 - 88</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</si>
  <si>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</si>
  <si>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</si>
  <si>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</si>
  <si>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</si>
  <si>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Capacitación en el tema de formulación de proyectos a las mesas de participación efectiva de victimas y Organizaciones de victimas en los 12 municipios del Departamento</t>
  </si>
  <si>
    <t>20
88</t>
  </si>
  <si>
    <t>Recurso ordinario
Superavit Recurso Ordinario</t>
  </si>
  <si>
    <t>2012/2018</t>
  </si>
  <si>
    <t>Socialización de rutas de protección a las organizaciones de victimas de los 12 municipios del Departamento</t>
  </si>
  <si>
    <t>Socialización del decreto de corresponsabilidad a las mesas de participación efectiva de victimas en los 12 municipios</t>
  </si>
  <si>
    <t>Brindar asistencia y capacitacion a las organizaciones con enfoque diferencial y mesas de participación efectiva de victimas en los 12 municipios del Departamento en la ley de victimas y restitución de tierras y sus enfoques reglamentarios</t>
  </si>
  <si>
    <t>Capacitación a las mesas de participación de victimas en los 12 municipios en el tema de protocolo de participación</t>
  </si>
  <si>
    <t>Realizar jornadas de prevencion a vulneraciones de DDHH y DIH a las mesas de participación efectiva de victimas en los 12 municipios del Departamento</t>
  </si>
  <si>
    <t>Apoyo a proyectos productivos población víctima</t>
  </si>
  <si>
    <t>Lógistica y  refrigerios</t>
  </si>
  <si>
    <t>Apoyar  la atención humanitaria inmediata a la población víctima del conflicto en los 12 municipios</t>
  </si>
  <si>
    <t>Número de municipios apoyados en la atención humanitaria inmediata</t>
  </si>
  <si>
    <t>Adecuación predio reubicación definitiva, cumplimiento fallo de tutela Embera Chamí Quimbaya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</si>
  <si>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</si>
  <si>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</si>
  <si>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</si>
  <si>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</si>
  <si>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 xml:space="preserve">Garantías para Sesiones comité ejecutivo y ética mesa de victimas </t>
  </si>
  <si>
    <t>Garantías Sesiones plenario mesa de victimas</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</si>
  <si>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</si>
  <si>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</si>
  <si>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</si>
  <si>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Logística y/o refrigerios</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</si>
  <si>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</si>
  <si>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</si>
  <si>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</si>
  <si>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</si>
  <si>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</si>
  <si>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</si>
  <si>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</si>
  <si>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Apoyo a procesos de caracterización de los municipios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</si>
  <si>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</si>
  <si>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</si>
  <si>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</si>
  <si>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0309 - 5 - 3 1 4 24 79 14 32 - 20
0309 - 5 - 3 1 4 24 79 14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</si>
  <si>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</si>
  <si>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</si>
  <si>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</si>
  <si>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</si>
  <si>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e implementación del plan integral de prevención de vulneración de DDHH</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</si>
  <si>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</si>
  <si>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</si>
  <si>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</si>
  <si>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Foro de Derechos Humanos</t>
  </si>
  <si>
    <t>Realizar jornadas de capacitación para la  prevencion y sensibilizacion de los Derechos Humanos en los 12 municipios del Departamento</t>
  </si>
  <si>
    <t>Papelería</t>
  </si>
  <si>
    <t xml:space="preserve">Actualizar e Implementar el plan lucha contra la trata de personas
</t>
  </si>
  <si>
    <t>Programa de atención integral a victimas de trata de personas actualizado e  implementado</t>
  </si>
  <si>
    <t xml:space="preserve">Jornadas de prevencion  del delito de trata de personas en los doce municipios del Departamento </t>
  </si>
  <si>
    <t>Realizar jornadas de prevencion y sensibilizacion del delito de trata de personas en terminal aerea y terrestre</t>
  </si>
  <si>
    <t>Ayuda Humanitaria para Víctimas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</si>
  <si>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</si>
  <si>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</si>
  <si>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</si>
  <si>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0309 - 5 - 3 1 4 24 80 14 34 - 20
0309 - 5 - 3 1 4 24 80 14 34 - 88</t>
  </si>
  <si>
    <t>201663000-0034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</si>
  <si>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</si>
  <si>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</si>
  <si>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</si>
  <si>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Asistencia Tecnica para la formulación y actualización de planes de DDHH en los municipios del Depto</t>
  </si>
  <si>
    <t>20
88</t>
  </si>
  <si>
    <t>Recurso ordinario
Superavit Recurso Ordinario</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</si>
  <si>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</si>
  <si>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</si>
  <si>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Número de municipios apoyados y articulados</t>
  </si>
  <si>
    <t>Fortalecer Consejo Departamental de Paz</t>
  </si>
  <si>
    <t>Socialización de implementación de los acuerdos en el Departamento</t>
  </si>
  <si>
    <t>Foro DDHH</t>
  </si>
  <si>
    <t>Semana por La Paz</t>
  </si>
  <si>
    <t>Apoyo para la Politica de Reintegrados</t>
  </si>
  <si>
    <t>Acciones en pro de la construcción de paz</t>
  </si>
  <si>
    <t>EL QUINDIO DEPARTAMENTO RESILIENTE</t>
  </si>
  <si>
    <t>QUINDIO PROTEGIENDO EL FUTURO</t>
  </si>
  <si>
    <t xml:space="preserve">Realizar catorce (14) estudios de riesgo y análisis de vulnerabilidad en  los municipios del departamento </t>
  </si>
  <si>
    <t>Número de estudios de riesgo analizados</t>
  </si>
  <si>
    <t>0309 - 5 - 3 1 4 25 81 12 36 - 20
0309 - 5 - 3 1 4 25 81 12 36 - 88</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</si>
  <si>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</si>
  <si>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</si>
  <si>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</si>
  <si>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</si>
  <si>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</si>
  <si>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Identificaciòn de Areas vulnerables del Departamento del Quindío</t>
  </si>
  <si>
    <t>Suninistro de combustible</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</si>
  <si>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</si>
  <si>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</si>
  <si>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</si>
  <si>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formulación de los planes escolares de gestion del riesgo</t>
  </si>
  <si>
    <t>Logistica para operación</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</si>
  <si>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</si>
  <si>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</si>
  <si>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</si>
  <si>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</si>
  <si>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Adquisición tecnologia (camara termica, Dron)</t>
  </si>
  <si>
    <t>Material didáctico</t>
  </si>
  <si>
    <t>Organización de foros, talleres, eventos, y/o actividades</t>
  </si>
  <si>
    <t xml:space="preserve">Realizar 10 intervenciones en  áreas vulnerables del departamento </t>
  </si>
  <si>
    <t>Número de intervenciones en áreas vulnerables realizadas</t>
  </si>
  <si>
    <t>Leventamiento de información  geologíca en áreas vulnerables</t>
  </si>
  <si>
    <t>Intervenciones, obras de ingeniería y/o análisis vulnerabilidad</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</si>
  <si>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</si>
  <si>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</si>
  <si>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</si>
  <si>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</si>
  <si>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</si>
  <si>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</si>
  <si>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</si>
  <si>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Fortalecimiento  a las intituciones del comité de manejo</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</si>
  <si>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</si>
  <si>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</si>
  <si>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</si>
  <si>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
0309 - 5 - 3 1 4 25 82 12 38 - 88</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</si>
  <si>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</si>
  <si>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</si>
  <si>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</si>
  <si>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</si>
  <si>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Adquisición y/o mantenimiento  de equipos de  comunicación y/o tecnología   </t>
  </si>
  <si>
    <t>20
88</t>
  </si>
  <si>
    <t>Recurso ordinario
Superavit Recurso Ordinario</t>
  </si>
  <si>
    <t>Articulación y coordinación para el manejo de  desastres en la sala de crisis del departamento</t>
  </si>
  <si>
    <t>Fortalecer  la dotación de la bodega estratégica de la Unidad Departamental de la Gestión del Riesgo de Desastres UDEGER</t>
  </si>
  <si>
    <t>Unidad Departamental de la Gestión del Riesgo de Desastre UDEGER dotada</t>
  </si>
  <si>
    <t>Suministro de ayudas  Humanitarias</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</si>
  <si>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</si>
  <si>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</si>
  <si>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</si>
  <si>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</si>
  <si>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</si>
  <si>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</si>
  <si>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</si>
  <si>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</si>
  <si>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</si>
  <si>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</si>
  <si>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20
88</t>
  </si>
  <si>
    <t>Recurso ordinario
Superavit Recurso Ordinario</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</si>
  <si>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</si>
  <si>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</si>
  <si>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</si>
  <si>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</si>
  <si>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</si>
  <si>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</si>
  <si>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Aquisiciòn de equipos tecnòlogicos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</si>
  <si>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</si>
  <si>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</si>
  <si>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</si>
  <si>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</si>
  <si>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Servicios de Apoyo para eventos de formación,capacitación y/o formulación de politicas publicas</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</si>
  <si>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</si>
  <si>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</si>
  <si>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</si>
  <si>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</si>
  <si>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logistico, transporte,suminsitro de combustible y/o alimentación para la celebración de los comicios electorales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</si>
  <si>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</si>
  <si>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</si>
  <si>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</si>
  <si>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</si>
  <si>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</si>
  <si>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</si>
  <si>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</si>
  <si>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</si>
  <si>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
0309 - 5 - 3 1 5 27 86 16 40 - 88</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</si>
  <si>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</si>
  <si>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</si>
  <si>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</si>
  <si>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</si>
  <si>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</si>
  <si>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20
88</t>
  </si>
  <si>
    <t>Recurso Ordinario
Superavit Ordinario</t>
  </si>
  <si>
    <t>Celebración dia comunal</t>
  </si>
  <si>
    <t>Cofinaciación de los juegos comunales y/o congreso nacional comunal</t>
  </si>
  <si>
    <t>Apoyo a eventos de capacitación comunal</t>
  </si>
  <si>
    <t>Adquisición de bienes y equipos tecnológicos</t>
  </si>
  <si>
    <t>Apoyo para fortalecimiento de programas de los organismos comunales</t>
  </si>
  <si>
    <t>QUINDIO TRANSPARENTE Y LEGAL</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</si>
  <si>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</si>
  <si>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</si>
  <si>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</si>
  <si>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</si>
  <si>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</si>
  <si>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</si>
  <si>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</si>
  <si>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</si>
  <si>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</si>
  <si>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</si>
  <si>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</si>
  <si>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</si>
  <si>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</si>
  <si>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HÉCTOR ALBERTO MARÍN RÍOS</t>
  </si>
  <si>
    <t>p</t>
  </si>
  <si>
    <t xml:space="preserve">SEGURIDAD HUMANA </t>
  </si>
  <si>
    <t>Seguridad humana como dinamizador de la vida, dignidad y libertad en el Qundío</t>
  </si>
  <si>
    <t>Fortalecimiento dela seguridad vial en el Departamentol del Quindío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</si>
  <si>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</si>
  <si>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</si>
  <si>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</si>
  <si>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</si>
  <si>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</si>
  <si>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Realizar inventario, diagnostico situacional y diseño del programa de señalización vial</t>
  </si>
  <si>
    <t xml:space="preserve">Otros Recursos  (iva telefonia móvil  - registro...)  </t>
  </si>
  <si>
    <t>DIRECTOR</t>
  </si>
  <si>
    <t>Implementar el programa orientado a disminución de la accidentalidad en las vias</t>
  </si>
  <si>
    <t xml:space="preserve">Formular e implementar el Plan de Seguridad Vial del Departamento </t>
  </si>
  <si>
    <t>Plan departamental de seguridad vial elaborado e implementado</t>
  </si>
  <si>
    <t>Formulación del Plan de Seguridad Vial</t>
  </si>
  <si>
    <t xml:space="preserve">Apoyar la implementación del programa: Ciclorutas en el departamento del Quindío </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</si>
  <si>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</si>
  <si>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</si>
  <si>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</si>
  <si>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Gloria Mercedes Buitrago Salazar</t>
  </si>
  <si>
    <t>Directora</t>
  </si>
  <si>
    <t>PROSPERIDAD CON EQUIDAD</t>
  </si>
  <si>
    <t>Quindío rural, inteligente, competitivo y empresarial</t>
  </si>
  <si>
    <t>Quindío Prospero y productivo</t>
  </si>
  <si>
    <t xml:space="preserve">Crear (1) y fortalecer (3) rutas competitivas </t>
  </si>
  <si>
    <t>Ruta competitiva creada y rutas fortalecidas</t>
  </si>
  <si>
    <t>0311 - 5 - 3 1 2 2 8 13 51 - 20</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</si>
  <si>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</si>
  <si>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</si>
  <si>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</si>
  <si>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</si>
  <si>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Implementación de la ruta competitiva de Salud y Bienestar.</t>
  </si>
  <si>
    <t>20
88</t>
  </si>
  <si>
    <t>Ordinarios
Superavít Ordinario</t>
  </si>
  <si>
    <t>Secretario de Turismo Industria y Comercio</t>
  </si>
  <si>
    <t>Fortalecimiento de las rutas Kaldia, Tumbaga y Artemis.</t>
  </si>
  <si>
    <t>Conformar e implementar (3) tres clúster priorizados en el Plan de Competitividad</t>
  </si>
  <si>
    <t>Clúster conformados e implementados</t>
  </si>
  <si>
    <t>0311 - 5 - 3 1 2 2 8 13 51 - 88</t>
  </si>
  <si>
    <t>Implementación y seguimiento del Plan de Acción del Cluster de Usarte Tics.</t>
  </si>
  <si>
    <t>Implementación y seguimiento del Plan de Acción del Cluster de Salud y Bienestar.</t>
  </si>
  <si>
    <t>Implementación y seguimiento del Plan de Acción del Cluster de Construcción.</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</si>
  <si>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</si>
  <si>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</si>
  <si>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</si>
  <si>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</si>
  <si>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</si>
  <si>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</si>
  <si>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Realizar el diseño y formulación del centro para el desarrollo y el  fortalecimiento de la investigación, tecnología,  Ciencia e Innovación.</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</si>
  <si>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</si>
  <si>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</si>
  <si>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</si>
  <si>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</si>
  <si>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Formalización de alianza con el Ministerio de Agricultura en su programa  Agronet y seguimiento al Plan de Acción de su implementación. </t>
  </si>
  <si>
    <t>0311 - 5 - 3 1 2 2 8 13 52 - 88</t>
  </si>
  <si>
    <t xml:space="preserve">Diseñar y fortalecer un proyecto de I+D+I </t>
  </si>
  <si>
    <t>Proyecto de I+D+I diseñado y fortalecido</t>
  </si>
  <si>
    <t>Formalización de una  alianza o convenio con una entidad idónea para la implementación del proyecto de I+D+I y seguimiento a su Plan de Acción.</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</si>
  <si>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</si>
  <si>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</si>
  <si>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</si>
  <si>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</si>
  <si>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</si>
  <si>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</si>
  <si>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</si>
  <si>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</si>
  <si>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Ordinario
Superavít Ordinario</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</si>
  <si>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</si>
  <si>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</si>
  <si>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</si>
  <si>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</si>
  <si>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</si>
  <si>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</si>
  <si>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Apoyar   doce (12) Unidades de emprendimiento de grupos poblacionales con enfoque diferencial.</t>
  </si>
  <si>
    <t>0311 - 5 - 3 1 2 2 9 13 53 - 88</t>
  </si>
  <si>
    <t>Apoyar tres unidades de emprendimiento de población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</si>
  <si>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</si>
  <si>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</si>
  <si>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</si>
  <si>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</si>
  <si>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</si>
  <si>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</si>
  <si>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</si>
  <si>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</si>
  <si>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</si>
  <si>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</si>
  <si>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a treinta y seis empresas en procesos interno y externos  para la apertura a mercados regionales, nacionales e internacionales.</t>
  </si>
  <si>
    <t>Ordinarios
Superavít Ordinario</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</si>
  <si>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</si>
  <si>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</si>
  <si>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</si>
  <si>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</si>
  <si>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</si>
  <si>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0311 - 5 - 3 1 2 2 10 13 56 - 88</t>
  </si>
  <si>
    <t>Diseñar la  plataforma de servicios logísticos nacionales e internacionales tendiente a lograr del departamento un centro de articulación de occidente</t>
  </si>
  <si>
    <t>Plataforma de servicios logísticos diseñada</t>
  </si>
  <si>
    <t>Operación, Seguimiento y evaluación de la plataforma de servicios logísticos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</si>
  <si>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</si>
  <si>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</si>
  <si>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</si>
  <si>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</si>
  <si>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</si>
  <si>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</si>
  <si>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</si>
  <si>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</si>
  <si>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</si>
  <si>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</si>
  <si>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Ordinarios</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</si>
  <si>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</si>
  <si>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</si>
  <si>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</si>
  <si>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</si>
  <si>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</si>
  <si>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</si>
  <si>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</si>
  <si>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</si>
  <si>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</si>
  <si>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</si>
  <si>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</si>
  <si>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Apoyo al mejoramiento de la infraestructura turística.</t>
  </si>
  <si>
    <t>0311 - 5 - 3 1 2 3 12 13 60 - 20</t>
  </si>
  <si>
    <t>Ejecución del Plan Decenal de Turismo.</t>
  </si>
  <si>
    <t>0311 - 5 - 3 1 2 3 12 13 60 - 88</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</si>
  <si>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</si>
  <si>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</si>
  <si>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</si>
  <si>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</si>
  <si>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</si>
  <si>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</si>
  <si>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 xml:space="preserve">0311 - 5 - 3 1 2 3 13 13 62 - 20
0311 - 5 - 3 1 2 3 13 13 62 - 52
0311 - 5 - 3 1 2 3 13 13 62 - 88
0311 - 5 - 3 1 2 3 13 13 62 - 94
</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</si>
  <si>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</si>
  <si>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</si>
  <si>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</si>
  <si>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</si>
  <si>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</si>
  <si>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20
52
88
94</t>
  </si>
  <si>
    <t xml:space="preserve">Recurso Ordinario
Impuesto al Registro
Superávit Recurso Ordinario
Superávit al Impuesto Registro 4%
</t>
  </si>
  <si>
    <t>Ejecución del Plan de Mercadeo para la  Promoción del departamento como destino turística nivel internacional.</t>
  </si>
  <si>
    <t xml:space="preserve">JUAN DAVID PACHON MORALES </t>
  </si>
  <si>
    <t>SECRETARIO DE DESPACHO</t>
  </si>
  <si>
    <t>PROGRAMACIÓN PLAN DE ACCIÓN
SECRETARIA DE TURISMO INDUSTRIA Y COMERCIO
I TRIMESTRE 2018</t>
  </si>
  <si>
    <t>Apoyo al deporte asociado</t>
  </si>
  <si>
    <t xml:space="preserve"> Ligas deportivas del departamento del Quindío</t>
  </si>
  <si>
    <t xml:space="preserve">Apoyar  y fortalecer veintitrés (23) ligas deportivas   </t>
  </si>
  <si>
    <t>Ligas deportivas apoyadas y fortalecidas</t>
  </si>
  <si>
    <t>2234468202_4</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</si>
  <si>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</si>
  <si>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</si>
  <si>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</si>
  <si>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</si>
  <si>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</si>
  <si>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Ley 1816 (Monopolio)</t>
  </si>
  <si>
    <t>Olga Lucia Fernandez Cardenas
Gerente General</t>
  </si>
  <si>
    <t>2234468202-12</t>
  </si>
  <si>
    <t>Cigarrillo 70%</t>
  </si>
  <si>
    <t>2334468202_6</t>
  </si>
  <si>
    <t>Realizar acompañamiento y asesorìa a las ligas y clubes del departamento  (Componente tecnico)</t>
  </si>
  <si>
    <t>Recursos de Capital RF</t>
  </si>
  <si>
    <t>2234468202-9</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</si>
  <si>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</si>
  <si>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</si>
  <si>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</si>
  <si>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</si>
  <si>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</si>
  <si>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</si>
  <si>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Apoyar 13 ligas de los eventos deportivos de carácter federado nacional y departamental</t>
  </si>
  <si>
    <t>Ligas apoyadas en eventos departamental y nacionales .</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</si>
  <si>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</si>
  <si>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</si>
  <si>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</si>
  <si>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</si>
  <si>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</si>
  <si>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</si>
  <si>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2234470205-4</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</si>
  <si>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</si>
  <si>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</si>
  <si>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</si>
  <si>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</si>
  <si>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</si>
  <si>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2234470205-7</t>
  </si>
  <si>
    <t>2334470205_6</t>
  </si>
  <si>
    <t>2234470205-12</t>
  </si>
  <si>
    <t>Coldeportes</t>
  </si>
  <si>
    <t>Deporte formativo, deporte social comunitario y juegos  tradicionales.</t>
  </si>
  <si>
    <t>}</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</si>
  <si>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</si>
  <si>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</si>
  <si>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</si>
  <si>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</si>
  <si>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</si>
  <si>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</si>
  <si>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</si>
  <si>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</si>
  <si>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Ley 1816  (Monopolio)</t>
  </si>
  <si>
    <t>2334471206_6</t>
  </si>
  <si>
    <t>Desarrollar  1 eventos de deporte social y comunitario.</t>
  </si>
  <si>
    <t>Eventos deportivos social y comunitarios desarrollar</t>
  </si>
  <si>
    <t>2234471207_12</t>
  </si>
  <si>
    <t>Realizacion de eventos deportivos en el departamento (Adquisición de Bienes y Servicios)</t>
  </si>
  <si>
    <t>2334471207_11</t>
  </si>
  <si>
    <t>Aportes Departamewntales RB</t>
  </si>
  <si>
    <t>2334471207_6</t>
  </si>
  <si>
    <t>Cifgarrillo 70%</t>
  </si>
  <si>
    <t>Apoyar  técnicamente un 1  evento de  Juegos Comunales en la fase Departamental</t>
  </si>
  <si>
    <t>Juegos comunales apoyados.</t>
  </si>
  <si>
    <t>2234471208_4</t>
  </si>
  <si>
    <t>Realizacion de los juegos comunales en el departamento (Adquisición de Bienes y Servicios)</t>
  </si>
  <si>
    <t>2334471208_6</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</si>
  <si>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</si>
  <si>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</si>
  <si>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</si>
  <si>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</si>
  <si>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</si>
  <si>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</si>
  <si>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</si>
  <si>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</si>
  <si>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</si>
  <si>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</si>
  <si>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</si>
  <si>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 xml:space="preserve">Ley 1816 (3% Monoolio Licores) </t>
  </si>
  <si>
    <t>2334572209_4</t>
  </si>
  <si>
    <t>2234572209_7</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</si>
  <si>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</si>
  <si>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</si>
  <si>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</si>
  <si>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</si>
  <si>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2334572210_4</t>
  </si>
  <si>
    <t>Recurso Ordinario RB</t>
  </si>
  <si>
    <t>2234572210_3</t>
  </si>
  <si>
    <t>2234572210_7</t>
  </si>
  <si>
    <t>Nación Coldeportes</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</si>
  <si>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</si>
  <si>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</si>
  <si>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</si>
  <si>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</si>
  <si>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2334572211_3</t>
  </si>
  <si>
    <t>Ley 1816 (3% Monoolio Licores)  RB</t>
  </si>
  <si>
    <t>2234572211_7</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</si>
  <si>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</si>
  <si>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</si>
  <si>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</si>
  <si>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</si>
  <si>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</si>
  <si>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</si>
  <si>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</si>
  <si>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</si>
  <si>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</si>
  <si>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2334573212_4</t>
  </si>
  <si>
    <t>2234573212_7</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</si>
  <si>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</si>
  <si>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</si>
  <si>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</si>
  <si>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</si>
  <si>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</si>
  <si>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</si>
  <si>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</si>
  <si>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</si>
  <si>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</si>
  <si>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IVA Telefonía Móvil</t>
  </si>
  <si>
    <t xml:space="preserve">______________________________
OLGA LUCIA FERNANDEZ CARDENAS
GERENTE GENERAL INDEPORTES
</t>
  </si>
  <si>
    <t>PROGRAMACIÓN PLAN DE ACCIÓN
SECRETARIA DE SALUD
I TRIMESTRE 2018</t>
  </si>
  <si>
    <t xml:space="preserve">MUJER </t>
  </si>
  <si>
    <t>EDAD ESCOLAR
(0-14)</t>
  </si>
  <si>
    <t>ADOLESENCIA (14-19)</t>
  </si>
  <si>
    <t>EDAD ECONOMICAMENTE ACTIVA (20-59)</t>
  </si>
  <si>
    <t>ADULTOS  MAYORES      (60  Y MAS)</t>
  </si>
  <si>
    <t xml:space="preserve">INDIGENA </t>
  </si>
  <si>
    <t>AFROCOLOMBIANO</t>
  </si>
  <si>
    <t>RAIZAL</t>
  </si>
  <si>
    <t>ROM</t>
  </si>
  <si>
    <t>MESTIZA</t>
  </si>
  <si>
    <t>PALENQUERA</t>
  </si>
  <si>
    <t>DESPLAZADOS</t>
  </si>
  <si>
    <t>DISCAPACITADOS</t>
  </si>
  <si>
    <t>VICTIMAS</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</si>
  <si>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</si>
  <si>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</si>
  <si>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</si>
  <si>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</si>
  <si>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</si>
  <si>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1803 - 5 - 3 1 3 11 35 2 132 - 61
1803 - 5 - 3 1 3 11 35 2 132 - 96
1803 - 5 - 3 1 3 11 35 2 132 - 98</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</si>
  <si>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</si>
  <si>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</si>
  <si>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</si>
  <si>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</si>
  <si>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t>
  </si>
  <si>
    <t>N/A</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</si>
  <si>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</si>
  <si>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</si>
  <si>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Actualizar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</si>
  <si>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</si>
  <si>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</si>
  <si>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</si>
  <si>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</si>
  <si>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</si>
  <si>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</si>
  <si>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Seguimiento al estado de la estrategia IAMI en 11 IPS públicas del departamento. </t>
  </si>
  <si>
    <t>Brindar asistencia técnica para la implementación de la estrategia IAMI.</t>
  </si>
  <si>
    <t>Realizar levantamiento del indicador de lactancia materna exclusiva año 2018.</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</si>
  <si>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</si>
  <si>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</si>
  <si>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 xml:space="preserve">Fortalecer la  atencion nutricional en poblaciones indigenas del departamento 
.
</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</si>
  <si>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</si>
  <si>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</si>
  <si>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diagnóstico de la situación nutricional de 6 comunidades (etnias del departamento).</t>
  </si>
  <si>
    <t>Realizar seguimiento a la implementación de la ruta de atención integral a la desnutrición en menores de 5 años en poblaciones vulnerables etnias del departamento.</t>
  </si>
  <si>
    <t>Realizar asistencia técnica en lineamientos vigentes para la atención nutricional (Res 5406/2015;2465/2016).</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</si>
  <si>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</si>
  <si>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</si>
  <si>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</si>
  <si>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</si>
  <si>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
1803 - 5 - 3 1 3 12 36 2 133 - 96</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</si>
  <si>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</si>
  <si>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</si>
  <si>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</si>
  <si>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 xml:space="preserve">Generar  espacios  intersectoriales  para  la  gestión integral  de la salud ambiental, a traves de consejo territorial de salud ambiental COTSA y sus mesas tecnicas </t>
  </si>
  <si>
    <t>Generar espacios intersectoriales para desarrollar con cada municipio el plan de adaptacion al cambio climatico</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</si>
  <si>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</si>
  <si>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</si>
  <si>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</si>
  <si>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Mantener  en 11 municipios de competencia departamental la vigilancia de la calidad del agua, mediante la vigilancia de la aplicación de buenas practicas sanitarias y  la toma analisis y reporte de muestras de agua.</t>
  </si>
  <si>
    <t>Realizar levantamiento de los riesgos (actividades que generan riesgo) en las fuentes abastecedoras (Anexo  técnico No. 1  Resolución 4716 de 2010) en tres municipios</t>
  </si>
  <si>
    <t>Sexualidad, derechos sexuales y reproductivos</t>
  </si>
  <si>
    <t>Lograr que ocho (8) municipios del departamento operen el sistema de vigilancia en salud pública de la violencia intrafamiliar.</t>
  </si>
  <si>
    <t>1803 - 5 - 3 1 3 12 37 2 134 - 61
1803 - 5 - 3 1 3 12 37 2 134 - 96</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</si>
  <si>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</si>
  <si>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</si>
  <si>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</si>
  <si>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Realizar capacitación departamental dirigida al personal del sector salud, protección y justicia en la estrategia de abordaje integral de las violencias de género y violencias sexuales y normatividad vigente. </t>
  </si>
  <si>
    <t>Analizar trimestralmente el comportamiento del evento de violencias sexuales en población vulnerable e identificar hallazgos frente a la calidad de la atención de acuerdo a los seguimientos individuales de casos.</t>
  </si>
  <si>
    <t>Realizar asistencia técnica y evaluación a la gestión del riesgo en salud de las EAPB y ESE en el abordaje integral de las violencias de género y violencias sexuales.</t>
  </si>
  <si>
    <t>Desarrollar acciones articuladas intersectorialmente en los doce (12) municipios del departamento, con enfoque de derechos en colectivos LGTBI, jóvenes, mujeres gestantes adolescentes</t>
  </si>
  <si>
    <t xml:space="preserve">Realizar asistencia técnica y evaluación a las ESE de primer nivel en la Estrategia Nacional de Servicios de Salud Amigables para Adolescentes y Jóvenes, rutas de atención diferenciada, redes sociales, comunitarias y veedurías juveniles. </t>
  </si>
  <si>
    <t>Capacitar al personal de las 12 Secretarias de salud municipales en la Estrategia Nacional de Servicios de Salud Amigables para Adolescentes y Jóvenes, rutas de atención diferenciada, redes sociales, comunitarias y veedurías juveniles.</t>
  </si>
  <si>
    <t>Realizar capacitación departamental dirigida al personal del sector salud en la estrategia de acceso universal a la prevención y atención integral en IT-VIH/SIDA.</t>
  </si>
  <si>
    <t>Analizar trimestralmente el comportamiento del evento de VIH, TRASMISIÓN MATERNO INFANTIL DE VIH y HEPATITIS VIRALES e identificar hallazgos frente a la calidad de la atención de acuerdo a los seguimientos individuales.</t>
  </si>
  <si>
    <t>Realizar asistencia técnica y evaluación a la gestión del riesgo en salud de las EAPB, ESE y Programas regulares en la estrategia de acceso universal a la prevención y atención integral en IT-VIH/SIDA.</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</si>
  <si>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</si>
  <si>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</si>
  <si>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</si>
  <si>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</si>
  <si>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</si>
  <si>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</si>
  <si>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</si>
  <si>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</si>
  <si>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</si>
  <si>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</si>
  <si>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</si>
  <si>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</si>
  <si>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</si>
  <si>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</si>
  <si>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</si>
  <si>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y realizar seguimiento al plan de acción del comité departamental de sexualidad, derechos sexuales y reproductivos. (Resolución 533 del 02 junio del 2015)</t>
  </si>
  <si>
    <t>Desarrollar y realizar seguimiento al  Plan de acción del subcomité departamental de promoción y prevención de las ITS-VIH/SIDA (Resolución 533 del 02 junio del 2015)</t>
  </si>
  <si>
    <t>Construir el Plan de acción y realizar seguimiento a las acciones intersectoriales establecidas para la prevención de la violencia de género, con énfasis en las violencias sexuales y la atención integral de las violencias.</t>
  </si>
  <si>
    <t>Analizar mensualmente el comportamiento de los eventos de VIH y HEPATITIS B, C y DELTA y retroalimentar al área de inspección, vigilancia y control los hallazgos frente a las demora en la calidad de la atención de acuerdo a los análisis individuales de los casos.</t>
  </si>
  <si>
    <t>Desarrollar acciones de promoción y prevención en salud sexual y reproductiva en espacios trasnsectoriales y comunitarios de los 11 municipios del Departamento a través del PIC</t>
  </si>
  <si>
    <t>Realizar asistencia técnica y evaluación a las 12 Secretarias de salud municipales en la Dimensión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</si>
  <si>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</si>
  <si>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</si>
  <si>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1803 - 5 - 3 1 3 12 38 2 135 - 98</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</si>
  <si>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</si>
  <si>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</si>
  <si>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</si>
  <si>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</si>
  <si>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</si>
  <si>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</si>
  <si>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</si>
  <si>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</si>
  <si>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</si>
  <si>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</si>
  <si>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</si>
  <si>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</si>
  <si>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</si>
  <si>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</si>
  <si>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</si>
  <si>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</si>
  <si>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</si>
  <si>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</si>
  <si>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</si>
  <si>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</si>
  <si>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</si>
  <si>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</si>
  <si>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</si>
  <si>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</si>
  <si>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</si>
  <si>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</si>
  <si>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</si>
  <si>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</si>
  <si>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
1803 - 5 - 3 1 3 12 39 2 138 - 96</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</si>
  <si>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</si>
  <si>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</si>
  <si>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</si>
  <si>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y gestión del riesgo en Enfermedades Crónicas No Transmisibles (cardiovasculares, diabetes y epoc) con los diferentes grupos poblacionales y los diferentes contextos (PIC)</t>
  </si>
  <si>
    <t>Realizar capacitación en Lineamientos técnicos para la promoción de modos, condiciones y estilos de vida saludable, relacionadas con las enfermedades no transmisibles en el entorno escolar.</t>
  </si>
  <si>
    <t>Brindar asistencia técnica y evaluar en 20 instituciones educativas la implementación de  la estrategia Tiendas escolares Saludables de 11 municipios de competencia departamental.</t>
  </si>
  <si>
    <t>Realizar asistencia técnica a los Planes Locales de Salud en la gestión intersectorial para la promoción de estilos de vida saludables (alimentación saludable, actividad física, alcohol y cigarrillo) en los diferentes entornos educativo, laboral y comunitario.</t>
  </si>
  <si>
    <t>Desarrollar el plan intersectorial para la disminución de lesionados por pólvora y garantizar su implementación en los 12 municipios del departamento.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</si>
  <si>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</si>
  <si>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</si>
  <si>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</si>
  <si>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</si>
  <si>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</si>
  <si>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</si>
  <si>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 xml:space="preserve">Realizar el diagnostico situacional de las enfermedades huérfanas y socialización  y generación de planes de intervención con los aseguradores del  departamento del Quindío.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</si>
  <si>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</si>
  <si>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</si>
  <si>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</si>
  <si>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Coordinar la realización de unidades de análisis de las muertes de interés en salud pública de la dimensión de referencia,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</si>
  <si>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que incluye seguimiento a los indicadores de la 4505 y de vigilancia en salud pública,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</si>
  <si>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</si>
  <si>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</si>
  <si>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
1803 - 5 - 3 1 3 12 40 2 139 - 96</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</si>
  <si>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</si>
  <si>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</si>
  <si>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</si>
  <si>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</si>
  <si>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N/a</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</si>
  <si>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</si>
  <si>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</si>
  <si>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</si>
  <si>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</si>
  <si>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</si>
  <si>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</si>
  <si>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</si>
  <si>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</si>
  <si>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</si>
  <si>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</si>
  <si>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</si>
  <si>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</si>
  <si>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</si>
  <si>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</si>
  <si>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</si>
  <si>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</si>
  <si>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Res. 781/15 Prev. y control enfermedades por Vect</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</si>
  <si>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</si>
  <si>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</si>
  <si>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Res. 1288/2016 Promoción, prevención y control ETV</t>
  </si>
  <si>
    <t>1803 - 5 - 3 1 3 12 40 2 141 - 111
1803 - 5 - 3 1 3 12 40 2 141 - 147
1803 - 5 - 3 1 3 12 40 2 141 - 61
1803 - 5 - 3 1 3 12 40 2 141 - 102
1803 - 5 - 3 1 3 12 40 2 141 - 98</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</si>
  <si>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</si>
  <si>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</si>
  <si>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</si>
  <si>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</si>
  <si>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</si>
  <si>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</si>
  <si>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</si>
  <si>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</si>
  <si>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</si>
  <si>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</si>
  <si>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</si>
  <si>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en el programa de tuberculosis y lepra a las direcciones locales de los 12 municipios del departamento.</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</si>
  <si>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</si>
  <si>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</si>
  <si>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t>
  </si>
  <si>
    <t>1803 - 5 - 3 1 3 12 40 2 142 - 114</t>
  </si>
  <si>
    <t>Acompañar la vigilancia de cumplimiento a guías y protocolos de vigilancia en tuberculosis y lepra</t>
  </si>
  <si>
    <t>1803 - 5 - 3 1 3 12 40 2 142 - 61</t>
  </si>
  <si>
    <t>Coordinar acciones para la gestión intersectorial</t>
  </si>
  <si>
    <t>Realizar mesas técnicas para la gestión del compromiso político, en la protección social y sistemas de apoyo de pacientes con tuberculosis y lepra.</t>
  </si>
  <si>
    <t>Res.1030/2016 Campaña control lepra QuindÍo</t>
  </si>
  <si>
    <t>1803 - 5 - 3 1 3 12 40 2 142 - 96</t>
  </si>
  <si>
    <t>Ejecutar los nuevos planes estratégicos de tuberculosis y lepra.</t>
  </si>
  <si>
    <t>Res.1030/2016 campaña control lepra Quindío</t>
  </si>
  <si>
    <t>Garantizar los insumos, medios y reactivos para el análisis de las muestras de tuberculosis y lepra en las IPS públicas del departamento.</t>
  </si>
  <si>
    <t>Realizar campañas de prevención y atención integral en afectados por tuberculosis</t>
  </si>
  <si>
    <t>Gestión de la prestación de los servicios en prevención y atención integral centrada en los afectados por tuberculosis y lepra.</t>
  </si>
  <si>
    <t>Realizar actividades de promoción y prevención implementadas para la comunidad y grupos focalizados en tuberculosis y lepra en los 12 municipios del departamento.</t>
  </si>
  <si>
    <t>Salud publica en emergencias y desastres</t>
  </si>
  <si>
    <t>Realizar catorce (14) simulacros de atención a emergencias en la Red Pública Hospitalaria</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</si>
  <si>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</si>
  <si>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</si>
  <si>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</si>
  <si>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</si>
  <si>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</si>
  <si>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</si>
  <si>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</si>
  <si>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</si>
  <si>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</si>
  <si>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</si>
  <si>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</si>
  <si>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</si>
  <si>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</si>
  <si>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</si>
  <si>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</si>
  <si>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
1803 - 5 - 3 1 3 12 42 2 145 - 96</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</si>
  <si>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</si>
  <si>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</si>
  <si>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</si>
  <si>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</si>
  <si>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</si>
  <si>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</si>
  <si>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</si>
  <si>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</si>
  <si>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</si>
  <si>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</si>
  <si>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</si>
  <si>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</si>
  <si>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</si>
  <si>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</si>
  <si>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</si>
  <si>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</si>
  <si>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</si>
  <si>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</si>
  <si>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</si>
  <si>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</si>
  <si>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</si>
  <si>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</si>
  <si>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y enfermedad diarreica aguda (EDAS), generada por el Sistema de Vigilancia y fuentes externas.   </t>
  </si>
  <si>
    <t>Asistencia técnica  a los actores de la vigilancia en  salud publica  en el departamento, en el evento de intoxicaciones por sustancias Químicas y enfermedades diarreicas agudas (EDAS) de conformidad con los lineamientos y protocolos del INS.</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</si>
  <si>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</si>
  <si>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</si>
  <si>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</si>
  <si>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Realizar inspección vigilancia y control con enfoque de riesgo a los establecimientos que usan y manejan sustancias químicas potencialmente toxicas en los 12 Municipios del Departamento.</t>
  </si>
  <si>
    <t>1803 - 5 - 3 1 3 12 43 2 146 - 98</t>
  </si>
  <si>
    <t>Realizar inspección, vigilancia y control a los planes de gestión  integral de residuos generados en atención en salud y otras actividades en los municipios del departamento.</t>
  </si>
  <si>
    <t>1803 - 5 - 3 1 3 12 43 2 146 - 63</t>
  </si>
  <si>
    <t>Realizar inspección, vigilancia y control, de las condiciones de seguridad higiénico, sanitaria y ambiental, a sujetos de interés en saneamiento básico, en los municipios de competencia departamental.</t>
  </si>
  <si>
    <t>Fondo de Estupefacientes</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</si>
  <si>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</si>
  <si>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</si>
  <si>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</si>
  <si>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1803 - 5 - 3 1 3 12 43 2 146 - 96</t>
  </si>
  <si>
    <t xml:space="preserve">Suministrar medicamentos de control especial- monopolio del estado a los establecimientos farmacéuticos autorizados. </t>
  </si>
  <si>
    <t>Suministrar medicamentos de programas especiales a las IPS’s que lo requieran.</t>
  </si>
  <si>
    <t>1803 - 5 - 3 1 3 12 43 2 146 - 99</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</si>
  <si>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</si>
  <si>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</si>
  <si>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</si>
  <si>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</si>
  <si>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</si>
  <si>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</si>
  <si>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</si>
  <si>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</si>
  <si>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</si>
  <si>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a la comunidad afro en el departamento del Quindío.</t>
  </si>
  <si>
    <t>Realizar una mesa de concertación  con la población afro  para la proyección de acciones PIC departamental, con enfoque diferencial.</t>
  </si>
  <si>
    <t>Difundir a través de medios de comunicación municipales el respeto y reconocimiento de los deberes y derechos de la población vulnerable con enfoque diferencial (genero - LGTBI - afro - habitante de calle - adulto mayor -niños niñas adolescentes - indígenas - discapacidad).</t>
  </si>
  <si>
    <t>Realizar visitas de supervisión a IPS para evaluar la calidad en la atención en salud de la población vulnerable con enfoque diferencial (genero - LGTBI - afro - habitante de calle - adulto mayor -niños niñas adolescentes - indígenas).</t>
  </si>
  <si>
    <t>Realizar la verificación de la afiliación en salud y la atención en salud con  enfoque diferencial          (genero - LGTBI - afro - habitante de calle - adulto mayor -niños niñas adolescentes - indígenas - discapacidad)  en los municipios del departamento.</t>
  </si>
  <si>
    <t>Realizar Seguimiento y asistencia técnica al cumplimiento de planes de mejoramiento suscritos con las instituciones que se encuentran funcionando antes de  la expedición de la ley 1315/2009.</t>
  </si>
  <si>
    <t>Realizar verificación de las instalaciones y el funcionamiento de centros de protección o centro día para el adulto mayor  (ley 1315/2009) con apoyo del estado.</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</si>
  <si>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</si>
  <si>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</si>
  <si>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</si>
  <si>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</si>
  <si>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seguimiento a la implementación del Programa de Atención Psicosocial y Salud Integral a Víctimas PAPSIVI en los municipios donde se encuentra operando.</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</si>
  <si>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</si>
  <si>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</si>
  <si>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</si>
  <si>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1803 - 5 - 3 1 3 12 44 2 148 - 61</t>
  </si>
  <si>
    <t>Apoyar el establecimiento  y coordinación  de  redes integradas  de servicios de información en  salud (acceso del sector salud a VIVANTO).</t>
  </si>
  <si>
    <t>Fortalecimiento de  la estrategia AIEPI en los 12 municipios del Departamento</t>
  </si>
  <si>
    <t>1803 - 5 - 3 1 3 12 44 2 148 - 98</t>
  </si>
  <si>
    <t>Consolidar los programas de atención a la primera infancia</t>
  </si>
  <si>
    <t>Realizar acompañamiento a los 12  Municipios  durante la jornadas Nacionales de vacunación.</t>
  </si>
  <si>
    <t xml:space="preserve">Realizar verificacion del cumplimiento de las coberturas de vacunacion de los 12 municipios del departamento dentro del plan de intervenciones colectivas </t>
  </si>
  <si>
    <t xml:space="preserve">Realizar articulacion con las EAPB, IPS y planes locales de salud mediantes mesas de trabajo para garantizar el cumplimiento en las coberturas de vacunacion dentro de los 12 municipios </t>
  </si>
  <si>
    <t>Capacitar a coordinadores del plan ampliado de inmunizacion para la ejecucion del monitoreo y encuentas de cobertura de vacunacion de los 12 municipios del departamento.</t>
  </si>
  <si>
    <t>realizar la asistencia tecnica a los 12 municipios del departamento para la implementacion de la estartegia AIEPI</t>
  </si>
  <si>
    <t>Brindar asistencia tecnica a los 12 municipios en la elaboracion del plan para la articulacion de las estrategias IAMI - AIEPI - PAI</t>
  </si>
  <si>
    <t>Fortalecer en los doce (12) municipios del departamento los  comités municipales de discapacidad</t>
  </si>
  <si>
    <t>Fortalecer atención integral a poblaciones vulnerables</t>
  </si>
  <si>
    <t>Brindar capacitación y apoyo en el monitoreo de las metas del registro de localización y caracterización de personas con discapacidad de los 12 municipios.</t>
  </si>
  <si>
    <t>Realizar seguimiento a las EAPB para el cumplimiento de la Circular 016 del 2014 (exención de copagos y cuotas moderadoras) y la Circular 010 del 2015 (atención integral de salud para personas con discapacidad).</t>
  </si>
  <si>
    <t>Realizar jornadas de capacitación en normatividad vigente en torno a la población con discapacidad.</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</si>
  <si>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</si>
  <si>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</si>
  <si>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</si>
  <si>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1803 - 5 - 3 1 3 12 45 2 150 - 61
1803 - 5 - 3 1 3 12 45 2 150 - 98</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</si>
  <si>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</si>
  <si>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</si>
  <si>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</si>
  <si>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</si>
  <si>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</si>
  <si>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</si>
  <si>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</si>
  <si>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</si>
  <si>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</si>
  <si>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</si>
  <si>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</si>
  <si>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</si>
  <si>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2 151 - 102
1803 - 5 - 3 1 3 12 46 2 151 - 61
1803 - 5 - 3 1 3 12 46 2 151 - 96
1803 - 5 - 3 1 3 12 46 2 151 - 98</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</si>
  <si>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</si>
  <si>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</si>
  <si>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</si>
  <si>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</si>
  <si>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</si>
  <si>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</si>
  <si>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</si>
  <si>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</si>
  <si>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</si>
  <si>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</si>
  <si>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</si>
  <si>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</si>
  <si>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</si>
  <si>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1803 - 5 - 3 1 3 12 46 2 152 - 102
1803 - 5 - 3 1 3 12 46 2 152 - 61
1803 - 5 - 3 1 3 12 46 2 152 - 96
1803 - 5 - 3 1 3 12 46 2 152 - 98</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</si>
  <si>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</si>
  <si>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</si>
  <si>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</si>
  <si>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</si>
  <si>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</si>
  <si>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</si>
  <si>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</si>
  <si>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</si>
  <si>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</si>
  <si>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</si>
  <si>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</si>
  <si>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</si>
  <si>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</si>
  <si>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</si>
  <si>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</si>
  <si>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</si>
  <si>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</si>
  <si>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1801 - 5 - 3 1 3 13 47 2 153 - 72</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</si>
  <si>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</si>
  <si>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</si>
  <si>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</si>
  <si>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</si>
  <si>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Rentas cedidas subcuenta otros gastos en salud</t>
  </si>
  <si>
    <t>Orientar e inducir a la poblacion no sisbenizada atendida por las IPS 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</si>
  <si>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</si>
  <si>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</si>
  <si>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2 153 - 148
1801 - 5 - 3 1 3 13 48 2 153 - 64
1801 - 5 - 3 1 3 13 48 2 153 - 71
1801 - 5 - 3 1 3 13 48 2 153 - 96</t>
  </si>
  <si>
    <t xml:space="preserve"> Gestionar  recursos para cofinanciación de la afialicon  mpo y lugares de afiliación
</t>
  </si>
  <si>
    <t>Gestión de recursos para cofinanciación de la afiliación a los municipios y lugares de afiliación</t>
  </si>
  <si>
    <t>Ley 1393 Rentas cedidas subcuenta régimen subsidiado</t>
  </si>
  <si>
    <t>Asistencia técnica  a los actores del sistema en el proceso de aseguramiento de la población</t>
  </si>
  <si>
    <t>Brindar asistencia técnica a 12 Municipios del departamento,  en los procesos del régimen subsidiado</t>
  </si>
  <si>
    <t>1801 - 5 - 3 1 3 13 49 2 153 - 72</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</si>
  <si>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</si>
  <si>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</si>
  <si>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Brindar asistencia técnica a 12 Municipios del departamento,  en los procesos del régimen subsidiado. Adriana</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</si>
  <si>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</si>
  <si>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</si>
  <si>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</si>
  <si>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
1802 - 5 - 3 1 3 14 50 2 154 - 102
1802 - 5 - 3 1 3 14 50 2 154 - 110
1802 - 5 - 3 1 3 14 50 2 154 - 145
1802 - 5 - 3 1 3 14 50 2 154 - 151
1802 - 5 - 3 1 3 14 50 2 154 - 58
1802 - 5 - 3 1 3 14 50 2 154 - 59
1802 - 5 - 3 1 3 14 50 2 154 - 60
1802 - 5 - 3 1 3 14 50 2 154 - 65
1802 - 5 - 3 1 3 14 50 2 154 - 96
1802 - 5 - 3 1 3 14 50 2 154 - 97
1804 - 5 - 3 1 3 14 50 2 154 - 102</t>
  </si>
  <si>
    <t>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</si>
  <si>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</si>
  <si>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</si>
  <si>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procesos de inspección , vigilancia y control en el acceso de los afiliados  a la red de servicios de salud.</t>
  </si>
  <si>
    <t>Resolución 971/2016 programa inimputables</t>
  </si>
  <si>
    <t>Mantener la contratación con la red pública y privada (15)  para la atención de la población no afiliada.</t>
  </si>
  <si>
    <t xml:space="preserve">Fortalecer la contratación para la atención de la población no afiliada </t>
  </si>
  <si>
    <t xml:space="preserve">Fortaler la contratacion para la tencion de la pobblacion pobre no asegurada y los servicios no incluidos en el Plan de beneficios de la poblacion afiliada a la regimen subsidiado. </t>
  </si>
  <si>
    <t>SGP salud prestación servicios C.S.F</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</si>
  <si>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</si>
  <si>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</si>
  <si>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</si>
  <si>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SGP salud aportes patronales S.S.F</t>
  </si>
  <si>
    <t>Realizar sesiones del  cosejo territoriales de salud para obtener aval de proyectos de infraestructura y dotacion hospitalaria.</t>
  </si>
  <si>
    <t>Recurso destinado del Monopolio</t>
  </si>
  <si>
    <t>Fortalecimiento de la  gestión de la entidad territorial municipal</t>
  </si>
  <si>
    <t>Realizar asistencia Técnica  en los 12 municipios, en la capacidad de gestión en salud</t>
  </si>
  <si>
    <t>0318 - 5 - 3 1 3 14 51 2 155 - 20</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</si>
  <si>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</si>
  <si>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</si>
  <si>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</si>
  <si>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Apoyo tecnico en los procesos de financiacion a los municpios para ejercer procesos de afiliacion y atencion al SGSS</t>
  </si>
  <si>
    <t>Capacitar en los procesos de gestion tecnica en salud.</t>
  </si>
  <si>
    <t>Realizar procesos de verificación a los 12 municipios y sus respectivas E.S.E del departamento en los reportes de gestión financiera.</t>
  </si>
  <si>
    <t>Brindar apoyo en la gestión administrativa y financiera a los municipios y E.S.E del departamento</t>
  </si>
  <si>
    <t>Garantizar red de servicios en eventos de emergencias</t>
  </si>
  <si>
    <t xml:space="preserve">Ajustar los 14 planes de emergencia de las instituciones prestadoras de salud de todo el Departamento.  </t>
  </si>
  <si>
    <t>0318 - 5 - 3 1 3 14 52 2 156 - 20</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</si>
  <si>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</si>
  <si>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</si>
  <si>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</si>
  <si>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</si>
  <si>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</si>
  <si>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</si>
  <si>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Desarrollar el plan de emergencias de salud departamental</t>
  </si>
  <si>
    <t xml:space="preserve">Articular  la red hospitalaria del Departamento
</t>
  </si>
  <si>
    <t xml:space="preserve">Realizar mantenimiento de los equipos de telecomunicación </t>
  </si>
  <si>
    <t>Ajustar un (1) Plan de Emergencias en Salud Departamental.</t>
  </si>
  <si>
    <t>Realizar ajuste a un plan de emergencias del departamento del quindio</t>
  </si>
  <si>
    <t>Atender en los 12 municipios  del departamento, los eventos de emergencia y urgencias, y el sistema de referencia y contra referencia  de la población  no afiliada.</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</si>
  <si>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</si>
  <si>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</si>
  <si>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</si>
  <si>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Seguimiento, evaluación y gestión de los procesos técnicos Y administrativos de funcionamiento del CRUE.</t>
  </si>
  <si>
    <t>1802 - 5 - 3 1 3 14 52 2 157 - 72</t>
  </si>
  <si>
    <t>Regular y coordinar la prestación de servicios de urgencias y emergencias en salud en el departamento.</t>
  </si>
  <si>
    <t>Realizar asistencia técnica a los prestadores de servicios de salud.</t>
  </si>
  <si>
    <t>Implementación de la línea departamental de urgencia en salud mental.</t>
  </si>
  <si>
    <t>Dotación de quipos de tecnología y telecomunicaciones para el funcionamiento del CRUE.</t>
  </si>
  <si>
    <t>Garantizar continuidad del funcionamiento del CRUE - SEM</t>
  </si>
  <si>
    <t>1804 - 5 - 3 1 3 14 52 2 157 - 96</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</si>
  <si>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</si>
  <si>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</si>
  <si>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</si>
  <si>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</si>
  <si>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</si>
  <si>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</si>
  <si>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</si>
  <si>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</si>
  <si>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</si>
  <si>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Reformular el PAMEC de la Dirección Territorial de acuerdo a lo establecido en la Resolución 3960 de 2008.</t>
  </si>
  <si>
    <t>Evaluación del PAMEC en su condición de compradores de servicios de salud para población pobre no afiliada, mediante  auditoría externa a los prestadores.</t>
  </si>
  <si>
    <t xml:space="preserve">Realizar inspección y vigilancia a la formulación y cumplimiento de los contenidos del PAMEC de los municipios certificados de su jurisdicción.                                                                                </t>
  </si>
  <si>
    <t xml:space="preserve">Enviar anualmente a la superintendencia nacional de salud, un informe de seguimiento a la formulación y evaluación de los PAMEC de los municipios de competencia departamental. </t>
  </si>
  <si>
    <t xml:space="preserve">Realizar un plan de asistencia técnica para la formulación e implementación del PAMEC en la IPS y EAPBS públicas del Departamento. </t>
  </si>
  <si>
    <t xml:space="preserve">Asegurar la totalidad de los estandares establecidos en el sistema de habilitacion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</si>
  <si>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</si>
  <si>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</si>
  <si>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 xml:space="preserve">Garantizar eficiencia en el establecimiento de los indicadores de seguimiento a riesgo 
</t>
  </si>
  <si>
    <t>Realizar capacitación del recurso humano de las ESES, IPS y EPS Tema del PAMEC, indicadores de calidad y circular 012 de 2016</t>
  </si>
  <si>
    <t>Realizar visitas de verificación de los requisitos de habilitación a 150 prestadores de servicios de salud.</t>
  </si>
  <si>
    <t xml:space="preserve">Realizar visitas de verificación de los requisitos de habilitación </t>
  </si>
  <si>
    <t>Verificación de los requisitos de habilitación</t>
  </si>
  <si>
    <t>Fortalecimiento financiero de la red de servicios publica</t>
  </si>
  <si>
    <t>Evaluar semestralmente los indicadores de monitoreo del sistema de catorce (14) ESE´s del nivel I, II y III</t>
  </si>
  <si>
    <t>0318 - 5 - 3 1 3 14 54 2 159 - 20
0318 - 5 - 3 1 3 14 54 2 159 - 88</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</si>
  <si>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</si>
  <si>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</si>
  <si>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</si>
  <si>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de ejecucion y saneamiento a los aportes patronales de las IPS publicas.</t>
  </si>
  <si>
    <t>Seguimiento y apoyo al proceso financiero de las IPS publicas</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</si>
  <si>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</si>
  <si>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</si>
  <si>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</si>
  <si>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</si>
  <si>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</si>
  <si>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</si>
  <si>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</si>
  <si>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</si>
  <si>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</si>
  <si>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</si>
  <si>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</si>
  <si>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Lograr que los procesos misionales y estratégicos de la Secretaría de Salud, que así lo requieran cuente con el apoyo y gestión de la Dirección Estratégica.</t>
  </si>
  <si>
    <t>Fortaleza en la planificacion, seguimiento y evaluacion de objetivos de S.D.S</t>
  </si>
  <si>
    <t>Realizar actividades de planeacion para la S.D.S aplicando los lineamientos normativos vigentes</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</si>
  <si>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</si>
  <si>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</si>
  <si>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</si>
  <si>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</si>
  <si>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</si>
  <si>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</si>
  <si>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</si>
  <si>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</si>
  <si>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Cesar Augusto Rincón Zuluaga</t>
  </si>
  <si>
    <t>Secretario de Salud</t>
  </si>
  <si>
    <t xml:space="preserve">PROGRAMACION DEL PLAN DE ACCIÓN
PROMOTORA
I TRIMESTRE 2015
</t>
  </si>
  <si>
    <t>POBLACION</t>
  </si>
  <si>
    <t>ESTRATEGIA</t>
  </si>
  <si>
    <t>PROGRAMA</t>
  </si>
  <si>
    <t>SUBPROGRAMA</t>
  </si>
  <si>
    <t>META PRODUCTO PLAN DE DESARROLLO</t>
  </si>
  <si>
    <t>NO</t>
  </si>
  <si>
    <t>VALOR EN PESOS</t>
  </si>
  <si>
    <t>Infraestructura Sostenible para la Paz</t>
  </si>
  <si>
    <t>Mejora de la Infraestructura Vial del Departamento del Quindío</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</si>
  <si>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</si>
  <si>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</si>
  <si>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</si>
  <si>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</si>
  <si>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</si>
  <si>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</si>
  <si>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</si>
  <si>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 xml:space="preserve">
Gerente General</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</si>
  <si>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</si>
  <si>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</si>
  <si>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</si>
  <si>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</si>
  <si>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Gerente General</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</si>
  <si>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</si>
  <si>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</si>
  <si>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</si>
  <si>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</si>
  <si>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129</t>
  </si>
  <si>
    <t>Mejoramiento y/o construcción de vivienda urbana y rural.</t>
  </si>
  <si>
    <t>HERNAN MAURICIO CAÑAS PIEDRAHITA.</t>
  </si>
  <si>
    <t>Gerente General - ProviQuindío.</t>
  </si>
  <si>
    <t>Proyectó: Diego Fernando Ramirez Restrepo</t>
  </si>
  <si>
    <t>Profesional Universitario - Contratista.</t>
  </si>
  <si>
    <t>PROGRAMACIÓN PLAN DE ACCIÓN
SECRETARIA DE PLANEACION
I TRIMESTRE 2018</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</si>
  <si>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</si>
  <si>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</si>
  <si>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</si>
  <si>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</si>
  <si>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</si>
  <si>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2018 . </t>
  </si>
  <si>
    <t xml:space="preserve">Realizar  procesos de capacitación, asistencia técnica, seguimiento y evaluación del  Indice de Transparencia a las Secretarias Sectoriales eInstitutos Descentralizados del  Departamento del Quindio,  </t>
  </si>
  <si>
    <t>A. Capacitación asistencia tecnica, seguimiento y evaluacion  indice de transparencia  administración departamental e institutos descentralizados (promotora de vivienda, idtq  e indeportes)   * (Bienes y Servicios)</t>
  </si>
  <si>
    <t>SECRETARIO DE PLANEACIÓN</t>
  </si>
  <si>
    <t>B. CAPACITACIÓN ASISTENCIA TECNICA, SEGUIMIENTO Y EVALUACION  INDICE DE TRANSPARENCIA   ENTES TERRITORIALES DEPARTAMENTALES</t>
  </si>
  <si>
    <t>1.  ANÁLISIS HISTÓRICO Y SOCIALIZACIÓN   INDICES DE GOBIERNO ABIERTO IGA  E INDICE DE TRANSPARENCIA DEPARTAMENTO  DEL QUINDIO</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</si>
  <si>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2018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</si>
  <si>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</si>
  <si>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</si>
  <si>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2. DIAGNÓSTICO IMPLEMENTACIÓN LEY 1712 DE 2012  MUNICIPIOS DEL DEPARTAMENTO DEL QUINDIO</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</si>
  <si>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</si>
  <si>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</si>
  <si>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Servicios que se presten, trámites, procedimientos -Sistema Único de Información de Trámites y Procedimientos Administrativos (SUIT),El contenido de toda decisión y/o política ,  informes de gestión, evaluación, mecanismo interno y externo de supervisión , procedimientos, lineamientos, políticas en materia de adquisiciones y compras, mecanismo de presentación directa de solicitudes, quejas y reclamos,</t>
  </si>
  <si>
    <t>a)  Todas las categorías de información del sujeto obligado</t>
  </si>
  <si>
    <t>b) Todo registro publicado.</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</si>
  <si>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</si>
  <si>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</si>
  <si>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</si>
  <si>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</si>
  <si>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</si>
  <si>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</si>
  <si>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</si>
  <si>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</si>
  <si>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t>
  </si>
  <si>
    <t>a) Publicación  gratuidad y costos de reproducción. En concordancia con lo establecido en los artículos 3o  y 26 de la Ley 1712/14, en la gestión y respuesta a las solicitudes de acceso a la información pública.</t>
  </si>
  <si>
    <t xml:space="preserve">3.  ASISTENCIA TÉCNICA  IMPLEMENTACION  COMPONENTES LEY 1712 DE 2012 </t>
  </si>
  <si>
    <t>Asistencia Implementación  LEY 1712 DE 2012 ( SECTOR CENTRAL Y SECTOR DESCENTRALIZADO (PROMOTORA DE VIVIENDA, INDEPORTES. IDTQ)</t>
  </si>
  <si>
    <t xml:space="preserve">4.  SEGUIMIENTO Y EVALUACION Y SOCIALIZACION  IMPLEMENTACIÓN Y OPERATIVIDAD COMPONENTES INDICE DE TRANSPARENCIA </t>
  </si>
  <si>
    <t xml:space="preserve"> Municipios  departamento del Qundio  por componentes : Información mínima que debe esta publicada,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</si>
  <si>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 xml:space="preserve">Socializacion informes  seguimiento </t>
  </si>
  <si>
    <t xml:space="preserve">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2018 .   
</t>
  </si>
  <si>
    <t xml:space="preserve">C. CAPACITACION TEMAS DE INTERES </t>
  </si>
  <si>
    <t xml:space="preserve">Capacitación </t>
  </si>
  <si>
    <t>D. LOGISTICA</t>
  </si>
  <si>
    <t xml:space="preserve">Refrigerios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</si>
  <si>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</si>
  <si>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</si>
  <si>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</si>
  <si>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</si>
  <si>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</si>
  <si>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</si>
  <si>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</si>
  <si>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</si>
  <si>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t>
  </si>
  <si>
    <t>Recursos Ordinarios.</t>
  </si>
  <si>
    <t>Estrategia de Prosperidad con Equidad</t>
  </si>
  <si>
    <t>Estrategia de Inclusion Social</t>
  </si>
  <si>
    <t>Estrategia de Seguridad Humana</t>
  </si>
  <si>
    <t>Estrategia de Buen Gobierno</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</si>
  <si>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</si>
  <si>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2017</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</si>
  <si>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</si>
  <si>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 xml:space="preserve">Sonido </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</si>
  <si>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</si>
  <si>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</si>
  <si>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</si>
  <si>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</si>
  <si>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</si>
  <si>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</si>
  <si>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</si>
  <si>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</si>
  <si>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</si>
  <si>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Suministro de almuerzos en los doce municipios del Quindío, durante las sesiones descentralizadas.</t>
  </si>
  <si>
    <t>recurso ordinario</t>
  </si>
  <si>
    <t xml:space="preserve">1.2. XII Encuentro CTP, traslados de ida y vuelta Suministro de alimentación en el municipio sede, Servicio de alojamiento </t>
  </si>
  <si>
    <t xml:space="preserve">1.3.XXII Congreso del Sistema Nacional de Planeación, traslado de ida y vuelta en transporte aéreo.   suministro de alimentación servicio de alojamiento </t>
  </si>
  <si>
    <t>1.4. Asistencia de los Consejeros a Foros regionales de participación ciudadana y estratégicos, incluye:  Traslados aéreos,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</si>
  <si>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</si>
  <si>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</si>
  <si>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3.3. Suministro de material litografico, papeleria, impresos y publicaciones, entre otros</t>
  </si>
  <si>
    <t xml:space="preserve">Aumentar los  espacios para capacitación orientados en planificación del territorio Quindiano a través de diplomado o Escuela de liderazgo en ordenamiento territorial en el Departamento del Quindio, durante la vigencia 2018. 
</t>
  </si>
  <si>
    <t>4. 1.  Realización Diplomado  para los Consejeros Territoriales del Departamento</t>
  </si>
  <si>
    <t>4.2. Diseñar y elaborar el Contenido Programatico de la Escuela de Liderazgo y Planeación participativa</t>
  </si>
  <si>
    <t xml:space="preserve">Los instrumentos  de planificación como  ruta para el cumplimiento de la gestión pública  </t>
  </si>
  <si>
    <t>Diseñar e implementar el Plan de Ordenamiento del Departamento del Quindio.</t>
  </si>
  <si>
    <t>Plan diseñado e implementado</t>
  </si>
  <si>
    <t>0305 - 5 - 3 1 5 28 87 17 9 - 20
0305 - 5 - 3 1 5 28 87 17 9 - 88</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</si>
  <si>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</si>
  <si>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</si>
  <si>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</si>
  <si>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</si>
  <si>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Alistamiento para implementar y diagnosticar los ejes y directrices del plan d eordenamiento departamental POD</t>
  </si>
  <si>
    <t>Recursos Ordinarios</t>
  </si>
  <si>
    <t>Actualizacion permanente de las determinantes del POD</t>
  </si>
  <si>
    <t>Puesta en marcha del proceso contractual de implementacion del POD</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</si>
  <si>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</si>
  <si>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</si>
  <si>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</si>
  <si>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Mantener y actualizar los componentes del sig institucional</t>
  </si>
  <si>
    <t>Actualizacion de Licencias y Software del sig institucional</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</si>
  <si>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</si>
  <si>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</si>
  <si>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</si>
  <si>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 como insumo fundamental del POD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</si>
  <si>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</si>
  <si>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</si>
  <si>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</si>
  <si>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</si>
  <si>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</si>
  <si>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</si>
  <si>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</si>
  <si>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Implementacion de procesos de asociatividad mas favorables en el Departamento</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</si>
  <si>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</si>
  <si>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</si>
  <si>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</si>
  <si>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</si>
  <si>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</si>
  <si>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</si>
  <si>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</si>
  <si>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Actualización de los instrumentos (Anuario Estadístico, Carta Estadística, Indicadores) de identificación, validación y cálculo de indicadores del observatorio departamental  contenidos en las dos áreas temáticas abordadas (Social y económica) para los 17 sectores priorizados en la vigencia 2017.</t>
  </si>
  <si>
    <t>Recursos Ordinarios
Superavit ordinario</t>
  </si>
  <si>
    <t>Análisis de la información recolectada para la actualización y generación de los  boletines trimestrales (4), el informe anual del departamento (1) y los demás análisis requeridos correspondientes a la vigencia 2017 (1 Informe de Empleo)</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</si>
  <si>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</si>
  <si>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Fortalecer el seguimiento a los problemas identificados en el departamento con relacion a los ODS para la ultima vigencia de analisis</t>
  </si>
  <si>
    <t>Apoyo en la implementación del sistema de consulta del Observatorio de Desarrollo Humano a partir de la compra de un equipo de computo con su respectiva licencia de funcionamiento</t>
  </si>
  <si>
    <t xml:space="preserve">Apoyo en la recolección y procesamiento de bases y datos estadísticos para la estructuración del sistema de información </t>
  </si>
  <si>
    <t>Apoyo en la asistencia y revisión de las Fichas Básicas Municipales</t>
  </si>
  <si>
    <t xml:space="preserve"> Impresos, diseños, visualizaciones</t>
  </si>
  <si>
    <t>Diseñar e implementar el tablero de control  para el seguimiento y evaluación del Plan de Desarrollo  y   políticas públicas  Departamentales</t>
  </si>
  <si>
    <t>Tablero de control diseñado e implementado</t>
  </si>
  <si>
    <t>0305 - 5 - 3 1 5 28 87 17 11 - 20
0305 - 5 - 3 1 5 28 87 17 11 - 88</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</si>
  <si>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</si>
  <si>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</si>
  <si>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</si>
  <si>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</si>
  <si>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 xml:space="preserve">1.1. Identificación   de metas estratégicas por parte del gobierno departamental a diciembre 31 de 2018
</t>
  </si>
  <si>
    <t xml:space="preserve">Recursos Ordinarios
Superavit Recurso Ordinario
</t>
  </si>
  <si>
    <t>1.2.  caracterización de las metas estrategicas por parte del Gobierno Departamental a Diciembre 31  de 2018</t>
  </si>
  <si>
    <t>2.1. Convocar, coordinar y direccionar las mesas de trabajo que harán seguimiento a las metas estratégicas, de acuerdo con los temas relacionados con su gestión</t>
  </si>
  <si>
    <t>2.2. Elaboración de cronogramas de actividades en las mesas de trabajo por parte de los equipos tecnicos para el seguimiento de las metas estrategicas</t>
  </si>
  <si>
    <t>2.3. Identificación de la ruta critica de gestion para cada una de las metas estrategicas</t>
  </si>
  <si>
    <t xml:space="preserve">2.4 Establecimiento de los indicadores de gestión para cada una de las metas estratégicas </t>
  </si>
  <si>
    <t>2.5  Revisar periódicamente los avances en el cumplimiento de las metas 2017-2018 por parte de las mesas que, en cualquier caso, contarán con la representación de los equipos jurídicos, administrativos, técnicos (de acuerdo a la meta correspondiente) y de comunicaciones</t>
  </si>
  <si>
    <t>2.6  Reportar al gobernador el avance que las mesas de trabajo han tenido en el cumplimiento de las metas estratégicas a 2017-2018</t>
  </si>
  <si>
    <t>2.7   Acompañamiento en las reuniones que cite el señor Gobernador para el seguimiento de metas estratégicas</t>
  </si>
  <si>
    <t>2.8  Reportar al consejo de gobierno los resultados de las mesas y el análisis de los avances que se han realizado por parte de la administración en el cumplimiento de cada una de las metas definidas para 2017-2018</t>
  </si>
  <si>
    <t>ALVARO ARIAS YOUNG</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</si>
  <si>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</si>
  <si>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</si>
  <si>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</si>
  <si>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</si>
  <si>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</si>
  <si>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</si>
  <si>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nacionales, a través del SGR e Internacional para el apoyo de alternativas regionales</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</si>
  <si>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</si>
  <si>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</si>
  <si>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</si>
  <si>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Asistencia Técnica  componentes Económico, Social y Ambiental</t>
  </si>
  <si>
    <t xml:space="preserve">Asistencia Tecnica componente  de Ingenieria y/o Arquitectura </t>
  </si>
  <si>
    <t>Asistencia Técnica en la formulación y estructuración de  proyectos del orden Departamental, Regional, Nacional e Internacional, en  la Metodología requerida implementadas para tal efecto.</t>
  </si>
  <si>
    <t>Apoyo en la formulación y estructuración de programas y proyectos de Cooperación Internacional, en las metodologias requeridas, a través de la casa Delegada</t>
  </si>
  <si>
    <t xml:space="preserve">Apoyar las acciones para la  identificacion de la oferta de proyectos de cooperación internacional, a través de la casa Delegada </t>
  </si>
  <si>
    <t>Desarrollo de estrategias de Promoción de los planes, programas y proyectos del  Departamento del Quindío, a través de la casa Delegada</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</si>
  <si>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</si>
  <si>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</si>
  <si>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</si>
  <si>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</si>
  <si>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</si>
  <si>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Apoyo a la formulación, estructuración, ajustes y Actualización  de proyectos de Inversión vigencias  2018 y 2019, en su marco logico y a través de la Herramienta MGA WEB .   b) Apoyo a los procesos de control y seguimiento a la inversión pública del Departamento.  c) Apoyo a los trámites de rendición de informes</t>
  </si>
  <si>
    <t xml:space="preserve">Estudios de preinversión  Departamento del Quindio </t>
  </si>
  <si>
    <t xml:space="preserve">Actualizar el Sistema Integrado de Gestión Administrativa SIGA del departamento del Quindío </t>
  </si>
  <si>
    <t>Sistema Integrado de Gestión actualizado</t>
  </si>
  <si>
    <t>0305 - 5 - 3 1 5 28 87 17 13 - 20</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</si>
  <si>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</si>
  <si>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</si>
  <si>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</si>
  <si>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</si>
  <si>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1. AJUSTE Y ACTUALIZACIÓN  PROCEDIMIENTO PROCESOS  SISTEMA INTEGRADO DE GESTION ADMiNISTRATIVA </t>
  </si>
  <si>
    <t>2. AJUSTE  Y ACTUALIZACIÓN CONTEXTO ESTRATEGICO  SISTEMA INTEGRADO DE GESTION ADMNISTRATIVA  (MISION. VISIÓN  Y MATRIZ DOFFA)</t>
  </si>
  <si>
    <t xml:space="preserve">3. AJUSTE Y ACTUALIZACIÓN  MANUAL DE CALIDAD DEPARTAMENTO DEL QUINDIO </t>
  </si>
  <si>
    <t xml:space="preserve">3.1     Politica de Calidad </t>
  </si>
  <si>
    <t xml:space="preserve">3.2 Objetivos de Calidad </t>
  </si>
  <si>
    <t xml:space="preserve">3.3 Indicadores de  Calidad </t>
  </si>
  <si>
    <t xml:space="preserve">3.4    Listado Maestro de Normograma </t>
  </si>
  <si>
    <t xml:space="preserve">3.5  Servicio No Conforme </t>
  </si>
  <si>
    <t xml:space="preserve">3.6  Listado de Maestros Internos  </t>
  </si>
  <si>
    <t xml:space="preserve">3.7  Listado de Maestros Externos </t>
  </si>
  <si>
    <t xml:space="preserve">3.8 Listado de Maestros de Registros </t>
  </si>
  <si>
    <t xml:space="preserve">3.9  Interelaciones de procesos </t>
  </si>
  <si>
    <t xml:space="preserve">3.10. Matriz Plan de Comunicaciones </t>
  </si>
  <si>
    <t xml:space="preserve">3.11 Socialización Comité Coordinador Sistema Integrado de Gestión Admnistrativa </t>
  </si>
  <si>
    <t xml:space="preserve">3.12 Estructuración Manual de Calidad </t>
  </si>
  <si>
    <t xml:space="preserve">Capacitar a los funcionarios de la Administración departamental  en la operatividad del Sistema Integrado de la Gestión Administrativa  del Departamento del Quindio, con el fin de aumentar los indices de eficiencia y efiacia </t>
  </si>
  <si>
    <t xml:space="preserve">4.  Socialización  Ajuste y Actualización Contexto Estrategico Manual de Calidad Secretarias de Despacho </t>
  </si>
  <si>
    <t xml:space="preserve">Implementar el Comité  de Planificación  Departamental   </t>
  </si>
  <si>
    <t>Comité de Planificación Departamental implementado</t>
  </si>
  <si>
    <t>0305 - 5 - 3 1 5 28 87 17 14 - 20
0305 - 5 - 3 1 5 28 87 17 14 - 88</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</si>
  <si>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</si>
  <si>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</si>
  <si>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</si>
  <si>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</si>
  <si>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</si>
  <si>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</si>
  <si>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</si>
  <si>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</si>
  <si>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</si>
  <si>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</si>
  <si>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</si>
  <si>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</si>
  <si>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</si>
  <si>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</si>
  <si>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 Asistencia técnica, seguimiento y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</si>
  <si>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</si>
  <si>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</si>
  <si>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</si>
  <si>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</si>
  <si>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</si>
  <si>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Capacitación , Asistencia técnica, seguimiento y/o evaluación Estratificación Socioeconómica</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</si>
  <si>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</si>
  <si>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</si>
  <si>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en los doce (12) Municipios </t>
  </si>
  <si>
    <t>Entes territoriales municipales asistidos</t>
  </si>
  <si>
    <t xml:space="preserve">Capacitación, asistencia técnica, seguimiento y/o evaluación incorporación Modelo de Ocupación del Territorio en los doce municipios </t>
  </si>
  <si>
    <t xml:space="preserve">ALVARO ARIAS YOUNG </t>
  </si>
  <si>
    <t xml:space="preserve">SECRETARIO DE PLANEACION DEPARTAMENTAL </t>
  </si>
  <si>
    <t>PROGRAMACIÓN PLAN DE ACCIÓN
SECRETARIA DE AGRICULTURA, DESARROLLO RURAL Y MEDIO AMBIENTE
I TRIMESTRE 2018</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</si>
  <si>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</si>
  <si>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</si>
  <si>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</si>
  <si>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</si>
  <si>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</si>
  <si>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</si>
  <si>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Generación de entornos favorables y sostenibilidad ambiental para el Departamento del Quindío</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</si>
  <si>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</si>
  <si>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</si>
  <si>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</si>
  <si>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 xml:space="preserve">Secretario de Agricultura Desarrollo Rural y Medio Ambiente
</t>
  </si>
  <si>
    <t xml:space="preserve">Actualización, analisis, y recomendaciones de mejora sobre  la información ambiental de los doce municipios. </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</si>
  <si>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</si>
  <si>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</si>
  <si>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</si>
  <si>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</si>
  <si>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</si>
  <si>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Adecuadar planificación para la sostenibilidad de los recursos naturales</t>
  </si>
  <si>
    <t>Apoyo al Plan de gestión de la biodiversidad y sus servicios ecosistemicos PDGIB</t>
  </si>
  <si>
    <t>Diseñay ejecutar una poiica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</si>
  <si>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</si>
  <si>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</si>
  <si>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Desarrollar en (5) cinco de los sectores productivos del departamento, actividades de producción más limpia y Buenas  Prácticas Ambientales (BPA) </t>
  </si>
  <si>
    <t>Actividades de producción  desarrolladas</t>
  </si>
  <si>
    <t xml:space="preserve">Generar apropiación de las acciones  de producción más limpia y Buenas  Prácticas Ambientales (BPA) en los sectores productivos  del departamento.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</si>
  <si>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</si>
  <si>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</si>
  <si>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</si>
  <si>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</si>
  <si>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</si>
  <si>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Número de cuencas con servicios ecosistémicos caracterizados</t>
  </si>
  <si>
    <t>0312 - 5 - 3 1 1 1 2 10 67 - 20</t>
  </si>
  <si>
    <t>201663000-0067</t>
  </si>
  <si>
    <t>Gestón integral de cuencas hirdográficas en el Departamento del Quindío</t>
  </si>
  <si>
    <t xml:space="preserve">Mantener la oferta hídrica promedio anual  de las Unidades de Manejo de Cuenca (UMC) del departamento del Quindío 
</t>
  </si>
  <si>
    <t xml:space="preserve">Realizar y coordinar acciones de  recuperación y mantenimiento del recursos hídrico
</t>
  </si>
  <si>
    <t>Elaboracion de inventario de servicios ecosistemicos y diagnostico de los componentes de flora, fauna y recursos hidricos de 2 cuencas hidrograficas</t>
  </si>
  <si>
    <t>Secretario de Agricultura Desarrollo Rural y Medio Ambiente</t>
  </si>
  <si>
    <t xml:space="preserve">Crear e implementar el Fondo del Agua del departamento del Quindío  </t>
  </si>
  <si>
    <t>Fondo del Agua creado e implementado</t>
  </si>
  <si>
    <t>Recurso Ordinario
Superavit recurso ordinario</t>
  </si>
  <si>
    <t>Bienes y servicios ambientales para las nuevas generaciones</t>
  </si>
  <si>
    <t xml:space="preserve">Conservar y restaurar seis (6) áreas de importancia estratégica para el recurso hídrico del departamento </t>
  </si>
  <si>
    <t>Áreas conservadas y restauradas</t>
  </si>
  <si>
    <t>0312 - 5 - 3 1 1 1 3 10 68 - 20</t>
  </si>
  <si>
    <t>201663000-0068</t>
  </si>
  <si>
    <t>Aplicación de mecanismos de protección ambiental en el Departamento del Quindío.</t>
  </si>
  <si>
    <t xml:space="preserve">Potencializar  el Sistema Departamental y municipal de áreas protegidas
</t>
  </si>
  <si>
    <t>Vigilancia, control y seguimiento a las áreas de protección</t>
  </si>
  <si>
    <t>Recuperación y mantenimiento de  las  zonas deterioradas en las áreas de protección.</t>
  </si>
  <si>
    <t>Adquisición y Mantenimiento  de las áreas de importancia estrategica</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</si>
  <si>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</si>
  <si>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</si>
  <si>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</si>
  <si>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</si>
  <si>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</si>
  <si>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</si>
  <si>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</si>
  <si>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Intervenir en herramientas del PCC las cuencas de los municipios con declaratoria de paisaje cultural cafetero</t>
  </si>
  <si>
    <t>0101/2018</t>
  </si>
  <si>
    <t>Diagnosticar y diseñar los corredores de conservación del PCC</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</si>
  <si>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</si>
  <si>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</si>
  <si>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Poner en marcha programas e incentivos a la conservación </t>
  </si>
  <si>
    <t>Restaurar con obras de bioingeniería veinte (20) Hectáreas o zonas críticas de riesgo.</t>
  </si>
  <si>
    <t xml:space="preserve">Número de hectáreas restauradas </t>
  </si>
  <si>
    <t xml:space="preserve">Poner en marcha obras de bioingenieria </t>
  </si>
  <si>
    <t>Desarrollar treinta y un (31) estrategias de educación ambiental  en los espacios participativos, comunitarios y educativos del departamento</t>
  </si>
  <si>
    <t>Número de estrategias de educación desarrolladas</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</si>
  <si>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</si>
  <si>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</si>
  <si>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</si>
  <si>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Número de  jóvenes,  mujeres, población vulnerable y con enfoque diferencial capacitados</t>
  </si>
  <si>
    <t xml:space="preserve">Aumentar el número de multiplicadores ambientales  </t>
  </si>
  <si>
    <t xml:space="preserve">Formar multiplicadores ambientales </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</si>
  <si>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</si>
  <si>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</si>
  <si>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</si>
  <si>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</si>
  <si>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</si>
  <si>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Fortalecimiento e innovación empresarial de la caficultura en el Departamento del Quindío</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</si>
  <si>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</si>
  <si>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</si>
  <si>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 xml:space="preserve">Capacitación a caficultores  en buenas prácticas agrícolas sostenible y aseguramiento de la calidad de café 
</t>
  </si>
  <si>
    <t>20
88</t>
  </si>
  <si>
    <t>Recursos Ordinarios
Superavít Recursos Ordinarios</t>
  </si>
  <si>
    <t xml:space="preserve">Capacitacion a caficultores en catacion, tostion y barismo </t>
  </si>
  <si>
    <t>Crear (6) seis grupos multiplicadores de conocimiento en emprendimiento y calidad del café  para jóvenes y mujeres rurales, campesinas y cafeteras</t>
  </si>
  <si>
    <t>Número de grupos multiplicadores creados</t>
  </si>
  <si>
    <t>Fortalecimiento a asociaciones de café de jovenes y mujeres rurales en buenas practicas agricolas y aseguramiento de la calidad del café a traves de asistencia tecnica y talleres</t>
  </si>
  <si>
    <t xml:space="preserve">Capacitación  a jovenes y mujeres rurales en asociatividad, emprendimiento,  en mejoramiento y aseguramiento de la calidad  
</t>
  </si>
  <si>
    <t>Crear (1) portafolio de café origen Quindío a través de la valoración de 6000 predios</t>
  </si>
  <si>
    <t>Portafolio de café origen Quindío creado</t>
  </si>
  <si>
    <t>Alto nivel de conocimiento de los productores en producción limpia y sostenible con énfasis en calidad sensorial del café</t>
  </si>
  <si>
    <t xml:space="preserve">Visitas de asistencia tecnicas de caracterizacion a predios productores de café del Departamento del Quindio </t>
  </si>
  <si>
    <t>Toma de muestras de café y analisis de catación y perfilación a traves de convenios interadminitrativos y/o interinstitucionales.</t>
  </si>
  <si>
    <t>Promocion y divulgacion del portafolio de café origen Quindio</t>
  </si>
  <si>
    <t>Formalizar (1) un convenio interinstitucional para la inserción de los cafés de origen Quindío en los mercados nacionales e internacionales</t>
  </si>
  <si>
    <t>Convenio interinstitucional formalizado</t>
  </si>
  <si>
    <t xml:space="preserve">Convenio Interinstitucional 
</t>
  </si>
  <si>
    <t>Centros Agroindustriales Regionales para la Paz - CARPAZ</t>
  </si>
  <si>
    <t>Crear e implementar seis (6) núcleos de asistencia técnica y transferencia de tecnología en el sector agropecuario</t>
  </si>
  <si>
    <t>Núcleos de asistencia creados e implementados</t>
  </si>
  <si>
    <t>201663000-0176</t>
  </si>
  <si>
    <t>Creacion e implementacion de los centros agroindustriales para  la paz CAPAZ en el Deparamento del Quindio</t>
  </si>
  <si>
    <t xml:space="preserve">Equiparar el crecimiento del PIB del departamento del Quindío al PIB nacional
</t>
  </si>
  <si>
    <t>Mejorar  la productividad primaria agropecuaria</t>
  </si>
  <si>
    <t>Acompañamiento en la implementacion y asistencia tecnica y transferencia de tecnologia a pequeños productores  el sector agricola y pecuario a traves de visitas a predios</t>
  </si>
  <si>
    <t>Recuerso Ordinario</t>
  </si>
  <si>
    <t xml:space="preserve">Evento de tranferencia de tecnoligia para el sector agricola y pecuario a productores del departamento del quindio </t>
  </si>
  <si>
    <t>0312 - 5 - 3 1 2 2 5 8 176 - 46</t>
  </si>
  <si>
    <t xml:space="preserve">Dotacion tecnologica de centros agroindustriales carpaz para la tranferencia de tecnologias a productores </t>
  </si>
  <si>
    <t>Apoyar cinco (5) sectores productivos agropecuarios del departamento en métodos de mercadeo que propicien innovación en los aspectos comerciales de los productos del Quindío</t>
  </si>
  <si>
    <t>Sectores productivos apoyados</t>
  </si>
  <si>
    <t>Articular la demanda existente y la oferta efectiva</t>
  </si>
  <si>
    <t>Capacitacion en estrategias de mercadeo a diferentes   grupos asociativos de productores y agroindustriales</t>
  </si>
  <si>
    <t>Apoyo logistico</t>
  </si>
  <si>
    <t>Crear  seis (6) centros logísticos  para la transformación agroindustrial - CARPAZ</t>
  </si>
  <si>
    <t>Centros logísticos creados</t>
  </si>
  <si>
    <t>Brindar un sistema eficiente de prestación de servicios públicos</t>
  </si>
  <si>
    <t>Capacitar seis (6) unidades agro empresariales de jóvenes y mujeres rurales</t>
  </si>
  <si>
    <t>Unidades agro empresariales capacitadas</t>
  </si>
  <si>
    <t>Capacitaciones a los sevctores agropecuarios</t>
  </si>
  <si>
    <t>Crear e implementar el Fondo de Financiamiento de Desarrollo Rural - FIDER</t>
  </si>
  <si>
    <t>Fondo de financiamiento creado e implementado</t>
  </si>
  <si>
    <t>0312 - 5 - 3 1 2 2 5 8 177 - 20</t>
  </si>
  <si>
    <t>201663000-0177</t>
  </si>
  <si>
    <t>Creación e implementación del Fondo de Financiamiento de Desarrollo Rural FIDER</t>
  </si>
  <si>
    <t xml:space="preserve">Mejoramiento de las condiciones de acceso al financiamiento de los productores agropecuarios, mediante la creacion de un fondo financiero para el desarrollo rural en el departamento del Quindío.                                               
</t>
  </si>
  <si>
    <t xml:space="preserve">Generación de procesos de  apoyo financiero de facil acceso para desarrolo del sector productivo rural.
</t>
  </si>
  <si>
    <t>Asistencia técnica en la creacion y elaboracion de FIDER</t>
  </si>
  <si>
    <t>Reactivar un instrumento de prevención por eventos naturales para productos agrícolas.</t>
  </si>
  <si>
    <t>Instrumento de prevención por eventos naturales para productos agrícolas reactivado</t>
  </si>
  <si>
    <t>0312 - 5 - 3 1 2 2 5 8 175 - 20</t>
  </si>
  <si>
    <t>201663000-0175</t>
  </si>
  <si>
    <t>Implementacion de un instrumento para la Prevención de eventos naturales productos agricolas en e Departamento del Quindio</t>
  </si>
  <si>
    <t>Sostenibilidad de la produccion, mediante estrategias de mitigacion, para contrarrestar eventos y riesgos naturales en el sector agropecuario</t>
  </si>
  <si>
    <t xml:space="preserve">Fortalecimiento de los  programas de prevención en el sector rural, para mejorar la capacidad de respuesta ante inminencia de eventos y riesgos naturales </t>
  </si>
  <si>
    <t>Establecimiento de barreras vivas</t>
  </si>
  <si>
    <t xml:space="preserve">Generación de espacios de articulación institucional en apoyo de asistencia técnica rural ante eventos y riesgos naturales  </t>
  </si>
  <si>
    <t>Acompañamiento técnico y educación ambiental  en prevención en eventos y riesgos naturales</t>
  </si>
  <si>
    <t>Recuerso Ordinario
Superavit de recurso ordinario</t>
  </si>
  <si>
    <t>Emprendimiento y empleo rural</t>
  </si>
  <si>
    <t>Apoyar la formalización de empresas en cuatro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</si>
  <si>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</si>
  <si>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</si>
  <si>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</si>
  <si>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</si>
  <si>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 Aumetar crecimiento del PIB del departamento  del Quindio a frente al PIB Nacional</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</si>
  <si>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</si>
  <si>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apoyo en la formalización de empresas en los sectores productivos</t>
  </si>
  <si>
    <t>Generar un apalancamiento a 100  iniciativas productivas rurales</t>
  </si>
  <si>
    <t>Número de iniciativas productivas apalancadas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</si>
  <si>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</si>
  <si>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Identificacion, caraterizacion de las nuevas iniciativas productivas rurales</t>
  </si>
  <si>
    <t xml:space="preserve">Capacitar mil doscientos (1200)  jóvenes y mujeres rurales en actividades agrícolas y no agrícolas </t>
  </si>
  <si>
    <t>Número de jóvenes y mujeres rurales capacitados</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</si>
  <si>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</si>
  <si>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Capacitacion a jovenes y mujeres rurales en actividades agricolas y no agricolas.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</si>
  <si>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</si>
  <si>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</si>
  <si>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 xml:space="preserve">formacion para el trabajo y el desarrollo humano
</t>
  </si>
  <si>
    <t>Impulso a la competitividad productiva y empresarial del sector Rural</t>
  </si>
  <si>
    <t>Apoyar (5) cinco sectores productivos del Departamento en ruedas de negocio</t>
  </si>
  <si>
    <t>0312 - 5 - 3 1 2 2 7 13 78 - 20</t>
  </si>
  <si>
    <t>201663000-0078</t>
  </si>
  <si>
    <t>Fortalecimiento a la competitividad productiva y empresarial del sector rural en el Departamento del Quindio</t>
  </si>
  <si>
    <t xml:space="preserve">Crecimiento del PIB del departamento  del Quindio frente al PIB Nacional                                         
</t>
  </si>
  <si>
    <t xml:space="preserve">Conocimiento de metodos no tradicionales de comercialización </t>
  </si>
  <si>
    <t>Impulsar la competitivdad productiva y empresarial  mediante ruedas de negocio</t>
  </si>
  <si>
    <t>Realizar (3) tres eventos  de capacitación para acceder a mercados internacionales</t>
  </si>
  <si>
    <t>Numero de eventos de capacitación realizados</t>
  </si>
  <si>
    <t xml:space="preserve">Aumentar la divulgación de eventos especializados para acceder a mercados Internacionales </t>
  </si>
  <si>
    <t xml:space="preserve">Capacitar al sector empresarial rural para el acceso a mercados internacionales.
</t>
  </si>
  <si>
    <t>Diseñar e implementar (1) un instrumento de planificación e información rural para la comercialización de productos transables</t>
  </si>
  <si>
    <t>Instrumento de planificación e información diseñado e implementado</t>
  </si>
  <si>
    <t xml:space="preserve">Puesta en marcha de los instrumentos de planificación e información rural
</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</si>
  <si>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</si>
  <si>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</si>
  <si>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</si>
  <si>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0312 - 5 - 3 1 3 11 34 8 79 - 20</t>
  </si>
  <si>
    <t>201663000-0079</t>
  </si>
  <si>
    <t>Fomento a la agricultura familiar , urbana y  mercados campesinos para la soberanía y  Seguridad alimentaria en el Departamento del Quindio.</t>
  </si>
  <si>
    <t xml:space="preserve">Aumentar la producción de frutas y verduras para el autoconsumo del departamento del Quindío a través de la implementación de un sistema de parcelas campesinas y comercio de excedentes
</t>
  </si>
  <si>
    <t xml:space="preserve">Implementacion del programa de Agricultura Familiar Campesina a traves de acompañamiento tecnico a beneficiarios </t>
  </si>
  <si>
    <t xml:space="preserve">20
88
</t>
  </si>
  <si>
    <t>Recuerso Ordinario
Superavit de recurso ordinario</t>
  </si>
  <si>
    <t>Apoyar la conformación de cuatro (4) alianzas para contratos de compra anticipada de productos de la agricultura familiar en el departamento del Quindío</t>
  </si>
  <si>
    <t>Numero de alianzas para contratos de compra anticipada apoyados</t>
  </si>
  <si>
    <t>Acompañamiento tecnico a productores agropecuarios en la productividad primaria y alistamiento de la oferta, permitiendo asi la insercion en nuevos mercados locales, regionales y nacionales</t>
  </si>
  <si>
    <t>Sembrar quinientas (500) Ha de productos de la canasta básica familiar para aumentar la disponibilidad de alimentos</t>
  </si>
  <si>
    <t>Número de hectáreas sembradas</t>
  </si>
  <si>
    <t xml:space="preserve">Sembrar 150 Ha de productos de la canasta basica familiar a traves del apoyo en siembras directas y convenios que fortalezcan  la produccion en pequeños y medianos agricultores  
</t>
  </si>
  <si>
    <t>Beneficiar a 2400 familias urbanas y periurbanas con parcelas de agricultura familiar para autoconsumo y comercio de excedentes</t>
  </si>
  <si>
    <t>Numero de familias beneficiadas</t>
  </si>
  <si>
    <t>Acompañamiento a familias urbanas y periurbanas en el establecimiento de parcelas de agricultura familiar</t>
  </si>
  <si>
    <t>Acompañamiento tecnico y logistico en el alistamiento de la oferta productiva de peqeños agricultores en mercados campesinos en los municipios del Departamento del Quindio</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</si>
  <si>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</si>
  <si>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</si>
  <si>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</si>
  <si>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r>
      <rPr>
        <sz val="12"/>
        <rFont val="Arial"/>
        <family val="2"/>
      </rPr>
      <t xml:space="preserve">Talleres de capacitacion en el mejoramiento de la dieta alimenticia a partir de productos de la canasta basica familiar </t>
    </r>
    <r>
      <rPr>
        <sz val="12"/>
        <color indexed="10"/>
        <rFont val="Arial"/>
        <family val="2"/>
      </rPr>
      <t xml:space="preserve">
</t>
    </r>
  </si>
  <si>
    <t>CARLOS ALBERTO SOTO RAVE</t>
  </si>
  <si>
    <t>SECRETARIO DE AGRICULTURA, DESARROLLO RURAL Y MEDIO AMBIENTE</t>
  </si>
  <si>
    <t>Cobertura Educativa</t>
  </si>
  <si>
    <t>Acceso y Pemanencia</t>
  </si>
  <si>
    <t>Implementar un (1) plan, programa y/o proyecto para el acceso de niños, niñas y jóvenes en las instituciones educativas</t>
  </si>
  <si>
    <t>Número de planes, programas y/o proyectos implementados</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</si>
  <si>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</si>
  <si>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</si>
  <si>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</si>
  <si>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</si>
  <si>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</si>
  <si>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Implementar el Programa de Alimentación Escolar (PAE) en el departamento del Quindío</t>
  </si>
  <si>
    <t>Programa PAE implementado</t>
  </si>
  <si>
    <t>0314 - 5 - 3 1 3 5 16 1 84 - 35</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</si>
  <si>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</si>
  <si>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</si>
  <si>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1404 - 5 - 3 1 3 5 16 1 84 - 137</t>
  </si>
  <si>
    <t>Contratación Equipo, para el acompañamiento, seguimiento y verificación de la ejecucion del PAE</t>
  </si>
  <si>
    <t>Implementar el programa de transporte escolar en el departamento del Quindio</t>
  </si>
  <si>
    <t>Programa de transporte escolar implementado</t>
  </si>
  <si>
    <t>1404 - 5 - 3 1 3 5 16 1 84 - 80</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</si>
  <si>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</si>
  <si>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</si>
  <si>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1404 - 5 - 3 1 3 5 16 1 84 - 81</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</si>
  <si>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</si>
  <si>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</si>
  <si>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</si>
  <si>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 0314 - 5 - 3 1 3 5 17 1 86 - 20
1404 - 5 - 3 1 3 5 17 1 86 - 25</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</si>
  <si>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</si>
  <si>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</si>
  <si>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</si>
  <si>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</si>
  <si>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</si>
  <si>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</si>
  <si>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</si>
  <si>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</si>
  <si>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</si>
  <si>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</si>
  <si>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</si>
  <si>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</si>
  <si>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</si>
  <si>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</si>
  <si>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</si>
  <si>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</si>
  <si>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</si>
  <si>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Personal de apoyo educativo,  para la población  con situación penal, iletrados, menores trabajadores  en el Departamento</t>
  </si>
  <si>
    <t>Diseñar e implementar un plan para la caracterización y atención de la población en condiciones especiales y excepcionales del departa</t>
  </si>
  <si>
    <t>Desarrollo de actividades de apoyo pedagógico, estudiantes con discapacidad, capacidades o con talentos excepcionales</t>
  </si>
  <si>
    <t>SGP Educacion</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</si>
  <si>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</si>
  <si>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</si>
  <si>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</si>
  <si>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</si>
  <si>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</si>
  <si>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</si>
  <si>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del Departamento.</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</si>
  <si>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</si>
  <si>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</si>
  <si>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</si>
  <si>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</si>
  <si>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</si>
  <si>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</si>
  <si>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</si>
  <si>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</si>
  <si>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</si>
  <si>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</si>
  <si>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Número de docentes capacitados</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</si>
  <si>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</si>
  <si>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</si>
  <si>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</si>
  <si>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</si>
  <si>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</si>
  <si>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</si>
  <si>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</si>
  <si>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</si>
  <si>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0314 - 5 - 3 1 3 6 19 1 89 - 20</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</si>
  <si>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</si>
  <si>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</si>
  <si>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</si>
  <si>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</si>
  <si>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0314 - 5 - 3 1 3 6 19 1 89 - 88</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</si>
  <si>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</si>
  <si>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</si>
  <si>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</si>
  <si>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</si>
  <si>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</si>
  <si>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</si>
  <si>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</si>
  <si>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</si>
  <si>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</si>
  <si>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</si>
  <si>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</si>
  <si>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</si>
  <si>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</si>
  <si>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</si>
  <si>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</si>
  <si>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</si>
  <si>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</si>
  <si>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</si>
  <si>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</si>
  <si>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</si>
  <si>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</si>
  <si>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</si>
  <si>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</si>
  <si>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</si>
  <si>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</si>
  <si>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</si>
  <si>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</si>
  <si>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</si>
  <si>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</si>
  <si>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</si>
  <si>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</si>
  <si>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</si>
  <si>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</si>
  <si>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</si>
  <si>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</si>
  <si>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</si>
  <si>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0314 - 5 - 3 1 3 6 20 1 90 - 20</t>
  </si>
  <si>
    <t>Dotación de implementos de mitigación, prevencion y atención del riesgo para el fortalecimiento del Plan Escolar de Gestión del Riesgo (PEGER)</t>
  </si>
  <si>
    <t>Realizar ocho (8) eventos académicos, investigativos y culturales</t>
  </si>
  <si>
    <t>Número de eventos realizados</t>
  </si>
  <si>
    <t>Encuentro Cultural de Étnoeducación</t>
  </si>
  <si>
    <t>0314 - 5 - 3 1 3 6 20 1 90 - 88</t>
  </si>
  <si>
    <t>Feria Concetar TIC</t>
  </si>
  <si>
    <t xml:space="preserve">Implementar el  programa de  jornada única con el acceso y permanencia de veinte mil (20.000) estudiantes </t>
  </si>
  <si>
    <t>Numero de estudiantes en el programa jornada única</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</si>
  <si>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</si>
  <si>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</si>
  <si>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</si>
  <si>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</si>
  <si>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</si>
  <si>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</si>
  <si>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</si>
  <si>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</si>
  <si>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</si>
  <si>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</si>
  <si>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</si>
  <si>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</si>
  <si>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</si>
  <si>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</si>
  <si>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</si>
  <si>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</si>
  <si>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</si>
  <si>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</si>
  <si>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</si>
  <si>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</si>
  <si>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</si>
  <si>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</si>
  <si>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</si>
  <si>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20
25
21
88</t>
  </si>
  <si>
    <t>Recurso Ordinario
Recurso SGP
Recurso SGP 
Superavit Recurso Ordinario</t>
  </si>
  <si>
    <t xml:space="preserve">Dotar ciento cuarenta (140) sedes educativas con la colección semilla </t>
  </si>
  <si>
    <t>Número de sedes educativas dotadas</t>
  </si>
  <si>
    <t>0314 - 5 - 3 1 3 6 21 1 91 - 20
0314 - 5 - 3 1 3 6 21 1 91 - 88</t>
  </si>
  <si>
    <t xml:space="preserve"> Dotar sedes educativas del Departamento del Quindío con la colección semilla</t>
  </si>
  <si>
    <t>Adquisiciíon Colección Semilla</t>
  </si>
  <si>
    <t>Apoyar los  procesos de capacitación  de quinientos (500) docentes del departamento</t>
  </si>
  <si>
    <t>Número de docentes apoyados</t>
  </si>
  <si>
    <t>Apoyar los  procesos de capacitación  de docentes de instituciones educativas del departamento del quindío en estrategias de lectura y escritur</t>
  </si>
  <si>
    <t>Apoyo procesos de capacitación de docentes en   Inglés,  Español y Literatura,  Convivencia Escolar,  PRAES</t>
  </si>
  <si>
    <t xml:space="preserve">Realizar seis (6)  festivales o encuentros de literatura y escritura el departamento </t>
  </si>
  <si>
    <t>Número de festivales o encuentros realizados</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</si>
  <si>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</si>
  <si>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</si>
  <si>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</si>
  <si>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</si>
  <si>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</si>
  <si>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</si>
  <si>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</si>
  <si>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xml:space="preserve">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</si>
  <si>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</si>
  <si>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</si>
  <si>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Recurso SGP</t>
  </si>
  <si>
    <t>1404 - 5 - 3 1 3 6 22 1 93 - 25</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</si>
  <si>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</si>
  <si>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</si>
  <si>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</si>
  <si>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</si>
  <si>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</si>
  <si>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</si>
  <si>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</si>
  <si>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</si>
  <si>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</si>
  <si>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</si>
  <si>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</si>
  <si>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</si>
  <si>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</si>
  <si>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</si>
  <si>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</si>
  <si>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0314 - 5 - 3 1 3 7 23 1 94 - 88</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</si>
  <si>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</si>
  <si>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</si>
  <si>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</si>
  <si>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</si>
  <si>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</si>
  <si>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</si>
  <si>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</si>
  <si>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</si>
  <si>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</si>
  <si>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</si>
  <si>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</si>
  <si>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</si>
  <si>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</si>
  <si>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</si>
  <si>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</si>
  <si>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</si>
  <si>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</si>
  <si>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Fortalecer cincuenta (50)   instituciones educativas en competencias básicas</t>
  </si>
  <si>
    <t>Número de instituciones educativas fortalecidas</t>
  </si>
  <si>
    <t>0314 - 5 - 3 1 3 7 24 1 95 - 20</t>
  </si>
  <si>
    <t>Capacitación y Logistica, Talleres de Referentes, Planeación Curricular, Evaluación de los Aprendizajes</t>
  </si>
  <si>
    <t>Fortalecer cuarenta y siete (47) instituciones educativas con el programa de articulación con la educación superior y Educacion para el Trabajo y Desarrollo  Humano ETDH</t>
  </si>
  <si>
    <t>0314 - 5 - 3 1 3 7 24 1 95 - 88</t>
  </si>
  <si>
    <t>Atención estudiantes de educación media de las Instituciones Educativas Oficiales del Departamento, en programas de nivel técnico  profesional</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</si>
  <si>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</si>
  <si>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</si>
  <si>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</si>
  <si>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</si>
  <si>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</si>
  <si>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0314 - 5 - 3 1 3 7 24 1 - 122-20</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</si>
  <si>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</si>
  <si>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</si>
  <si>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</si>
  <si>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Recurso Ordinadio</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</si>
  <si>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</si>
  <si>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</si>
  <si>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</si>
  <si>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</si>
  <si>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</si>
  <si>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</si>
  <si>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</si>
  <si>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</si>
  <si>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</si>
  <si>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</si>
  <si>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</si>
  <si>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</si>
  <si>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0314 - 5 - 3 1 3 8 25 1 96 - 88</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</si>
  <si>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</si>
  <si>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</si>
  <si>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</si>
  <si>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</si>
  <si>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Número de sedes educativas implementadas y/o mejoradas</t>
  </si>
  <si>
    <t>1404 - 5 - 3 1 3 8 26 1 97 - 25</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</si>
  <si>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</si>
  <si>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</si>
  <si>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</si>
  <si>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</si>
  <si>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</si>
  <si>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</si>
  <si>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</si>
  <si>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</si>
  <si>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 xml:space="preserve">1400 - 5 - 3 1 3 8 27 1 - 25
1401 - 5 - 3 1 3 8 27 1 - 25
</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</si>
  <si>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</si>
  <si>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</si>
  <si>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</si>
  <si>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</si>
  <si>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</si>
  <si>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</si>
  <si>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</si>
  <si>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</si>
  <si>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0314 - 5 - 3 1 3 8 28 1 100 - 20</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</si>
  <si>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</si>
  <si>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</si>
  <si>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</si>
  <si>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</si>
  <si>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</si>
  <si>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</si>
  <si>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</si>
  <si>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</si>
  <si>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</si>
  <si>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</si>
  <si>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</si>
  <si>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</si>
  <si>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</si>
  <si>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</si>
  <si>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</si>
  <si>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</si>
  <si>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</si>
  <si>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ALVARO ARIAS VELASQUEZ</t>
  </si>
  <si>
    <t>SECRETARIO DE EDUCACION DEPARTAMENTAL</t>
  </si>
  <si>
    <t>PROGRAMACIÓN PLAN DE ACCIÓN
SECRETARIA DE EDUCACION
I TRIMESTRE 2018</t>
  </si>
  <si>
    <t>Secretario de Educación</t>
  </si>
  <si>
    <t>Festival de Literatura y Escritura</t>
  </si>
  <si>
    <t xml:space="preserve">Recurso Ordinario
Superavit Ordinario
</t>
  </si>
  <si>
    <t>35
20
88
134
91
137
80
81</t>
  </si>
  <si>
    <t>Recurso Monopolio
Recurso Ordinario
Superavit Ordinario
Material Rio
Recurso Fondo de Educación PAE 
 superavit PAE  
Superavit Intereses SGP
Superavit Monopolio</t>
  </si>
  <si>
    <t>0314 - 5 - 3 1 3 5 16 1 84 - 20
0314 - 5 - 3 1 3 5 16 1 84 - 88
0314 - 5 - 3 1 3 5 16 1 84 - 91
1404 - 5 - 3 1 3 5 16 1 84 - 134</t>
  </si>
  <si>
    <t xml:space="preserve">1402 - 5 - 3 1 3 5 18 1 87 25
1402 - 5 - 3 1 3 5 18 1 87 26
1402 - 5 - 3 1 3 5 18 1 87 146
1402 - 5 - 3 1 3 5 18 1 87 9
1403 - 5 - 3 1 3 5 18 1 87 25
1403 - 5 - 3 1 3 5 18 1 87 26
</t>
  </si>
  <si>
    <t>25
26
146
9</t>
  </si>
  <si>
    <t xml:space="preserve">SGP Educación CSF
SGP Educación SSF
SGP Cancelaciones  SSF
Superavit SGP
</t>
  </si>
  <si>
    <t>1404 - 5 - 3 1 3 6 21 1 91 - 25
1404 - 5 - 3 1 3 6 21 1 91 - 21</t>
  </si>
  <si>
    <t>PROGRAMACIÓN PLAN DE ACCIÓN
IDTQ 
I TRIMESTRE 2018</t>
  </si>
  <si>
    <t>PROGRAMACION PLAN DE ACCIÓN
INDEPORTES
I TRIMESTRE 2018</t>
  </si>
  <si>
    <t>Otros Gastos implementacion tablero de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</si>
</sst>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dd/mm/yyyy;@"/>
    <numFmt numFmtId="166" formatCode="_(* #,##0_);_(* \(#,##0\);_(* &quot;-&quot;??_);_(@_)"/>
    <numFmt numFmtId="167" formatCode="_ [$€-2]\ * #,##0.00_ ;_ [$€-2]\ * \-#,##0.00_ ;_ [$€-2]\ * &quot;-&quot;??_ "/>
    <numFmt numFmtId="168" formatCode="dd/mm/yy;@"/>
    <numFmt numFmtId="169" formatCode="0.0"/>
    <numFmt numFmtId="170" formatCode="&quot;$&quot;#,##0.00"/>
    <numFmt numFmtId="171" formatCode="d/mm/yyyy;@"/>
    <numFmt numFmtId="172" formatCode="0.0%"/>
    <numFmt numFmtId="173" formatCode="00"/>
    <numFmt numFmtId="174" formatCode="#,##0.00;[Red]#,##0.00"/>
    <numFmt numFmtId="175" formatCode="#,##0;[Red]#,##0"/>
    <numFmt numFmtId="176" formatCode="0;[Red]0"/>
    <numFmt numFmtId="177" formatCode="#,##0_);\-#,##0"/>
    <numFmt numFmtId="178" formatCode="_-* #,##0_-;\-* #,##0_-;_-* &quot;-&quot;??_-;_-@_-"/>
    <numFmt numFmtId="179" formatCode="&quot;$&quot;#,##0"/>
    <numFmt numFmtId="180" formatCode="_-* #,##0_-;\-* #,##0_-;_-* &quot;-&quot;_-;_-@_-"/>
    <numFmt numFmtId="181" formatCode="0_ ;\-0\ "/>
    <numFmt numFmtId="182" formatCode="_-* #,##0.00\ _€_-;\-* #,##0.00\ _€_-;_-* &quot;-&quot;??\ _€_-;_-@_-"/>
    <numFmt numFmtId="183" formatCode="#,##0_ ;\-#,##0\ "/>
    <numFmt numFmtId="184" formatCode="_-&quot;$&quot;* #,##0_-;\-&quot;$&quot;* #,##0_-;_-&quot;$&quot;* &quot;-&quot;_-;_-@_-"/>
    <numFmt numFmtId="185" formatCode="_-[$$-240A]* #,##0.00_-;\-[$$-240A]* #,##0.00_-;_-[$$-240A]* &quot;-&quot;??_-;_-@_-"/>
    <numFmt numFmtId="186" formatCode="_(* #,##0.00_);_(* \(#,##0.00\);_(* &quot;-&quot;_);_(@_)"/>
    <numFmt numFmtId="187" formatCode="&quot;$&quot;\ #,##0.00"/>
  </numFmts>
  <fonts count="4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color indexed="8"/>
      <name val="Arial"/>
      <family val="2"/>
    </font>
    <font>
      <b/>
      <sz val="11"/>
      <name val="Calibri"/>
      <family val="2"/>
      <scheme val="minor"/>
    </font>
    <font>
      <sz val="11"/>
      <name val="Calibri"/>
      <family val="2"/>
      <scheme val="minor"/>
    </font>
    <font>
      <sz val="11"/>
      <color rgb="FF000000"/>
      <name val="Arial"/>
      <family val="2"/>
    </font>
    <font>
      <sz val="11"/>
      <name val="Arial"/>
      <family val="2"/>
    </font>
    <font>
      <sz val="11"/>
      <color indexed="8"/>
      <name val="Times New Roman"/>
      <family val="1"/>
    </font>
    <font>
      <b/>
      <sz val="11"/>
      <color indexed="8"/>
      <name val="Times New Roman"/>
      <family val="1"/>
    </font>
    <font>
      <sz val="11"/>
      <color rgb="FFFF0000"/>
      <name val="Arial"/>
      <family val="2"/>
    </font>
    <font>
      <u val="singleAccounting"/>
      <sz val="11"/>
      <color theme="1"/>
      <name val="Arial"/>
      <family val="2"/>
    </font>
    <font>
      <b/>
      <sz val="14"/>
      <name val="Arial"/>
      <family val="2"/>
    </font>
    <font>
      <b/>
      <sz val="11"/>
      <name val="Arial"/>
      <family val="2"/>
    </font>
    <font>
      <b/>
      <sz val="12"/>
      <name val="Arial"/>
      <family val="2"/>
    </font>
    <font>
      <b/>
      <sz val="12"/>
      <name val="Calibri"/>
      <family val="2"/>
      <scheme val="minor"/>
    </font>
    <font>
      <sz val="12"/>
      <name val="Arial"/>
      <family val="2"/>
    </font>
    <font>
      <sz val="12"/>
      <name val="Calibri"/>
      <family val="2"/>
      <scheme val="minor"/>
    </font>
    <font>
      <sz val="10"/>
      <name val="Arial"/>
      <family val="2"/>
    </font>
    <font>
      <b/>
      <sz val="16"/>
      <name val="Arial"/>
      <family val="2"/>
    </font>
    <font>
      <sz val="16"/>
      <name val="Arial"/>
      <family val="2"/>
    </font>
    <font>
      <b/>
      <sz val="14"/>
      <color theme="1"/>
      <name val="Arial"/>
      <family val="2"/>
    </font>
    <font>
      <b/>
      <sz val="10"/>
      <color theme="1"/>
      <name val="Arial"/>
      <family val="2"/>
    </font>
    <font>
      <sz val="12"/>
      <color theme="1"/>
      <name val="Calibri"/>
      <family val="2"/>
      <scheme val="minor"/>
    </font>
    <font>
      <b/>
      <sz val="10"/>
      <color indexed="8"/>
      <name val="Arial"/>
      <family val="2"/>
    </font>
    <font>
      <b/>
      <sz val="12"/>
      <color theme="1"/>
      <name val="Arial"/>
      <family val="2"/>
    </font>
    <font>
      <sz val="12"/>
      <color theme="1"/>
      <name val="Arial"/>
      <family val="2"/>
    </font>
    <font>
      <sz val="12"/>
      <color rgb="FF000000"/>
      <name val="Arial"/>
      <family val="2"/>
    </font>
    <font>
      <sz val="12"/>
      <color indexed="8"/>
      <name val="Arial"/>
      <family val="2"/>
    </font>
    <font>
      <sz val="11"/>
      <color indexed="8"/>
      <name val="Calibri"/>
      <family val="2"/>
    </font>
    <font>
      <b/>
      <sz val="12"/>
      <color indexed="8"/>
      <name val="Arial"/>
      <family val="2"/>
    </font>
    <font>
      <sz val="10"/>
      <color theme="1"/>
      <name val="Arial"/>
      <family val="2"/>
    </font>
    <font>
      <sz val="12"/>
      <color rgb="FFFF0000"/>
      <name val="Arial"/>
      <family val="2"/>
    </font>
    <font>
      <sz val="12"/>
      <color rgb="FF000000"/>
      <name val="Calibri"/>
      <family val="2"/>
      <scheme val="minor"/>
    </font>
    <font>
      <sz val="12"/>
      <color theme="1"/>
      <name val="Arial Narrow"/>
      <family val="2"/>
    </font>
    <font>
      <b/>
      <sz val="12"/>
      <color theme="1"/>
      <name val="Arial Narrow"/>
      <family val="2"/>
    </font>
    <font>
      <i/>
      <sz val="12"/>
      <color theme="1"/>
      <name val="Arial Narrow"/>
      <family val="2"/>
    </font>
    <font>
      <sz val="12"/>
      <name val="Calibri"/>
      <family val="2"/>
    </font>
    <font>
      <sz val="12"/>
      <color rgb="FF000000"/>
      <name val="Calibri"/>
      <family val="2"/>
    </font>
    <font>
      <sz val="12"/>
      <color indexed="10"/>
      <name val="Arial"/>
      <family val="2"/>
    </font>
    <font>
      <sz val="12"/>
      <color rgb="FFFF0000"/>
      <name val="Calibri"/>
      <family val="2"/>
      <scheme val="minor"/>
    </font>
    <font>
      <b/>
      <sz val="12"/>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FF9900"/>
        <bgColor indexed="64"/>
      </patternFill>
    </fill>
    <fill>
      <patternFill patternType="solid">
        <fgColor rgb="FF92D05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249977111117893"/>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thin">
        <color indexed="64"/>
      </top>
      <bottom/>
      <diagonal/>
    </border>
    <border>
      <left style="thin">
        <color indexed="64"/>
      </left>
      <right style="medium">
        <color indexed="64"/>
      </right>
      <top style="thin">
        <color indexed="64"/>
      </top>
      <bottom/>
      <diagonal/>
    </border>
    <border>
      <left style="medium">
        <color indexed="64"/>
      </left>
      <right/>
      <top style="thin">
        <color auto="1"/>
      </top>
      <bottom/>
      <diagonal/>
    </border>
    <border>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style="medium">
        <color indexed="64"/>
      </right>
      <top/>
      <bottom style="thin">
        <color indexed="64"/>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auto="1"/>
      </left>
      <right/>
      <top style="thin">
        <color auto="1"/>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4">
    <xf numFmtId="0" fontId="0" fillId="0" borderId="0"/>
    <xf numFmtId="43" fontId="1" fillId="0" borderId="0" applyFont="0" applyFill="0" applyBorder="0" applyAlignment="0" applyProtection="0"/>
    <xf numFmtId="9" fontId="1" fillId="0" borderId="0" applyFont="0" applyFill="0" applyBorder="0" applyAlignment="0" applyProtection="0"/>
    <xf numFmtId="167"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0" fontId="19" fillId="0" borderId="0"/>
    <xf numFmtId="43" fontId="30" fillId="0" borderId="0" applyFont="0" applyFill="0" applyBorder="0" applyAlignment="0" applyProtection="0"/>
    <xf numFmtId="44" fontId="1" fillId="0" borderId="0" applyFont="0" applyFill="0" applyBorder="0" applyAlignment="0" applyProtection="0"/>
    <xf numFmtId="9" fontId="30" fillId="0" borderId="0" applyFont="0" applyFill="0" applyBorder="0" applyAlignment="0" applyProtection="0"/>
    <xf numFmtId="180" fontId="1" fillId="0" borderId="0" applyFont="0" applyFill="0" applyBorder="0" applyAlignment="0" applyProtection="0"/>
    <xf numFmtId="0" fontId="32" fillId="0" borderId="0"/>
    <xf numFmtId="182" fontId="1" fillId="0" borderId="0" applyFont="0" applyFill="0" applyBorder="0" applyAlignment="0" applyProtection="0"/>
    <xf numFmtId="0" fontId="19" fillId="0" borderId="0"/>
    <xf numFmtId="42" fontId="1" fillId="0" borderId="0" applyFont="0" applyFill="0" applyBorder="0" applyAlignment="0" applyProtection="0"/>
    <xf numFmtId="0" fontId="1" fillId="0" borderId="0"/>
    <xf numFmtId="0" fontId="19" fillId="0" borderId="0"/>
    <xf numFmtId="0" fontId="19" fillId="0" borderId="0"/>
    <xf numFmtId="43" fontId="30" fillId="0" borderId="0" applyFont="0" applyFill="0" applyBorder="0" applyAlignment="0" applyProtection="0"/>
    <xf numFmtId="9" fontId="30" fillId="0" borderId="0" applyFont="0" applyFill="0" applyBorder="0" applyAlignment="0" applyProtection="0"/>
    <xf numFmtId="42" fontId="1" fillId="0" borderId="0" applyFont="0" applyFill="0" applyBorder="0" applyAlignment="0" applyProtection="0"/>
  </cellStyleXfs>
  <cellXfs count="3479">
    <xf numFmtId="0" fontId="0" fillId="0" borderId="0" xfId="0"/>
    <xf numFmtId="0" fontId="2" fillId="0" borderId="4" xfId="0" applyFont="1" applyFill="1" applyBorder="1" applyAlignment="1">
      <alignment vertical="center"/>
    </xf>
    <xf numFmtId="0" fontId="2" fillId="0" borderId="5" xfId="0" applyFont="1" applyFill="1" applyBorder="1" applyAlignment="1">
      <alignment horizontal="justify" vertical="center"/>
    </xf>
    <xf numFmtId="0" fontId="3" fillId="2" borderId="0" xfId="0" applyFont="1" applyFill="1"/>
    <xf numFmtId="0" fontId="3" fillId="0" borderId="0" xfId="0" applyFont="1"/>
    <xf numFmtId="0" fontId="2" fillId="0" borderId="8" xfId="0" applyFont="1" applyFill="1" applyBorder="1" applyAlignment="1">
      <alignment horizontal="left" vertical="center"/>
    </xf>
    <xf numFmtId="0" fontId="2" fillId="0" borderId="9" xfId="0" applyFont="1" applyFill="1" applyBorder="1" applyAlignment="1">
      <alignment horizontal="justify" vertical="center"/>
    </xf>
    <xf numFmtId="0" fontId="2" fillId="0" borderId="8" xfId="0" applyFont="1" applyFill="1" applyBorder="1" applyAlignment="1">
      <alignment vertical="center"/>
    </xf>
    <xf numFmtId="0" fontId="2" fillId="0" borderId="9" xfId="0" applyFont="1" applyFill="1" applyBorder="1" applyAlignment="1">
      <alignment horizontal="justify" vertical="center" wrapText="1"/>
    </xf>
    <xf numFmtId="3" fontId="4" fillId="0" borderId="9" xfId="0" applyNumberFormat="1" applyFont="1" applyFill="1" applyBorder="1" applyAlignment="1">
      <alignment horizontal="justify" vertical="center" wrapText="1"/>
    </xf>
    <xf numFmtId="0" fontId="3" fillId="2" borderId="14" xfId="0" applyFont="1" applyFill="1" applyBorder="1" applyAlignment="1"/>
    <xf numFmtId="0" fontId="3" fillId="2" borderId="15" xfId="0" applyFont="1" applyFill="1" applyBorder="1" applyAlignment="1"/>
    <xf numFmtId="0" fontId="3" fillId="2" borderId="17" xfId="0" applyFont="1" applyFill="1" applyBorder="1" applyAlignment="1">
      <alignment horizontal="justify"/>
    </xf>
    <xf numFmtId="0" fontId="3" fillId="2" borderId="0" xfId="0" applyFont="1" applyFill="1" applyAlignment="1">
      <alignment horizontal="center"/>
    </xf>
    <xf numFmtId="0" fontId="3" fillId="0" borderId="0" xfId="0" applyFont="1" applyAlignment="1">
      <alignment horizontal="center"/>
    </xf>
    <xf numFmtId="0" fontId="2" fillId="3" borderId="19" xfId="0" applyFont="1" applyFill="1" applyBorder="1" applyAlignment="1">
      <alignment horizontal="center" vertical="center" textRotation="90" wrapText="1"/>
    </xf>
    <xf numFmtId="49" fontId="2" fillId="3" borderId="19" xfId="0" applyNumberFormat="1" applyFont="1" applyFill="1" applyBorder="1" applyAlignment="1">
      <alignment horizontal="center" vertical="center" textRotation="90" wrapText="1"/>
    </xf>
    <xf numFmtId="1" fontId="2" fillId="5" borderId="22" xfId="0" applyNumberFormat="1" applyFont="1" applyFill="1" applyBorder="1" applyAlignment="1">
      <alignment horizontal="left" vertical="center" wrapText="1"/>
    </xf>
    <xf numFmtId="0" fontId="2" fillId="5" borderId="23" xfId="0" applyFont="1" applyFill="1" applyBorder="1" applyAlignment="1">
      <alignment vertical="center"/>
    </xf>
    <xf numFmtId="0" fontId="2" fillId="5" borderId="23" xfId="0" applyFont="1" applyFill="1" applyBorder="1" applyAlignment="1">
      <alignment horizontal="justify" vertical="center"/>
    </xf>
    <xf numFmtId="0" fontId="2" fillId="5" borderId="23" xfId="0" applyFont="1" applyFill="1" applyBorder="1" applyAlignment="1">
      <alignment horizontal="center" vertical="center"/>
    </xf>
    <xf numFmtId="9" fontId="2" fillId="5" borderId="23" xfId="2" applyFont="1" applyFill="1" applyBorder="1" applyAlignment="1">
      <alignment horizontal="center" vertical="center"/>
    </xf>
    <xf numFmtId="3" fontId="3" fillId="5" borderId="23" xfId="0" applyNumberFormat="1" applyFont="1" applyFill="1" applyBorder="1" applyAlignment="1">
      <alignment vertical="center"/>
    </xf>
    <xf numFmtId="3" fontId="2" fillId="5" borderId="23" xfId="0" applyNumberFormat="1" applyFont="1" applyFill="1" applyBorder="1" applyAlignment="1">
      <alignment horizontal="right" vertical="center"/>
    </xf>
    <xf numFmtId="1" fontId="2" fillId="5" borderId="23" xfId="0" applyNumberFormat="1" applyFont="1" applyFill="1" applyBorder="1" applyAlignment="1">
      <alignment horizontal="center" vertical="center"/>
    </xf>
    <xf numFmtId="0" fontId="2" fillId="5" borderId="24" xfId="0" applyFont="1" applyFill="1" applyBorder="1" applyAlignment="1">
      <alignment horizontal="justify" vertical="center"/>
    </xf>
    <xf numFmtId="0" fontId="3" fillId="0" borderId="0" xfId="0" applyFont="1" applyBorder="1"/>
    <xf numFmtId="1" fontId="2" fillId="2" borderId="2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1" fontId="2" fillId="6" borderId="14" xfId="0" applyNumberFormat="1" applyFont="1" applyFill="1" applyBorder="1" applyAlignment="1">
      <alignment horizontal="left" vertical="center"/>
    </xf>
    <xf numFmtId="0" fontId="2" fillId="6" borderId="15" xfId="0" applyFont="1" applyFill="1" applyBorder="1" applyAlignment="1">
      <alignment vertical="center"/>
    </xf>
    <xf numFmtId="0" fontId="2" fillId="6" borderId="15" xfId="0" applyFont="1" applyFill="1" applyBorder="1" applyAlignment="1">
      <alignment horizontal="justify" vertical="center"/>
    </xf>
    <xf numFmtId="0" fontId="2" fillId="6" borderId="15" xfId="0" applyFont="1" applyFill="1" applyBorder="1" applyAlignment="1">
      <alignment horizontal="center" vertical="center"/>
    </xf>
    <xf numFmtId="9" fontId="2" fillId="6" borderId="15" xfId="2" applyFont="1" applyFill="1" applyBorder="1" applyAlignment="1">
      <alignment horizontal="center" vertical="center"/>
    </xf>
    <xf numFmtId="3" fontId="3" fillId="6" borderId="15" xfId="0" applyNumberFormat="1" applyFont="1" applyFill="1" applyBorder="1" applyAlignment="1">
      <alignment vertical="center"/>
    </xf>
    <xf numFmtId="3" fontId="2" fillId="6" borderId="15" xfId="0" applyNumberFormat="1" applyFont="1" applyFill="1" applyBorder="1" applyAlignment="1">
      <alignment horizontal="right" vertical="center"/>
    </xf>
    <xf numFmtId="1" fontId="2" fillId="6" borderId="15" xfId="0" applyNumberFormat="1" applyFont="1" applyFill="1" applyBorder="1" applyAlignment="1">
      <alignment horizontal="center" vertical="center"/>
    </xf>
    <xf numFmtId="165" fontId="2" fillId="6" borderId="15" xfId="0" applyNumberFormat="1" applyFont="1" applyFill="1" applyBorder="1" applyAlignment="1">
      <alignment vertical="center"/>
    </xf>
    <xf numFmtId="0" fontId="2" fillId="6" borderId="17" xfId="0" applyFont="1" applyFill="1" applyBorder="1" applyAlignment="1">
      <alignment horizontal="justify" vertical="center"/>
    </xf>
    <xf numFmtId="1" fontId="2" fillId="2" borderId="6"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1" fontId="2" fillId="7" borderId="25" xfId="0" applyNumberFormat="1" applyFont="1" applyFill="1" applyBorder="1" applyAlignment="1">
      <alignment horizontal="left" vertical="center" wrapText="1"/>
    </xf>
    <xf numFmtId="1" fontId="2" fillId="7" borderId="11" xfId="0" applyNumberFormat="1" applyFont="1" applyFill="1" applyBorder="1" applyAlignment="1">
      <alignment vertical="center"/>
    </xf>
    <xf numFmtId="0" fontId="2" fillId="7" borderId="11" xfId="0" applyFont="1" applyFill="1" applyBorder="1" applyAlignment="1">
      <alignment vertical="center"/>
    </xf>
    <xf numFmtId="0" fontId="2" fillId="7" borderId="11" xfId="0" applyFont="1" applyFill="1" applyBorder="1" applyAlignment="1">
      <alignment horizontal="justify" vertical="center"/>
    </xf>
    <xf numFmtId="0" fontId="2" fillId="7" borderId="11" xfId="0" applyFont="1" applyFill="1" applyBorder="1" applyAlignment="1">
      <alignment horizontal="center" vertical="center"/>
    </xf>
    <xf numFmtId="9" fontId="2" fillId="7" borderId="11" xfId="2" applyFont="1" applyFill="1" applyBorder="1" applyAlignment="1">
      <alignment horizontal="center" vertical="center"/>
    </xf>
    <xf numFmtId="3" fontId="3" fillId="7" borderId="11" xfId="0" applyNumberFormat="1" applyFont="1" applyFill="1" applyBorder="1" applyAlignment="1">
      <alignment vertical="center"/>
    </xf>
    <xf numFmtId="3" fontId="2" fillId="7" borderId="11" xfId="0" applyNumberFormat="1" applyFont="1" applyFill="1" applyBorder="1" applyAlignment="1">
      <alignment horizontal="right" vertical="center"/>
    </xf>
    <xf numFmtId="1" fontId="2" fillId="7" borderId="0" xfId="0" applyNumberFormat="1" applyFont="1" applyFill="1" applyBorder="1" applyAlignment="1">
      <alignment horizontal="center" vertical="center"/>
    </xf>
    <xf numFmtId="165" fontId="2" fillId="7" borderId="11" xfId="0" applyNumberFormat="1" applyFont="1" applyFill="1" applyBorder="1" applyAlignment="1">
      <alignment vertical="center"/>
    </xf>
    <xf numFmtId="0" fontId="2" fillId="7" borderId="26" xfId="0" applyFont="1" applyFill="1" applyBorder="1" applyAlignment="1">
      <alignment horizontal="justify" vertical="center"/>
    </xf>
    <xf numFmtId="1" fontId="3" fillId="2" borderId="6"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justify" vertical="center" wrapText="1"/>
    </xf>
    <xf numFmtId="43" fontId="3" fillId="2" borderId="25" xfId="1" applyFont="1" applyFill="1" applyBorder="1" applyAlignment="1">
      <alignment horizontal="right" vertical="center" wrapText="1"/>
    </xf>
    <xf numFmtId="1" fontId="3" fillId="2" borderId="8"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xf numFmtId="0" fontId="7" fillId="2" borderId="8" xfId="0" applyFont="1" applyFill="1" applyBorder="1" applyAlignment="1">
      <alignment horizontal="justify" vertical="center" wrapText="1"/>
    </xf>
    <xf numFmtId="43" fontId="3" fillId="0" borderId="14" xfId="1" applyFont="1" applyFill="1" applyBorder="1" applyAlignment="1">
      <alignment horizontal="right" vertical="center" wrapText="1"/>
    </xf>
    <xf numFmtId="0" fontId="3" fillId="2" borderId="8" xfId="0" applyFont="1" applyFill="1" applyBorder="1" applyAlignment="1">
      <alignment horizontal="justify" vertical="center" wrapText="1"/>
    </xf>
    <xf numFmtId="43" fontId="3" fillId="2" borderId="14" xfId="1" applyFont="1" applyFill="1" applyBorder="1" applyAlignment="1">
      <alignment horizontal="right" vertical="center" wrapText="1"/>
    </xf>
    <xf numFmtId="0" fontId="3" fillId="2" borderId="20" xfId="0" applyFont="1" applyFill="1" applyBorder="1" applyAlignment="1">
      <alignment horizontal="center" vertical="center" wrapText="1"/>
    </xf>
    <xf numFmtId="0" fontId="3" fillId="2" borderId="19" xfId="0" applyFont="1" applyFill="1" applyBorder="1" applyAlignment="1">
      <alignment horizontal="justify" vertical="center" wrapText="1"/>
    </xf>
    <xf numFmtId="0" fontId="3" fillId="2" borderId="19" xfId="0" applyFont="1" applyFill="1" applyBorder="1" applyAlignment="1">
      <alignment horizontal="center" vertical="center" wrapText="1"/>
    </xf>
    <xf numFmtId="0" fontId="3" fillId="2" borderId="19" xfId="0" applyFont="1" applyFill="1" applyBorder="1" applyAlignment="1" applyProtection="1">
      <alignment vertical="center" wrapText="1"/>
    </xf>
    <xf numFmtId="9" fontId="3" fillId="2" borderId="19" xfId="2" applyFont="1" applyFill="1" applyBorder="1" applyAlignment="1">
      <alignment horizontal="center" vertical="center" wrapText="1"/>
    </xf>
    <xf numFmtId="3" fontId="3" fillId="2" borderId="19" xfId="0" applyNumberFormat="1" applyFont="1" applyFill="1" applyBorder="1" applyAlignment="1">
      <alignment vertical="center" wrapText="1"/>
    </xf>
    <xf numFmtId="43" fontId="3" fillId="2" borderId="19" xfId="1" applyFont="1" applyFill="1" applyBorder="1" applyAlignment="1">
      <alignment horizontal="right" vertical="center" wrapText="1"/>
    </xf>
    <xf numFmtId="1" fontId="3" fillId="2" borderId="29" xfId="0" applyNumberFormat="1" applyFont="1" applyFill="1" applyBorder="1" applyAlignment="1">
      <alignment horizontal="center" vertical="center" wrapText="1"/>
    </xf>
    <xf numFmtId="166" fontId="6" fillId="0" borderId="19" xfId="0" applyNumberFormat="1" applyFont="1" applyBorder="1" applyAlignment="1">
      <alignment horizontal="center" vertical="center"/>
    </xf>
    <xf numFmtId="3" fontId="0" fillId="0" borderId="19" xfId="0" applyNumberFormat="1" applyFont="1" applyBorder="1" applyAlignment="1">
      <alignment horizontal="center" vertical="center"/>
    </xf>
    <xf numFmtId="14" fontId="3" fillId="2" borderId="19" xfId="0" applyNumberFormat="1" applyFont="1" applyFill="1" applyBorder="1" applyAlignment="1">
      <alignment horizontal="center" vertical="center"/>
    </xf>
    <xf numFmtId="0" fontId="3" fillId="2" borderId="21" xfId="0" applyFont="1" applyFill="1" applyBorder="1" applyAlignment="1">
      <alignment horizontal="justify" vertical="center" wrapText="1"/>
    </xf>
    <xf numFmtId="0" fontId="3" fillId="2" borderId="6" xfId="0" applyFont="1" applyFill="1" applyBorder="1"/>
    <xf numFmtId="0" fontId="3" fillId="2" borderId="7" xfId="0" applyFont="1" applyFill="1" applyBorder="1"/>
    <xf numFmtId="1" fontId="2" fillId="6" borderId="11" xfId="0" applyNumberFormat="1" applyFont="1" applyFill="1" applyBorder="1" applyAlignment="1">
      <alignment horizontal="center" vertical="center"/>
    </xf>
    <xf numFmtId="1" fontId="2" fillId="6" borderId="11" xfId="0" applyNumberFormat="1" applyFont="1" applyFill="1" applyBorder="1" applyAlignment="1">
      <alignment horizontal="left" vertical="center"/>
    </xf>
    <xf numFmtId="0" fontId="2" fillId="6" borderId="11" xfId="0" applyFont="1" applyFill="1" applyBorder="1" applyAlignment="1">
      <alignment vertical="center"/>
    </xf>
    <xf numFmtId="43" fontId="2" fillId="6" borderId="15" xfId="1" applyFont="1" applyFill="1" applyBorder="1" applyAlignment="1">
      <alignment horizontal="right" vertical="center"/>
    </xf>
    <xf numFmtId="0" fontId="2" fillId="2" borderId="31" xfId="0" applyFont="1" applyFill="1" applyBorder="1" applyAlignment="1">
      <alignment horizontal="center" vertical="center" wrapText="1"/>
    </xf>
    <xf numFmtId="0" fontId="2" fillId="2" borderId="20" xfId="0" applyFont="1" applyFill="1" applyBorder="1" applyAlignment="1">
      <alignment horizontal="center" vertical="center" wrapText="1"/>
    </xf>
    <xf numFmtId="1" fontId="2" fillId="7" borderId="0" xfId="0" applyNumberFormat="1" applyFont="1" applyFill="1" applyBorder="1" applyAlignment="1">
      <alignment horizontal="left" vertical="center" wrapText="1" indent="1"/>
    </xf>
    <xf numFmtId="43" fontId="2" fillId="7" borderId="11" xfId="1" applyFont="1" applyFill="1" applyBorder="1" applyAlignment="1">
      <alignment horizontal="right" vertical="center"/>
    </xf>
    <xf numFmtId="1" fontId="2" fillId="7" borderId="11" xfId="0" applyNumberFormat="1"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7" fillId="8" borderId="8" xfId="0" applyFont="1" applyFill="1" applyBorder="1" applyAlignment="1">
      <alignment horizontal="justify" vertical="center" wrapText="1"/>
    </xf>
    <xf numFmtId="43" fontId="8" fillId="0" borderId="8" xfId="1" applyFont="1" applyFill="1" applyBorder="1" applyAlignment="1">
      <alignment vertical="center"/>
    </xf>
    <xf numFmtId="0" fontId="3" fillId="2" borderId="8" xfId="0" applyFont="1" applyFill="1" applyBorder="1" applyAlignment="1">
      <alignment vertical="center" wrapText="1"/>
    </xf>
    <xf numFmtId="43" fontId="8" fillId="2" borderId="8" xfId="1" applyFont="1" applyFill="1" applyBorder="1" applyAlignment="1">
      <alignment vertical="center"/>
    </xf>
    <xf numFmtId="0" fontId="7" fillId="8" borderId="19" xfId="0" applyFont="1" applyFill="1" applyBorder="1" applyAlignment="1">
      <alignment horizontal="justify" vertical="center" wrapText="1"/>
    </xf>
    <xf numFmtId="0" fontId="7" fillId="0" borderId="19" xfId="0" applyFont="1" applyFill="1" applyBorder="1" applyAlignment="1">
      <alignment horizontal="justify" vertical="center" wrapText="1"/>
    </xf>
    <xf numFmtId="43" fontId="8" fillId="2" borderId="19" xfId="1" applyFont="1" applyFill="1" applyBorder="1" applyAlignment="1">
      <alignment vertical="center"/>
    </xf>
    <xf numFmtId="1" fontId="3" fillId="2" borderId="19" xfId="0" applyNumberFormat="1" applyFont="1" applyFill="1" applyBorder="1" applyAlignment="1">
      <alignment horizontal="center" vertical="center" wrapText="1"/>
    </xf>
    <xf numFmtId="0" fontId="3" fillId="2" borderId="19" xfId="0" applyFont="1" applyFill="1" applyBorder="1" applyAlignment="1">
      <alignment vertical="center" wrapText="1"/>
    </xf>
    <xf numFmtId="0" fontId="3" fillId="2" borderId="32" xfId="0" applyFont="1" applyFill="1" applyBorder="1" applyAlignment="1">
      <alignment horizontal="justify" vertical="center"/>
    </xf>
    <xf numFmtId="0" fontId="3" fillId="2" borderId="33" xfId="0" applyFont="1" applyFill="1" applyBorder="1" applyAlignment="1">
      <alignment horizontal="justify" vertical="center"/>
    </xf>
    <xf numFmtId="0" fontId="3" fillId="2" borderId="33" xfId="0" applyFont="1" applyFill="1" applyBorder="1" applyAlignment="1">
      <alignment horizontal="justify"/>
    </xf>
    <xf numFmtId="0" fontId="3" fillId="2" borderId="33" xfId="0" applyFont="1" applyFill="1" applyBorder="1"/>
    <xf numFmtId="0" fontId="3" fillId="2" borderId="33" xfId="0" applyFont="1" applyFill="1" applyBorder="1" applyAlignment="1">
      <alignment horizontal="center"/>
    </xf>
    <xf numFmtId="9" fontId="3" fillId="2" borderId="34" xfId="2" applyFont="1" applyFill="1" applyBorder="1" applyAlignment="1">
      <alignment horizontal="center" vertical="center"/>
    </xf>
    <xf numFmtId="3" fontId="9" fillId="0" borderId="35" xfId="0" applyNumberFormat="1" applyFont="1" applyBorder="1" applyAlignment="1">
      <alignment horizontal="right" vertical="center"/>
    </xf>
    <xf numFmtId="0" fontId="3" fillId="2" borderId="34" xfId="0" applyFont="1" applyFill="1" applyBorder="1" applyAlignment="1">
      <alignment horizontal="justify" vertical="center"/>
    </xf>
    <xf numFmtId="43" fontId="10" fillId="0" borderId="35" xfId="1" applyFont="1" applyBorder="1" applyAlignment="1">
      <alignment horizontal="right" vertical="center"/>
    </xf>
    <xf numFmtId="1" fontId="3" fillId="2" borderId="32" xfId="0" applyNumberFormat="1" applyFont="1" applyFill="1" applyBorder="1" applyAlignment="1">
      <alignment horizontal="center" vertical="center"/>
    </xf>
    <xf numFmtId="0" fontId="3" fillId="2" borderId="34" xfId="0" applyFont="1" applyFill="1" applyBorder="1" applyAlignment="1">
      <alignment horizontal="justify"/>
    </xf>
    <xf numFmtId="0" fontId="3" fillId="2" borderId="0" xfId="0" applyFont="1" applyFill="1" applyAlignment="1">
      <alignment horizontal="justify" vertical="center"/>
    </xf>
    <xf numFmtId="0" fontId="3" fillId="2" borderId="0" xfId="0" applyFont="1" applyFill="1" applyAlignment="1">
      <alignment horizontal="justify"/>
    </xf>
    <xf numFmtId="9" fontId="3" fillId="2" borderId="0" xfId="2" applyFont="1" applyFill="1" applyAlignment="1">
      <alignment horizontal="center" vertical="center"/>
    </xf>
    <xf numFmtId="3" fontId="3" fillId="2" borderId="0" xfId="0" applyNumberFormat="1" applyFont="1" applyFill="1" applyAlignment="1">
      <alignment vertical="center"/>
    </xf>
    <xf numFmtId="3" fontId="9" fillId="0" borderId="0" xfId="0" applyNumberFormat="1" applyFont="1" applyBorder="1" applyAlignment="1">
      <alignment horizontal="right" vertical="center"/>
    </xf>
    <xf numFmtId="1" fontId="3" fillId="2" borderId="0" xfId="0" applyNumberFormat="1" applyFont="1" applyFill="1" applyAlignment="1">
      <alignment horizontal="center" vertical="center"/>
    </xf>
    <xf numFmtId="167" fontId="3" fillId="2" borderId="0" xfId="3" applyFont="1" applyFill="1"/>
    <xf numFmtId="167" fontId="3" fillId="2" borderId="0" xfId="3" applyFont="1" applyFill="1" applyAlignment="1">
      <alignment horizontal="justify"/>
    </xf>
    <xf numFmtId="167" fontId="11" fillId="2" borderId="0" xfId="3" applyFont="1" applyFill="1"/>
    <xf numFmtId="167" fontId="12" fillId="2" borderId="11" xfId="3" applyFont="1" applyFill="1" applyBorder="1"/>
    <xf numFmtId="167" fontId="12" fillId="2" borderId="11" xfId="3" applyFont="1" applyFill="1" applyBorder="1" applyAlignment="1">
      <alignment horizontal="justify"/>
    </xf>
    <xf numFmtId="9" fontId="12" fillId="2" borderId="11" xfId="2" applyFont="1" applyFill="1" applyBorder="1" applyAlignment="1"/>
    <xf numFmtId="3" fontId="12" fillId="2" borderId="11" xfId="3" applyNumberFormat="1" applyFont="1" applyFill="1" applyBorder="1" applyAlignment="1">
      <alignment vertical="center"/>
    </xf>
    <xf numFmtId="3" fontId="3" fillId="2" borderId="0" xfId="3" applyNumberFormat="1" applyFont="1" applyFill="1" applyAlignment="1">
      <alignment horizontal="right" vertical="center"/>
    </xf>
    <xf numFmtId="167" fontId="3" fillId="2" borderId="0" xfId="3" applyFont="1" applyFill="1" applyAlignment="1">
      <alignment horizontal="justify" vertical="center"/>
    </xf>
    <xf numFmtId="167" fontId="11" fillId="2" borderId="0" xfId="3" applyFont="1" applyFill="1" applyAlignment="1">
      <alignment horizontal="justify" vertical="center"/>
    </xf>
    <xf numFmtId="167" fontId="3" fillId="2" borderId="0" xfId="3" applyFont="1" applyFill="1" applyAlignment="1"/>
    <xf numFmtId="167" fontId="11" fillId="2" borderId="0" xfId="3" applyFont="1" applyFill="1" applyAlignment="1">
      <alignment horizontal="right" vertical="center"/>
    </xf>
    <xf numFmtId="168" fontId="3" fillId="2" borderId="0" xfId="3" applyNumberFormat="1" applyFont="1" applyFill="1" applyAlignment="1">
      <alignment horizontal="center"/>
    </xf>
    <xf numFmtId="168" fontId="11" fillId="2" borderId="0" xfId="3" applyNumberFormat="1" applyFont="1" applyFill="1" applyAlignment="1">
      <alignment horizontal="center"/>
    </xf>
    <xf numFmtId="167" fontId="3" fillId="2" borderId="0" xfId="3" applyFont="1" applyFill="1" applyAlignment="1">
      <alignment horizontal="left"/>
    </xf>
    <xf numFmtId="3" fontId="3" fillId="2" borderId="0" xfId="0" applyNumberFormat="1" applyFont="1" applyFill="1" applyAlignment="1">
      <alignment horizontal="right" vertical="center"/>
    </xf>
    <xf numFmtId="164" fontId="3" fillId="2" borderId="0" xfId="0" applyNumberFormat="1" applyFont="1" applyFill="1" applyAlignment="1">
      <alignment horizontal="center" vertical="center"/>
    </xf>
    <xf numFmtId="0" fontId="3" fillId="0" borderId="0" xfId="0" applyFont="1" applyAlignment="1">
      <alignment horizontal="justify"/>
    </xf>
    <xf numFmtId="1" fontId="3" fillId="0" borderId="0" xfId="0" applyNumberFormat="1" applyFont="1"/>
    <xf numFmtId="0" fontId="14" fillId="0" borderId="4" xfId="0" applyFont="1" applyFill="1" applyBorder="1" applyAlignment="1">
      <alignment vertical="center"/>
    </xf>
    <xf numFmtId="0" fontId="14" fillId="0" borderId="5" xfId="0" applyFont="1" applyFill="1" applyBorder="1" applyAlignment="1">
      <alignment vertical="center"/>
    </xf>
    <xf numFmtId="0" fontId="8" fillId="2" borderId="0" xfId="0" applyFont="1" applyFill="1"/>
    <xf numFmtId="0" fontId="8" fillId="0" borderId="0" xfId="0" applyFont="1"/>
    <xf numFmtId="0" fontId="14" fillId="0" borderId="8" xfId="0" applyFont="1" applyFill="1" applyBorder="1" applyAlignment="1">
      <alignment horizontal="left" vertical="center"/>
    </xf>
    <xf numFmtId="0" fontId="14" fillId="0" borderId="9"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wrapText="1"/>
    </xf>
    <xf numFmtId="0" fontId="14" fillId="0" borderId="19" xfId="0" applyFont="1" applyFill="1" applyBorder="1" applyAlignment="1">
      <alignment vertical="center"/>
    </xf>
    <xf numFmtId="3" fontId="14" fillId="0" borderId="21" xfId="0" applyNumberFormat="1" applyFont="1" applyFill="1" applyBorder="1" applyAlignment="1">
      <alignment horizontal="left" vertical="center" wrapText="1"/>
    </xf>
    <xf numFmtId="0" fontId="14" fillId="0" borderId="25" xfId="0" applyFont="1" applyBorder="1" applyAlignment="1">
      <alignment vertical="center"/>
    </xf>
    <xf numFmtId="0" fontId="14" fillId="0" borderId="11" xfId="0" applyFont="1" applyBorder="1" applyAlignment="1">
      <alignment horizontal="center" vertical="center"/>
    </xf>
    <xf numFmtId="0" fontId="14" fillId="0" borderId="11" xfId="0" applyFont="1" applyBorder="1" applyAlignment="1">
      <alignment vertical="center"/>
    </xf>
    <xf numFmtId="43" fontId="14" fillId="0" borderId="11" xfId="1" applyFont="1" applyBorder="1" applyAlignment="1">
      <alignment horizontal="center" vertical="center"/>
    </xf>
    <xf numFmtId="0" fontId="14" fillId="0" borderId="11" xfId="0" applyFont="1" applyBorder="1" applyAlignment="1">
      <alignment horizontal="justify" vertical="center"/>
    </xf>
    <xf numFmtId="0" fontId="14" fillId="0" borderId="26" xfId="0" applyFont="1" applyBorder="1" applyAlignment="1">
      <alignment vertical="center"/>
    </xf>
    <xf numFmtId="1" fontId="15" fillId="3" borderId="19" xfId="0" applyNumberFormat="1" applyFont="1" applyFill="1" applyBorder="1" applyAlignment="1">
      <alignment horizontal="center" vertical="center" wrapText="1"/>
    </xf>
    <xf numFmtId="1" fontId="15" fillId="3" borderId="29" xfId="0" applyNumberFormat="1" applyFont="1" applyFill="1" applyBorder="1" applyAlignment="1">
      <alignment horizontal="center" vertical="center" wrapText="1"/>
    </xf>
    <xf numFmtId="0" fontId="15" fillId="3" borderId="19" xfId="0" applyFont="1" applyFill="1" applyBorder="1" applyAlignment="1">
      <alignment horizontal="center" vertical="center" textRotation="90" wrapText="1"/>
    </xf>
    <xf numFmtId="49" fontId="15" fillId="3" borderId="19" xfId="0" applyNumberFormat="1" applyFont="1" applyFill="1" applyBorder="1" applyAlignment="1">
      <alignment horizontal="center" vertical="center" textRotation="90" wrapText="1"/>
    </xf>
    <xf numFmtId="0" fontId="15" fillId="3" borderId="31" xfId="0" applyFont="1" applyFill="1" applyBorder="1" applyAlignment="1">
      <alignment horizontal="center" vertical="center" textRotation="90" wrapText="1"/>
    </xf>
    <xf numFmtId="1" fontId="14" fillId="5" borderId="22" xfId="0" applyNumberFormat="1" applyFont="1" applyFill="1" applyBorder="1" applyAlignment="1">
      <alignment horizontal="center" vertical="center" wrapText="1"/>
    </xf>
    <xf numFmtId="0" fontId="14" fillId="5" borderId="23" xfId="0" applyFont="1" applyFill="1" applyBorder="1" applyAlignment="1">
      <alignment vertical="center"/>
    </xf>
    <xf numFmtId="0" fontId="15" fillId="5" borderId="15" xfId="0" applyFont="1" applyFill="1" applyBorder="1" applyAlignment="1">
      <alignment vertical="center"/>
    </xf>
    <xf numFmtId="0" fontId="17" fillId="5" borderId="15" xfId="0" applyFont="1" applyFill="1" applyBorder="1" applyAlignment="1">
      <alignment horizontal="center" vertical="center"/>
    </xf>
    <xf numFmtId="0" fontId="15" fillId="5" borderId="15" xfId="0" applyFont="1" applyFill="1" applyBorder="1" applyAlignment="1">
      <alignment horizontal="justify" vertical="center"/>
    </xf>
    <xf numFmtId="0" fontId="15" fillId="5" borderId="15" xfId="0" applyFont="1" applyFill="1" applyBorder="1" applyAlignment="1">
      <alignment horizontal="center" vertical="center"/>
    </xf>
    <xf numFmtId="169" fontId="15" fillId="5" borderId="15" xfId="0" applyNumberFormat="1" applyFont="1" applyFill="1" applyBorder="1" applyAlignment="1">
      <alignment horizontal="center" vertical="center"/>
    </xf>
    <xf numFmtId="164" fontId="15" fillId="5" borderId="15" xfId="0" applyNumberFormat="1" applyFont="1" applyFill="1" applyBorder="1" applyAlignment="1">
      <alignment vertical="center"/>
    </xf>
    <xf numFmtId="43" fontId="15" fillId="5" borderId="15" xfId="1" applyFont="1" applyFill="1" applyBorder="1" applyAlignment="1">
      <alignment horizontal="center" vertical="center"/>
    </xf>
    <xf numFmtId="1" fontId="15" fillId="5" borderId="15" xfId="0" applyNumberFormat="1" applyFont="1" applyFill="1" applyBorder="1" applyAlignment="1">
      <alignment horizontal="center" vertical="center"/>
    </xf>
    <xf numFmtId="165" fontId="15" fillId="5" borderId="15" xfId="0" applyNumberFormat="1" applyFont="1" applyFill="1" applyBorder="1" applyAlignment="1">
      <alignment vertical="center"/>
    </xf>
    <xf numFmtId="0" fontId="15" fillId="5" borderId="17" xfId="0" applyFont="1" applyFill="1" applyBorder="1" applyAlignment="1">
      <alignment horizontal="justify" vertical="center"/>
    </xf>
    <xf numFmtId="0" fontId="8" fillId="0" borderId="0" xfId="0" applyFont="1" applyBorder="1"/>
    <xf numFmtId="1" fontId="14" fillId="2" borderId="22" xfId="0" applyNumberFormat="1"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0" xfId="0" applyFont="1" applyFill="1" applyBorder="1" applyAlignment="1">
      <alignment horizontal="center" vertical="center" wrapText="1"/>
    </xf>
    <xf numFmtId="1" fontId="15" fillId="6" borderId="0" xfId="0" applyNumberFormat="1" applyFont="1" applyFill="1" applyBorder="1" applyAlignment="1">
      <alignment horizontal="center" vertical="center"/>
    </xf>
    <xf numFmtId="0" fontId="15" fillId="6" borderId="0" xfId="0" applyFont="1" applyFill="1" applyBorder="1" applyAlignment="1">
      <alignment vertical="center"/>
    </xf>
    <xf numFmtId="0" fontId="15" fillId="6" borderId="11" xfId="0" applyFont="1" applyFill="1" applyBorder="1" applyAlignment="1">
      <alignment vertical="center"/>
    </xf>
    <xf numFmtId="0" fontId="17" fillId="6" borderId="11" xfId="0" applyFont="1" applyFill="1" applyBorder="1" applyAlignment="1">
      <alignment horizontal="center" vertical="center"/>
    </xf>
    <xf numFmtId="0" fontId="15" fillId="6" borderId="11" xfId="0" applyFont="1" applyFill="1" applyBorder="1" applyAlignment="1">
      <alignment horizontal="justify" vertical="center"/>
    </xf>
    <xf numFmtId="0" fontId="15" fillId="6" borderId="11" xfId="0" applyFont="1" applyFill="1" applyBorder="1" applyAlignment="1">
      <alignment horizontal="center" vertical="center"/>
    </xf>
    <xf numFmtId="169" fontId="15" fillId="6" borderId="11" xfId="0" applyNumberFormat="1" applyFont="1" applyFill="1" applyBorder="1" applyAlignment="1">
      <alignment horizontal="center" vertical="center"/>
    </xf>
    <xf numFmtId="164" fontId="15" fillId="6" borderId="11" xfId="0" applyNumberFormat="1" applyFont="1" applyFill="1" applyBorder="1" applyAlignment="1">
      <alignment vertical="center"/>
    </xf>
    <xf numFmtId="43" fontId="15" fillId="6" borderId="11" xfId="1" applyFont="1" applyFill="1" applyBorder="1" applyAlignment="1">
      <alignment horizontal="center" vertical="center"/>
    </xf>
    <xf numFmtId="1" fontId="15" fillId="6" borderId="11" xfId="0" applyNumberFormat="1" applyFont="1" applyFill="1" applyBorder="1" applyAlignment="1">
      <alignment horizontal="center" vertical="center"/>
    </xf>
    <xf numFmtId="165" fontId="15" fillId="6" borderId="11" xfId="0" applyNumberFormat="1" applyFont="1" applyFill="1" applyBorder="1" applyAlignment="1">
      <alignment vertical="center"/>
    </xf>
    <xf numFmtId="0" fontId="15" fillId="6" borderId="26" xfId="0" applyFont="1" applyFill="1" applyBorder="1" applyAlignment="1">
      <alignment horizontal="justify" vertical="center"/>
    </xf>
    <xf numFmtId="1" fontId="14" fillId="2" borderId="6"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3" xfId="0" applyFont="1" applyFill="1" applyBorder="1"/>
    <xf numFmtId="0" fontId="15" fillId="2" borderId="20" xfId="0" applyFont="1" applyFill="1" applyBorder="1" applyAlignment="1">
      <alignment horizontal="center" vertical="center" wrapText="1"/>
    </xf>
    <xf numFmtId="1" fontId="15" fillId="7" borderId="23" xfId="0" applyNumberFormat="1" applyFont="1" applyFill="1" applyBorder="1" applyAlignment="1">
      <alignment horizontal="center" vertical="center" wrapText="1"/>
    </xf>
    <xf numFmtId="0" fontId="15" fillId="7" borderId="23" xfId="0" applyFont="1" applyFill="1" applyBorder="1" applyAlignment="1">
      <alignment vertical="center"/>
    </xf>
    <xf numFmtId="0" fontId="17" fillId="7" borderId="15" xfId="0" applyFont="1" applyFill="1" applyBorder="1" applyAlignment="1">
      <alignment horizontal="center" vertical="center"/>
    </xf>
    <xf numFmtId="0" fontId="15" fillId="7" borderId="15" xfId="0" applyFont="1" applyFill="1" applyBorder="1" applyAlignment="1">
      <alignment horizontal="justify" vertical="center"/>
    </xf>
    <xf numFmtId="0" fontId="15" fillId="7" borderId="15" xfId="0" applyFont="1" applyFill="1" applyBorder="1" applyAlignment="1">
      <alignment horizontal="center" vertical="center"/>
    </xf>
    <xf numFmtId="169" fontId="15" fillId="7" borderId="15" xfId="0" applyNumberFormat="1" applyFont="1" applyFill="1" applyBorder="1" applyAlignment="1">
      <alignment horizontal="center" vertical="center"/>
    </xf>
    <xf numFmtId="164" fontId="15" fillId="7" borderId="15" xfId="0" applyNumberFormat="1" applyFont="1" applyFill="1" applyBorder="1" applyAlignment="1">
      <alignment vertical="center"/>
    </xf>
    <xf numFmtId="43" fontId="15" fillId="7" borderId="15" xfId="1" applyFont="1" applyFill="1" applyBorder="1" applyAlignment="1">
      <alignment horizontal="center" vertical="center"/>
    </xf>
    <xf numFmtId="1" fontId="15" fillId="7" borderId="23" xfId="0" applyNumberFormat="1" applyFont="1" applyFill="1" applyBorder="1" applyAlignment="1">
      <alignment horizontal="center" vertical="center"/>
    </xf>
    <xf numFmtId="0" fontId="15" fillId="7" borderId="23" xfId="0" applyFont="1" applyFill="1" applyBorder="1" applyAlignment="1">
      <alignment horizontal="justify" vertical="center"/>
    </xf>
    <xf numFmtId="0" fontId="15" fillId="7" borderId="15" xfId="0" applyFont="1" applyFill="1" applyBorder="1" applyAlignment="1">
      <alignment vertical="center"/>
    </xf>
    <xf numFmtId="165" fontId="15" fillId="7" borderId="15" xfId="0" applyNumberFormat="1" applyFont="1" applyFill="1" applyBorder="1" applyAlignment="1">
      <alignment vertical="center"/>
    </xf>
    <xf numFmtId="0" fontId="15" fillId="7" borderId="17" xfId="0" applyFont="1" applyFill="1" applyBorder="1" applyAlignment="1">
      <alignment horizontal="justify" vertical="center"/>
    </xf>
    <xf numFmtId="1" fontId="8" fillId="2" borderId="6"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17" fillId="2" borderId="27" xfId="0" applyFont="1" applyFill="1" applyBorder="1" applyAlignment="1">
      <alignment horizontal="justify" vertical="center" wrapText="1"/>
    </xf>
    <xf numFmtId="0" fontId="17" fillId="2" borderId="0" xfId="0" applyFont="1" applyFill="1" applyBorder="1" applyAlignment="1">
      <alignment horizontal="justify" vertical="center" wrapText="1"/>
    </xf>
    <xf numFmtId="0" fontId="17" fillId="2" borderId="31" xfId="0" applyFont="1" applyFill="1" applyBorder="1" applyAlignment="1">
      <alignment horizontal="justify" vertical="center" wrapText="1"/>
    </xf>
    <xf numFmtId="0" fontId="17" fillId="0" borderId="19" xfId="0" applyFont="1" applyFill="1" applyBorder="1" applyAlignment="1">
      <alignment vertical="center" wrapText="1"/>
    </xf>
    <xf numFmtId="9" fontId="17" fillId="2" borderId="19" xfId="2" applyFont="1" applyFill="1" applyBorder="1" applyAlignment="1">
      <alignment horizontal="center" vertical="center" wrapText="1"/>
    </xf>
    <xf numFmtId="1" fontId="17" fillId="0" borderId="31" xfId="0" applyNumberFormat="1" applyFont="1" applyFill="1" applyBorder="1" applyAlignment="1">
      <alignment vertical="center" wrapText="1"/>
    </xf>
    <xf numFmtId="0" fontId="19" fillId="2" borderId="0" xfId="0" applyFont="1" applyFill="1"/>
    <xf numFmtId="1" fontId="17" fillId="0" borderId="27" xfId="0" applyNumberFormat="1" applyFont="1" applyFill="1" applyBorder="1" applyAlignment="1">
      <alignment horizontal="center" vertical="center" wrapText="1"/>
    </xf>
    <xf numFmtId="0" fontId="17" fillId="2" borderId="7" xfId="0" applyFont="1" applyFill="1" applyBorder="1" applyAlignment="1">
      <alignment horizontal="justify" vertical="center" wrapText="1"/>
    </xf>
    <xf numFmtId="1" fontId="17" fillId="0" borderId="27" xfId="0" applyNumberFormat="1" applyFont="1" applyFill="1" applyBorder="1" applyAlignment="1">
      <alignment vertical="center" wrapText="1"/>
    </xf>
    <xf numFmtId="49" fontId="17" fillId="0" borderId="27" xfId="0" applyNumberFormat="1" applyFont="1" applyFill="1" applyBorder="1" applyAlignment="1">
      <alignment horizontal="center" vertical="center" wrapText="1"/>
    </xf>
    <xf numFmtId="0" fontId="17" fillId="0" borderId="29" xfId="0" applyFont="1" applyFill="1" applyBorder="1" applyAlignment="1">
      <alignment horizontal="left" vertical="center" wrapText="1"/>
    </xf>
    <xf numFmtId="0" fontId="17" fillId="0" borderId="29" xfId="0" applyFont="1" applyFill="1" applyBorder="1" applyAlignment="1">
      <alignment vertical="center" wrapText="1"/>
    </xf>
    <xf numFmtId="49" fontId="17" fillId="0" borderId="25" xfId="0" applyNumberFormat="1" applyFont="1" applyFill="1" applyBorder="1" applyAlignment="1">
      <alignment horizontal="center" vertical="center" wrapText="1"/>
    </xf>
    <xf numFmtId="9" fontId="17" fillId="2" borderId="8" xfId="2" applyFont="1" applyFill="1" applyBorder="1" applyAlignment="1">
      <alignment horizontal="center" vertical="center" wrapText="1"/>
    </xf>
    <xf numFmtId="0" fontId="19" fillId="0" borderId="0" xfId="0" applyFont="1"/>
    <xf numFmtId="0" fontId="17" fillId="0" borderId="28" xfId="0" applyFont="1" applyFill="1" applyBorder="1" applyAlignment="1">
      <alignment vertical="center" wrapText="1"/>
    </xf>
    <xf numFmtId="0" fontId="17" fillId="0" borderId="8" xfId="0" applyFont="1" applyFill="1" applyBorder="1" applyAlignment="1">
      <alignment horizontal="center" vertical="center" wrapText="1"/>
    </xf>
    <xf numFmtId="164" fontId="19" fillId="2" borderId="0" xfId="0" applyNumberFormat="1" applyFont="1" applyFill="1" applyAlignment="1">
      <alignment horizontal="center" vertical="center"/>
    </xf>
    <xf numFmtId="1" fontId="8" fillId="2" borderId="10" xfId="0" applyNumberFormat="1" applyFont="1" applyFill="1" applyBorder="1" applyAlignment="1">
      <alignment horizontal="center" vertical="center" wrapText="1"/>
    </xf>
    <xf numFmtId="0" fontId="17" fillId="2" borderId="25" xfId="0" applyFont="1" applyFill="1" applyBorder="1" applyAlignment="1">
      <alignment horizontal="justify" vertical="center" wrapText="1"/>
    </xf>
    <xf numFmtId="0" fontId="14" fillId="5" borderId="6" xfId="0" applyFont="1" applyFill="1" applyBorder="1" applyAlignment="1">
      <alignment vertical="center"/>
    </xf>
    <xf numFmtId="0" fontId="14" fillId="5" borderId="0" xfId="0" applyFont="1" applyFill="1" applyBorder="1" applyAlignment="1">
      <alignment vertical="center"/>
    </xf>
    <xf numFmtId="0" fontId="15" fillId="5" borderId="0" xfId="0" applyFont="1" applyFill="1" applyBorder="1" applyAlignment="1">
      <alignment horizontal="justify" vertical="center"/>
    </xf>
    <xf numFmtId="0" fontId="15" fillId="5" borderId="11" xfId="0" applyFont="1" applyFill="1" applyBorder="1" applyAlignment="1">
      <alignment horizontal="justify" vertical="center"/>
    </xf>
    <xf numFmtId="0" fontId="17" fillId="5" borderId="11" xfId="0" applyFont="1" applyFill="1" applyBorder="1" applyAlignment="1">
      <alignment horizontal="center" vertical="center"/>
    </xf>
    <xf numFmtId="0" fontId="15" fillId="5" borderId="11" xfId="0" applyFont="1" applyFill="1" applyBorder="1" applyAlignment="1">
      <alignment horizontal="center" vertical="center"/>
    </xf>
    <xf numFmtId="43" fontId="15" fillId="5" borderId="11" xfId="1" applyFont="1" applyFill="1" applyBorder="1" applyAlignment="1">
      <alignment horizontal="justify" vertical="center"/>
    </xf>
    <xf numFmtId="43" fontId="15" fillId="5" borderId="11" xfId="1" applyFont="1" applyFill="1" applyBorder="1" applyAlignment="1">
      <alignment horizontal="center" vertical="center"/>
    </xf>
    <xf numFmtId="3" fontId="15" fillId="5" borderId="11" xfId="0" applyNumberFormat="1" applyFont="1" applyFill="1" applyBorder="1" applyAlignment="1">
      <alignment horizontal="center" vertical="center"/>
    </xf>
    <xf numFmtId="1" fontId="17" fillId="5" borderId="11" xfId="0" applyNumberFormat="1" applyFont="1" applyFill="1" applyBorder="1" applyAlignment="1">
      <alignment horizontal="center" vertical="center"/>
    </xf>
    <xf numFmtId="0" fontId="17" fillId="5" borderId="11" xfId="0" applyFont="1" applyFill="1" applyBorder="1" applyAlignment="1">
      <alignment horizontal="left" vertical="center"/>
    </xf>
    <xf numFmtId="0" fontId="15" fillId="5" borderId="11" xfId="0" applyFont="1" applyFill="1" applyBorder="1" applyAlignment="1">
      <alignment vertical="center"/>
    </xf>
    <xf numFmtId="165" fontId="15" fillId="5" borderId="11" xfId="0" applyNumberFormat="1" applyFont="1" applyFill="1" applyBorder="1" applyAlignment="1">
      <alignment vertical="center"/>
    </xf>
    <xf numFmtId="0" fontId="17" fillId="5" borderId="0" xfId="0" applyFont="1" applyFill="1" applyBorder="1" applyAlignment="1">
      <alignment vertical="center"/>
    </xf>
    <xf numFmtId="0" fontId="17" fillId="5" borderId="11" xfId="0" applyFont="1" applyFill="1" applyBorder="1" applyAlignment="1">
      <alignment vertical="center"/>
    </xf>
    <xf numFmtId="0" fontId="17" fillId="5" borderId="26" xfId="0" applyFont="1" applyFill="1" applyBorder="1" applyAlignment="1">
      <alignment horizontal="justify" vertical="center"/>
    </xf>
    <xf numFmtId="164" fontId="8" fillId="2" borderId="0" xfId="0" applyNumberFormat="1" applyFont="1" applyFill="1" applyAlignment="1">
      <alignment horizontal="center" vertical="center"/>
    </xf>
    <xf numFmtId="0" fontId="15" fillId="6" borderId="15" xfId="0" applyFont="1" applyFill="1" applyBorder="1" applyAlignment="1">
      <alignment horizontal="justify" vertical="center"/>
    </xf>
    <xf numFmtId="43" fontId="15" fillId="6" borderId="11" xfId="1" applyFont="1" applyFill="1" applyBorder="1" applyAlignment="1">
      <alignment horizontal="justify" vertical="center"/>
    </xf>
    <xf numFmtId="3" fontId="15" fillId="6" borderId="11" xfId="0" applyNumberFormat="1" applyFont="1" applyFill="1" applyBorder="1" applyAlignment="1">
      <alignment horizontal="center" vertical="center"/>
    </xf>
    <xf numFmtId="1" fontId="17" fillId="6" borderId="11" xfId="0" applyNumberFormat="1" applyFont="1" applyFill="1" applyBorder="1" applyAlignment="1">
      <alignment horizontal="center" vertical="center"/>
    </xf>
    <xf numFmtId="0" fontId="17" fillId="6" borderId="11" xfId="0" applyFont="1" applyFill="1" applyBorder="1" applyAlignment="1">
      <alignment horizontal="left" vertical="center"/>
    </xf>
    <xf numFmtId="0" fontId="17" fillId="6" borderId="23" xfId="0" applyFont="1" applyFill="1" applyBorder="1" applyAlignment="1">
      <alignment vertical="center"/>
    </xf>
    <xf numFmtId="0" fontId="17" fillId="6" borderId="15" xfId="0" applyFont="1" applyFill="1" applyBorder="1" applyAlignment="1">
      <alignment vertical="center"/>
    </xf>
    <xf numFmtId="0" fontId="17" fillId="6" borderId="17" xfId="0" applyFont="1" applyFill="1" applyBorder="1" applyAlignment="1">
      <alignment horizontal="justify" vertical="center"/>
    </xf>
    <xf numFmtId="0" fontId="15" fillId="7" borderId="14" xfId="0" applyFont="1" applyFill="1" applyBorder="1" applyAlignment="1">
      <alignment horizontal="justify" vertical="center"/>
    </xf>
    <xf numFmtId="43" fontId="15" fillId="7" borderId="15" xfId="1" applyFont="1" applyFill="1" applyBorder="1" applyAlignment="1">
      <alignment horizontal="justify" vertical="center"/>
    </xf>
    <xf numFmtId="3" fontId="15" fillId="7" borderId="23" xfId="0" applyNumberFormat="1" applyFont="1" applyFill="1" applyBorder="1" applyAlignment="1">
      <alignment horizontal="center" vertical="center"/>
    </xf>
    <xf numFmtId="1" fontId="17" fillId="7" borderId="23" xfId="0" applyNumberFormat="1" applyFont="1" applyFill="1" applyBorder="1" applyAlignment="1">
      <alignment horizontal="center" vertical="center"/>
    </xf>
    <xf numFmtId="0" fontId="17" fillId="7" borderId="23" xfId="0" applyFont="1" applyFill="1" applyBorder="1" applyAlignment="1">
      <alignment horizontal="left" vertical="center"/>
    </xf>
    <xf numFmtId="0" fontId="17" fillId="7" borderId="23" xfId="0" applyFont="1" applyFill="1" applyBorder="1" applyAlignment="1">
      <alignment vertical="center"/>
    </xf>
    <xf numFmtId="0" fontId="17" fillId="7" borderId="15" xfId="0" applyFont="1" applyFill="1" applyBorder="1" applyAlignment="1">
      <alignment vertical="center"/>
    </xf>
    <xf numFmtId="0" fontId="17" fillId="7" borderId="17" xfId="0" applyFont="1" applyFill="1" applyBorder="1" applyAlignment="1">
      <alignment horizontal="justify" vertical="center"/>
    </xf>
    <xf numFmtId="0" fontId="17" fillId="2" borderId="19" xfId="0" applyFont="1" applyFill="1" applyBorder="1" applyAlignment="1">
      <alignment horizontal="justify" vertical="center" wrapText="1"/>
    </xf>
    <xf numFmtId="0" fontId="17" fillId="0" borderId="8" xfId="0" applyFont="1" applyFill="1" applyBorder="1" applyAlignment="1">
      <alignment horizontal="justify" vertical="center" wrapText="1"/>
    </xf>
    <xf numFmtId="43" fontId="17" fillId="0" borderId="14" xfId="1" applyFont="1" applyFill="1" applyBorder="1" applyAlignment="1">
      <alignment horizontal="center" vertical="center" wrapText="1"/>
    </xf>
    <xf numFmtId="0" fontId="17" fillId="2" borderId="29" xfId="0" applyFont="1" applyFill="1" applyBorder="1" applyAlignment="1">
      <alignment horizontal="justify" vertical="center" wrapText="1"/>
    </xf>
    <xf numFmtId="0" fontId="17" fillId="2" borderId="8" xfId="0" applyFont="1" applyFill="1" applyBorder="1" applyAlignment="1">
      <alignment horizontal="justify" vertical="center"/>
    </xf>
    <xf numFmtId="43" fontId="17" fillId="0" borderId="14" xfId="1" applyFont="1" applyFill="1" applyBorder="1" applyAlignment="1">
      <alignment horizontal="center" vertical="center"/>
    </xf>
    <xf numFmtId="43" fontId="17" fillId="2" borderId="14" xfId="1" applyFont="1" applyFill="1" applyBorder="1" applyAlignment="1">
      <alignment horizontal="center" vertical="center" wrapText="1"/>
    </xf>
    <xf numFmtId="0" fontId="8" fillId="2" borderId="6" xfId="0" applyFont="1" applyFill="1" applyBorder="1" applyAlignment="1">
      <alignment vertical="center" wrapText="1"/>
    </xf>
    <xf numFmtId="0" fontId="8" fillId="2" borderId="23" xfId="0" applyFont="1" applyFill="1" applyBorder="1" applyAlignment="1">
      <alignment vertical="center" wrapText="1"/>
    </xf>
    <xf numFmtId="0" fontId="8" fillId="2" borderId="20" xfId="0" applyFont="1" applyFill="1" applyBorder="1" applyAlignment="1">
      <alignment vertical="center" wrapText="1"/>
    </xf>
    <xf numFmtId="0" fontId="15" fillId="7" borderId="8" xfId="0" applyFont="1" applyFill="1" applyBorder="1" applyAlignment="1">
      <alignment horizontal="justify" vertical="center"/>
    </xf>
    <xf numFmtId="0" fontId="15" fillId="7" borderId="14" xfId="0" applyFont="1" applyFill="1" applyBorder="1" applyAlignment="1">
      <alignment vertical="center"/>
    </xf>
    <xf numFmtId="43" fontId="15" fillId="7" borderId="23" xfId="1" applyFont="1" applyFill="1" applyBorder="1" applyAlignment="1">
      <alignment horizontal="center" vertical="center"/>
    </xf>
    <xf numFmtId="0" fontId="15" fillId="7" borderId="0" xfId="0" applyFont="1" applyFill="1" applyBorder="1" applyAlignment="1">
      <alignment vertical="center"/>
    </xf>
    <xf numFmtId="0" fontId="17" fillId="7" borderId="0" xfId="0" applyFont="1" applyFill="1" applyBorder="1" applyAlignment="1">
      <alignment horizontal="center" vertical="center"/>
    </xf>
    <xf numFmtId="0" fontId="17" fillId="7" borderId="24" xfId="0" applyFont="1" applyFill="1" applyBorder="1" applyAlignment="1">
      <alignment horizontal="justify" vertical="center"/>
    </xf>
    <xf numFmtId="0" fontId="8" fillId="2" borderId="0" xfId="0" applyFont="1" applyFill="1" applyBorder="1" applyAlignment="1">
      <alignment vertical="center" wrapText="1"/>
    </xf>
    <xf numFmtId="0" fontId="8" fillId="2" borderId="7" xfId="0" applyFont="1" applyFill="1" applyBorder="1" applyAlignment="1">
      <alignment vertical="center" wrapText="1"/>
    </xf>
    <xf numFmtId="49" fontId="17" fillId="2" borderId="31" xfId="0" applyNumberFormat="1" applyFont="1" applyFill="1" applyBorder="1" applyAlignment="1">
      <alignment vertical="center" wrapText="1"/>
    </xf>
    <xf numFmtId="3" fontId="17" fillId="2" borderId="31" xfId="0" applyNumberFormat="1" applyFont="1" applyFill="1" applyBorder="1" applyAlignment="1">
      <alignment horizontal="center" vertical="center" wrapText="1"/>
    </xf>
    <xf numFmtId="49" fontId="17" fillId="2" borderId="27" xfId="0" applyNumberFormat="1" applyFont="1" applyFill="1" applyBorder="1" applyAlignment="1">
      <alignment vertical="center" wrapText="1"/>
    </xf>
    <xf numFmtId="3" fontId="17" fillId="2" borderId="27" xfId="0" applyNumberFormat="1" applyFont="1" applyFill="1" applyBorder="1" applyAlignment="1">
      <alignment horizontal="center" vertical="center" wrapText="1"/>
    </xf>
    <xf numFmtId="3" fontId="17" fillId="2" borderId="27" xfId="0" applyNumberFormat="1" applyFont="1" applyFill="1" applyBorder="1" applyAlignment="1">
      <alignment vertical="center" wrapText="1"/>
    </xf>
    <xf numFmtId="0" fontId="17" fillId="2" borderId="19" xfId="0" applyFont="1" applyFill="1" applyBorder="1" applyAlignment="1">
      <alignment vertical="center" wrapText="1"/>
    </xf>
    <xf numFmtId="0" fontId="17" fillId="2" borderId="29" xfId="0" applyFont="1" applyFill="1" applyBorder="1" applyAlignment="1">
      <alignment vertical="center" wrapText="1"/>
    </xf>
    <xf numFmtId="0" fontId="17" fillId="2" borderId="28" xfId="0" applyFont="1" applyFill="1" applyBorder="1" applyAlignment="1">
      <alignment vertical="center" wrapText="1"/>
    </xf>
    <xf numFmtId="0" fontId="17" fillId="0" borderId="19" xfId="0" applyFont="1" applyFill="1" applyBorder="1" applyAlignment="1">
      <alignment horizontal="justify" vertical="center" wrapText="1"/>
    </xf>
    <xf numFmtId="0" fontId="17" fillId="0" borderId="14" xfId="0" applyFont="1" applyFill="1" applyBorder="1" applyAlignment="1">
      <alignment horizontal="justify" vertical="center" wrapText="1"/>
    </xf>
    <xf numFmtId="43" fontId="17" fillId="0" borderId="8" xfId="1" applyFont="1" applyFill="1" applyBorder="1" applyAlignment="1">
      <alignment horizontal="center" vertical="center" wrapText="1"/>
    </xf>
    <xf numFmtId="3" fontId="17" fillId="2" borderId="0" xfId="0" applyNumberFormat="1" applyFont="1" applyFill="1" applyBorder="1" applyAlignment="1">
      <alignment horizontal="center" vertical="center" wrapText="1"/>
    </xf>
    <xf numFmtId="0" fontId="17" fillId="0" borderId="31" xfId="0" applyFont="1" applyFill="1" applyBorder="1" applyAlignment="1">
      <alignment horizontal="justify" vertical="center" wrapText="1"/>
    </xf>
    <xf numFmtId="43" fontId="17" fillId="0" borderId="8" xfId="1" applyFont="1" applyFill="1" applyBorder="1"/>
    <xf numFmtId="3" fontId="17" fillId="2" borderId="0" xfId="0" applyNumberFormat="1" applyFont="1" applyFill="1" applyBorder="1" applyAlignment="1">
      <alignment vertical="center" wrapText="1"/>
    </xf>
    <xf numFmtId="0" fontId="17" fillId="0" borderId="28" xfId="0" applyFont="1" applyFill="1" applyBorder="1" applyAlignment="1">
      <alignment horizontal="justify" vertical="center" wrapText="1"/>
    </xf>
    <xf numFmtId="3" fontId="17" fillId="0" borderId="27" xfId="0" applyNumberFormat="1" applyFont="1" applyFill="1" applyBorder="1" applyAlignment="1">
      <alignment vertical="center" wrapText="1"/>
    </xf>
    <xf numFmtId="3" fontId="17" fillId="0" borderId="27" xfId="0" applyNumberFormat="1" applyFont="1" applyFill="1" applyBorder="1" applyAlignment="1">
      <alignment horizontal="center" vertical="center" wrapText="1"/>
    </xf>
    <xf numFmtId="43" fontId="17" fillId="0" borderId="31" xfId="1" applyFont="1" applyFill="1" applyBorder="1" applyAlignment="1">
      <alignment horizontal="center" vertical="center" wrapText="1"/>
    </xf>
    <xf numFmtId="3" fontId="17" fillId="2" borderId="28" xfId="0" applyNumberFormat="1" applyFont="1" applyFill="1" applyBorder="1" applyAlignment="1">
      <alignment vertical="center" wrapText="1"/>
    </xf>
    <xf numFmtId="3" fontId="17" fillId="2" borderId="28" xfId="0" applyNumberFormat="1" applyFont="1" applyFill="1" applyBorder="1" applyAlignment="1">
      <alignment horizontal="center" vertical="center" wrapText="1"/>
    </xf>
    <xf numFmtId="1" fontId="14" fillId="5" borderId="6" xfId="0" applyNumberFormat="1" applyFont="1" applyFill="1" applyBorder="1" applyAlignment="1">
      <alignment horizontal="center" vertical="center" wrapText="1"/>
    </xf>
    <xf numFmtId="0" fontId="15" fillId="5" borderId="0" xfId="0" applyFont="1" applyFill="1" applyBorder="1" applyAlignment="1">
      <alignment vertical="center"/>
    </xf>
    <xf numFmtId="0" fontId="17" fillId="5" borderId="0" xfId="0" applyFont="1" applyFill="1" applyBorder="1" applyAlignment="1">
      <alignment horizontal="center" vertical="center"/>
    </xf>
    <xf numFmtId="0" fontId="15" fillId="5" borderId="0" xfId="0" applyFont="1" applyFill="1" applyBorder="1" applyAlignment="1">
      <alignment horizontal="center" vertical="center"/>
    </xf>
    <xf numFmtId="169" fontId="15" fillId="5" borderId="0" xfId="0" applyNumberFormat="1" applyFont="1" applyFill="1" applyBorder="1" applyAlignment="1">
      <alignment horizontal="center" vertical="center"/>
    </xf>
    <xf numFmtId="164" fontId="15" fillId="5" borderId="0" xfId="0" applyNumberFormat="1" applyFont="1" applyFill="1" applyBorder="1" applyAlignment="1">
      <alignment vertical="center"/>
    </xf>
    <xf numFmtId="43" fontId="15" fillId="5" borderId="0" xfId="1" applyFont="1" applyFill="1" applyBorder="1" applyAlignment="1">
      <alignment horizontal="center" vertical="center"/>
    </xf>
    <xf numFmtId="1" fontId="15" fillId="5" borderId="0" xfId="0" applyNumberFormat="1" applyFont="1" applyFill="1" applyBorder="1" applyAlignment="1">
      <alignment horizontal="center" vertical="center"/>
    </xf>
    <xf numFmtId="165" fontId="15" fillId="5" borderId="0" xfId="0" applyNumberFormat="1" applyFont="1" applyFill="1" applyBorder="1" applyAlignment="1">
      <alignment vertical="center"/>
    </xf>
    <xf numFmtId="0" fontId="15" fillId="5" borderId="38" xfId="0" applyFont="1" applyFill="1" applyBorder="1" applyAlignment="1">
      <alignment horizontal="justify" vertical="center"/>
    </xf>
    <xf numFmtId="0" fontId="15" fillId="6" borderId="8" xfId="0" applyFont="1" applyFill="1" applyBorder="1" applyAlignment="1">
      <alignment horizontal="justify" vertical="center"/>
    </xf>
    <xf numFmtId="0" fontId="15" fillId="6" borderId="15" xfId="0" applyFont="1" applyFill="1" applyBorder="1" applyAlignment="1">
      <alignment horizontal="center" vertical="center"/>
    </xf>
    <xf numFmtId="43" fontId="15" fillId="6" borderId="15" xfId="1" applyFont="1" applyFill="1" applyBorder="1" applyAlignment="1">
      <alignment horizontal="justify" vertical="center"/>
    </xf>
    <xf numFmtId="0" fontId="15" fillId="6" borderId="17" xfId="0" applyFont="1" applyFill="1" applyBorder="1" applyAlignment="1">
      <alignment horizontal="justify" vertical="center"/>
    </xf>
    <xf numFmtId="0" fontId="15" fillId="7" borderId="8" xfId="0" applyFont="1" applyFill="1" applyBorder="1" applyAlignment="1">
      <alignment vertical="center"/>
    </xf>
    <xf numFmtId="0" fontId="15" fillId="7" borderId="19" xfId="0" applyFont="1" applyFill="1" applyBorder="1" applyAlignment="1">
      <alignment vertical="center"/>
    </xf>
    <xf numFmtId="43" fontId="17" fillId="0" borderId="16" xfId="1" applyFont="1" applyFill="1" applyBorder="1" applyAlignment="1">
      <alignment vertical="center"/>
    </xf>
    <xf numFmtId="43" fontId="17" fillId="0" borderId="20" xfId="1" applyFont="1" applyFill="1" applyBorder="1" applyAlignment="1">
      <alignment vertical="center"/>
    </xf>
    <xf numFmtId="0" fontId="8" fillId="0" borderId="0" xfId="0" applyFont="1" applyFill="1"/>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3" xfId="0" applyFont="1" applyFill="1" applyBorder="1" applyAlignment="1">
      <alignment vertical="center" wrapText="1"/>
    </xf>
    <xf numFmtId="0" fontId="15" fillId="0" borderId="33" xfId="0" applyFont="1" applyFill="1" applyBorder="1" applyAlignment="1">
      <alignment horizontal="justify"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justify" vertical="center"/>
    </xf>
    <xf numFmtId="43" fontId="15" fillId="0" borderId="35" xfId="1" applyFont="1" applyFill="1" applyBorder="1" applyAlignment="1">
      <alignment horizontal="center" vertical="center"/>
    </xf>
    <xf numFmtId="0" fontId="15" fillId="0" borderId="32" xfId="0" applyFont="1" applyFill="1" applyBorder="1" applyAlignment="1">
      <alignment horizontal="justify" vertical="center"/>
    </xf>
    <xf numFmtId="170" fontId="15" fillId="0" borderId="32" xfId="0" applyNumberFormat="1" applyFont="1" applyFill="1" applyBorder="1" applyAlignment="1">
      <alignment horizontal="center" vertical="center"/>
    </xf>
    <xf numFmtId="170" fontId="15" fillId="0" borderId="33" xfId="0" applyNumberFormat="1" applyFont="1" applyFill="1" applyBorder="1" applyAlignment="1">
      <alignment horizontal="center" vertical="center"/>
    </xf>
    <xf numFmtId="0" fontId="15" fillId="0" borderId="33" xfId="0" applyFont="1" applyFill="1" applyBorder="1" applyAlignment="1">
      <alignment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8" fillId="0" borderId="0" xfId="0" applyFont="1" applyFill="1" applyBorder="1"/>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5" fillId="0" borderId="0" xfId="0" applyFont="1" applyFill="1" applyBorder="1" applyAlignment="1">
      <alignment horizontal="justify" vertical="center"/>
    </xf>
    <xf numFmtId="0" fontId="15" fillId="0" borderId="0" xfId="0" applyFont="1" applyFill="1" applyBorder="1" applyAlignment="1">
      <alignment horizontal="center" vertical="center"/>
    </xf>
    <xf numFmtId="164" fontId="17" fillId="0" borderId="0" xfId="5" applyNumberFormat="1" applyFont="1" applyFill="1" applyBorder="1" applyAlignment="1">
      <alignment horizontal="center" vertical="center"/>
    </xf>
    <xf numFmtId="43" fontId="15" fillId="0" borderId="0" xfId="1" applyFont="1" applyFill="1" applyBorder="1" applyAlignment="1">
      <alignment horizontal="center" vertical="center"/>
    </xf>
    <xf numFmtId="170" fontId="15"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7" fillId="0" borderId="0" xfId="0" applyFont="1" applyFill="1" applyBorder="1" applyAlignment="1">
      <alignment horizontal="center" vertical="center"/>
    </xf>
    <xf numFmtId="1" fontId="8" fillId="0" borderId="0" xfId="0" applyNumberFormat="1" applyFont="1"/>
    <xf numFmtId="0" fontId="15" fillId="2" borderId="0" xfId="0" applyFont="1" applyFill="1"/>
    <xf numFmtId="0" fontId="20" fillId="2" borderId="23" xfId="0" applyFont="1" applyFill="1" applyBorder="1"/>
    <xf numFmtId="0" fontId="21" fillId="2" borderId="23" xfId="0" applyFont="1" applyFill="1" applyBorder="1"/>
    <xf numFmtId="0" fontId="17" fillId="2" borderId="0" xfId="0" applyFont="1" applyFill="1"/>
    <xf numFmtId="164" fontId="8" fillId="2" borderId="0" xfId="0" applyNumberFormat="1" applyFont="1" applyFill="1" applyAlignment="1">
      <alignment vertical="center"/>
    </xf>
    <xf numFmtId="164" fontId="8" fillId="2" borderId="0" xfId="0" applyNumberFormat="1" applyFont="1" applyFill="1" applyBorder="1" applyAlignment="1">
      <alignment vertical="center"/>
    </xf>
    <xf numFmtId="0" fontId="8" fillId="2" borderId="0" xfId="0" applyFont="1" applyFill="1" applyBorder="1" applyAlignment="1">
      <alignment horizontal="justify" vertical="center"/>
    </xf>
    <xf numFmtId="43" fontId="8" fillId="2" borderId="0" xfId="1" applyFont="1" applyFill="1" applyBorder="1" applyAlignment="1">
      <alignment horizontal="center" vertical="center"/>
    </xf>
    <xf numFmtId="164" fontId="8" fillId="2" borderId="0" xfId="0" applyNumberFormat="1" applyFont="1" applyFill="1" applyAlignment="1">
      <alignment horizontal="justify" vertical="center"/>
    </xf>
    <xf numFmtId="0" fontId="21" fillId="2" borderId="0" xfId="0" applyFont="1" applyFill="1"/>
    <xf numFmtId="0" fontId="20" fillId="2" borderId="0" xfId="0" applyFont="1" applyFill="1"/>
    <xf numFmtId="0" fontId="19" fillId="0" borderId="0" xfId="0" applyFont="1" applyFill="1" applyBorder="1" applyAlignment="1">
      <alignment vertical="center" wrapText="1"/>
    </xf>
    <xf numFmtId="43" fontId="8" fillId="2" borderId="0" xfId="1" applyFont="1" applyFill="1" applyAlignment="1">
      <alignment horizontal="center" vertical="center"/>
    </xf>
    <xf numFmtId="0" fontId="8" fillId="0" borderId="0" xfId="0" applyFont="1" applyAlignment="1">
      <alignment horizontal="center"/>
    </xf>
    <xf numFmtId="0" fontId="8" fillId="2" borderId="0" xfId="0" applyFont="1" applyFill="1" applyAlignment="1">
      <alignment horizontal="justify" vertical="center"/>
    </xf>
    <xf numFmtId="0" fontId="8" fillId="2" borderId="0" xfId="0" applyFont="1" applyFill="1" applyAlignment="1">
      <alignment horizontal="center"/>
    </xf>
    <xf numFmtId="169" fontId="8" fillId="2" borderId="0" xfId="0" applyNumberFormat="1" applyFont="1" applyFill="1" applyAlignment="1">
      <alignment horizontal="center" vertical="center"/>
    </xf>
    <xf numFmtId="1" fontId="8" fillId="2" borderId="0" xfId="0" applyNumberFormat="1" applyFont="1" applyFill="1" applyAlignment="1">
      <alignment horizontal="center" vertical="center"/>
    </xf>
    <xf numFmtId="165" fontId="8" fillId="0" borderId="0" xfId="0" applyNumberFormat="1" applyFont="1" applyFill="1" applyAlignment="1">
      <alignment horizontal="right" vertical="center"/>
    </xf>
    <xf numFmtId="165" fontId="8" fillId="0" borderId="0" xfId="0" applyNumberFormat="1" applyFont="1" applyAlignment="1">
      <alignment horizontal="center"/>
    </xf>
    <xf numFmtId="0" fontId="8" fillId="0" borderId="0" xfId="0" applyFont="1" applyAlignment="1">
      <alignment horizontal="justify" vertical="center"/>
    </xf>
    <xf numFmtId="0" fontId="23" fillId="0" borderId="8" xfId="0" applyFont="1" applyFill="1" applyBorder="1" applyAlignment="1">
      <alignment vertical="center"/>
    </xf>
    <xf numFmtId="0" fontId="24" fillId="0" borderId="0" xfId="0" applyFont="1"/>
    <xf numFmtId="0" fontId="23" fillId="0" borderId="8" xfId="0" applyFont="1" applyFill="1" applyBorder="1" applyAlignment="1">
      <alignment horizontal="left" vertical="center"/>
    </xf>
    <xf numFmtId="49" fontId="23" fillId="0" borderId="8" xfId="0" applyNumberFormat="1" applyFont="1" applyFill="1" applyBorder="1" applyAlignment="1">
      <alignment vertical="center"/>
    </xf>
    <xf numFmtId="3" fontId="25" fillId="0" borderId="8" xfId="0" applyNumberFormat="1" applyFont="1" applyFill="1" applyBorder="1" applyAlignment="1">
      <alignment horizontal="left" vertical="center" wrapText="1"/>
    </xf>
    <xf numFmtId="0" fontId="26" fillId="0" borderId="25" xfId="0" applyFont="1" applyBorder="1" applyAlignment="1">
      <alignment horizontal="justify" vertical="center"/>
    </xf>
    <xf numFmtId="0" fontId="26" fillId="0" borderId="11" xfId="0" applyFont="1" applyBorder="1" applyAlignment="1">
      <alignment horizontal="justify" vertical="center"/>
    </xf>
    <xf numFmtId="0" fontId="15" fillId="0" borderId="11" xfId="0" applyFont="1" applyBorder="1" applyAlignment="1">
      <alignment horizontal="justify" vertical="center"/>
    </xf>
    <xf numFmtId="0" fontId="26" fillId="0" borderId="11" xfId="0" applyFont="1" applyBorder="1" applyAlignment="1">
      <alignment vertical="center"/>
    </xf>
    <xf numFmtId="0" fontId="26" fillId="0" borderId="11" xfId="0" applyFont="1" applyBorder="1" applyAlignment="1">
      <alignment horizontal="center" vertical="center"/>
    </xf>
    <xf numFmtId="0" fontId="26" fillId="0" borderId="12" xfId="0" applyFont="1" applyBorder="1" applyAlignment="1">
      <alignment vertical="center"/>
    </xf>
    <xf numFmtId="1" fontId="26" fillId="3" borderId="19" xfId="0" applyNumberFormat="1" applyFont="1" applyFill="1" applyBorder="1" applyAlignment="1">
      <alignment horizontal="center" vertical="center" wrapText="1"/>
    </xf>
    <xf numFmtId="1" fontId="26" fillId="3" borderId="29" xfId="0" applyNumberFormat="1" applyFont="1" applyFill="1" applyBorder="1" applyAlignment="1">
      <alignment horizontal="center" vertical="center" wrapText="1"/>
    </xf>
    <xf numFmtId="0" fontId="26" fillId="3" borderId="19" xfId="0" applyFont="1" applyFill="1" applyBorder="1" applyAlignment="1">
      <alignment horizontal="center" vertical="center" textRotation="90" wrapText="1"/>
    </xf>
    <xf numFmtId="49" fontId="26" fillId="3" borderId="19" xfId="0" applyNumberFormat="1" applyFont="1" applyFill="1" applyBorder="1" applyAlignment="1">
      <alignment horizontal="center" vertical="center" textRotation="90" wrapText="1"/>
    </xf>
    <xf numFmtId="1" fontId="26" fillId="5" borderId="14" xfId="0" applyNumberFormat="1" applyFont="1" applyFill="1" applyBorder="1" applyAlignment="1">
      <alignment horizontal="left" vertical="center" wrapText="1"/>
    </xf>
    <xf numFmtId="0" fontId="26" fillId="5" borderId="15" xfId="0" applyFont="1" applyFill="1" applyBorder="1" applyAlignment="1">
      <alignment vertical="center"/>
    </xf>
    <xf numFmtId="0" fontId="26" fillId="5" borderId="15" xfId="0" applyFont="1" applyFill="1" applyBorder="1" applyAlignment="1">
      <alignment horizontal="justify" vertical="center"/>
    </xf>
    <xf numFmtId="169" fontId="15" fillId="5" borderId="15" xfId="0" applyNumberFormat="1" applyFont="1" applyFill="1" applyBorder="1" applyAlignment="1">
      <alignment horizontal="justify" vertical="center"/>
    </xf>
    <xf numFmtId="164" fontId="26" fillId="5" borderId="15" xfId="0" applyNumberFormat="1" applyFont="1" applyFill="1" applyBorder="1" applyAlignment="1">
      <alignment horizontal="justify" vertical="center"/>
    </xf>
    <xf numFmtId="164" fontId="26" fillId="5" borderId="15" xfId="0" applyNumberFormat="1" applyFont="1" applyFill="1" applyBorder="1" applyAlignment="1">
      <alignment horizontal="center" vertical="center"/>
    </xf>
    <xf numFmtId="1" fontId="26" fillId="5" borderId="15" xfId="0" applyNumberFormat="1" applyFont="1" applyFill="1" applyBorder="1" applyAlignment="1">
      <alignment horizontal="center" vertical="center"/>
    </xf>
    <xf numFmtId="0" fontId="26" fillId="5" borderId="15" xfId="0" applyFont="1" applyFill="1" applyBorder="1" applyAlignment="1">
      <alignment horizontal="center" vertical="center"/>
    </xf>
    <xf numFmtId="165" fontId="26" fillId="5" borderId="15" xfId="0" applyNumberFormat="1" applyFont="1" applyFill="1" applyBorder="1" applyAlignment="1">
      <alignment vertical="center"/>
    </xf>
    <xf numFmtId="0" fontId="26" fillId="5" borderId="16" xfId="0" applyFont="1" applyFill="1" applyBorder="1" applyAlignment="1">
      <alignment horizontal="justify" vertical="center"/>
    </xf>
    <xf numFmtId="1" fontId="26" fillId="6" borderId="25" xfId="0" applyNumberFormat="1" applyFont="1" applyFill="1" applyBorder="1" applyAlignment="1">
      <alignment horizontal="center" vertical="center"/>
    </xf>
    <xf numFmtId="0" fontId="26" fillId="6" borderId="11" xfId="0" applyFont="1" applyFill="1" applyBorder="1" applyAlignment="1">
      <alignment vertical="center"/>
    </xf>
    <xf numFmtId="0" fontId="26" fillId="6" borderId="11" xfId="0" applyFont="1" applyFill="1" applyBorder="1" applyAlignment="1">
      <alignment horizontal="justify" vertical="center"/>
    </xf>
    <xf numFmtId="169" fontId="15" fillId="6" borderId="11" xfId="0" applyNumberFormat="1" applyFont="1" applyFill="1" applyBorder="1" applyAlignment="1">
      <alignment horizontal="justify" vertical="center"/>
    </xf>
    <xf numFmtId="164" fontId="26" fillId="6" borderId="11" xfId="0" applyNumberFormat="1" applyFont="1" applyFill="1" applyBorder="1" applyAlignment="1">
      <alignment horizontal="justify" vertical="center"/>
    </xf>
    <xf numFmtId="164" fontId="26" fillId="6" borderId="11" xfId="0" applyNumberFormat="1" applyFont="1" applyFill="1" applyBorder="1" applyAlignment="1">
      <alignment horizontal="center" vertical="center"/>
    </xf>
    <xf numFmtId="1" fontId="26" fillId="6" borderId="11" xfId="0" applyNumberFormat="1" applyFont="1" applyFill="1" applyBorder="1" applyAlignment="1">
      <alignment horizontal="center" vertical="center"/>
    </xf>
    <xf numFmtId="0" fontId="26" fillId="6" borderId="11" xfId="0" applyFont="1" applyFill="1" applyBorder="1" applyAlignment="1">
      <alignment horizontal="center" vertical="center"/>
    </xf>
    <xf numFmtId="165" fontId="26" fillId="6" borderId="11" xfId="0" applyNumberFormat="1" applyFont="1" applyFill="1" applyBorder="1" applyAlignment="1">
      <alignment vertical="center"/>
    </xf>
    <xf numFmtId="0" fontId="26" fillId="6" borderId="12" xfId="0" applyFont="1" applyFill="1" applyBorder="1" applyAlignment="1">
      <alignment horizontal="justify" vertical="center"/>
    </xf>
    <xf numFmtId="0" fontId="26" fillId="2" borderId="31" xfId="0" applyFont="1" applyFill="1" applyBorder="1" applyAlignment="1">
      <alignment horizontal="center" vertical="center" wrapText="1"/>
    </xf>
    <xf numFmtId="1" fontId="26" fillId="7" borderId="14" xfId="0" applyNumberFormat="1" applyFont="1" applyFill="1" applyBorder="1" applyAlignment="1">
      <alignment horizontal="left" vertical="center" wrapText="1" indent="1"/>
    </xf>
    <xf numFmtId="0" fontId="26" fillId="7" borderId="15" xfId="0" applyFont="1" applyFill="1" applyBorder="1" applyAlignment="1">
      <alignment vertical="center"/>
    </xf>
    <xf numFmtId="0" fontId="26" fillId="7" borderId="15" xfId="0" applyFont="1" applyFill="1" applyBorder="1" applyAlignment="1">
      <alignment horizontal="justify" vertical="center"/>
    </xf>
    <xf numFmtId="169" fontId="15" fillId="7" borderId="15" xfId="0" applyNumberFormat="1" applyFont="1" applyFill="1" applyBorder="1" applyAlignment="1">
      <alignment horizontal="justify" vertical="center"/>
    </xf>
    <xf numFmtId="164" fontId="26" fillId="7" borderId="15" xfId="0" applyNumberFormat="1" applyFont="1" applyFill="1" applyBorder="1" applyAlignment="1">
      <alignment horizontal="justify" vertical="center"/>
    </xf>
    <xf numFmtId="164" fontId="26" fillId="7" borderId="15" xfId="0" applyNumberFormat="1" applyFont="1" applyFill="1" applyBorder="1" applyAlignment="1">
      <alignment horizontal="center" vertical="center"/>
    </xf>
    <xf numFmtId="1" fontId="26" fillId="7" borderId="23" xfId="0" applyNumberFormat="1" applyFont="1" applyFill="1" applyBorder="1" applyAlignment="1">
      <alignment horizontal="center" vertical="center"/>
    </xf>
    <xf numFmtId="0" fontId="26" fillId="7" borderId="23" xfId="0" applyFont="1" applyFill="1" applyBorder="1" applyAlignment="1">
      <alignment horizontal="center" vertical="center"/>
    </xf>
    <xf numFmtId="165" fontId="26" fillId="7" borderId="15" xfId="0" applyNumberFormat="1" applyFont="1" applyFill="1" applyBorder="1" applyAlignment="1">
      <alignment vertical="center"/>
    </xf>
    <xf numFmtId="0" fontId="26" fillId="7" borderId="16" xfId="0" applyFont="1" applyFill="1" applyBorder="1" applyAlignment="1">
      <alignment horizontal="justify" vertical="center"/>
    </xf>
    <xf numFmtId="0" fontId="26" fillId="2" borderId="0"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0" borderId="8" xfId="0" applyFont="1" applyFill="1" applyBorder="1" applyAlignment="1">
      <alignment horizontal="justify" vertical="center" wrapText="1"/>
    </xf>
    <xf numFmtId="43" fontId="27" fillId="0" borderId="14" xfId="1" applyFont="1" applyFill="1" applyBorder="1" applyAlignment="1">
      <alignment horizontal="center" vertical="center" wrapText="1"/>
    </xf>
    <xf numFmtId="1" fontId="27" fillId="0" borderId="31" xfId="0" applyNumberFormat="1"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0" xfId="0" applyFont="1" applyFill="1" applyBorder="1" applyAlignment="1">
      <alignment horizontal="center" vertical="center" wrapText="1"/>
    </xf>
    <xf numFmtId="1" fontId="27" fillId="0" borderId="25" xfId="0" applyNumberFormat="1"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0" borderId="19" xfId="0" applyFont="1" applyFill="1" applyBorder="1" applyAlignment="1">
      <alignment vertical="center" wrapText="1"/>
    </xf>
    <xf numFmtId="3" fontId="27" fillId="0" borderId="8" xfId="0" applyNumberFormat="1" applyFont="1" applyFill="1" applyBorder="1" applyAlignment="1">
      <alignment horizontal="justify" vertical="center" wrapText="1"/>
    </xf>
    <xf numFmtId="43" fontId="27" fillId="0" borderId="8" xfId="1" applyFont="1" applyFill="1" applyBorder="1" applyAlignment="1">
      <alignment horizontal="center" vertical="center" wrapText="1"/>
    </xf>
    <xf numFmtId="1" fontId="27" fillId="0" borderId="19" xfId="0"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4" fillId="0" borderId="0" xfId="0" applyFont="1" applyFill="1"/>
    <xf numFmtId="0" fontId="27" fillId="0" borderId="29" xfId="0" applyFont="1" applyFill="1" applyBorder="1" applyAlignment="1">
      <alignment vertical="center" wrapText="1"/>
    </xf>
    <xf numFmtId="1" fontId="27" fillId="0" borderId="29" xfId="0" applyNumberFormat="1" applyFont="1" applyFill="1" applyBorder="1" applyAlignment="1">
      <alignment horizontal="center" vertical="center" wrapText="1"/>
    </xf>
    <xf numFmtId="0" fontId="27" fillId="0" borderId="28" xfId="0" applyFont="1" applyFill="1" applyBorder="1" applyAlignment="1">
      <alignment vertical="top" wrapText="1"/>
    </xf>
    <xf numFmtId="1" fontId="27" fillId="0" borderId="28" xfId="0" applyNumberFormat="1" applyFont="1" applyFill="1" applyBorder="1" applyAlignment="1">
      <alignment horizontal="center" vertical="center" wrapText="1"/>
    </xf>
    <xf numFmtId="0" fontId="27" fillId="0" borderId="8" xfId="0" applyFont="1" applyFill="1" applyBorder="1" applyAlignment="1">
      <alignment horizontal="justify" vertical="center" wrapText="1" readingOrder="2"/>
    </xf>
    <xf numFmtId="0" fontId="27" fillId="0" borderId="29" xfId="0" applyFont="1" applyFill="1" applyBorder="1" applyAlignment="1">
      <alignment horizontal="center" vertical="center" wrapText="1"/>
    </xf>
    <xf numFmtId="0" fontId="27" fillId="0" borderId="28" xfId="0" applyFont="1" applyFill="1" applyBorder="1" applyAlignment="1">
      <alignment vertical="center" wrapText="1"/>
    </xf>
    <xf numFmtId="0" fontId="28" fillId="0" borderId="8" xfId="0" applyFont="1" applyFill="1" applyBorder="1" applyAlignment="1">
      <alignment horizontal="justify" vertical="center" wrapText="1"/>
    </xf>
    <xf numFmtId="0" fontId="27" fillId="0" borderId="8" xfId="0" applyFont="1" applyFill="1" applyBorder="1" applyAlignment="1">
      <alignment horizontal="center" vertical="center" wrapText="1"/>
    </xf>
    <xf numFmtId="0" fontId="27" fillId="0" borderId="19" xfId="0" applyFont="1" applyFill="1" applyBorder="1" applyAlignment="1">
      <alignment horizontal="justify" vertical="center" wrapText="1"/>
    </xf>
    <xf numFmtId="9" fontId="17" fillId="0" borderId="8" xfId="2" applyFont="1" applyFill="1" applyBorder="1" applyAlignment="1">
      <alignment horizontal="center" vertical="center" wrapText="1"/>
    </xf>
    <xf numFmtId="43" fontId="27" fillId="0" borderId="8" xfId="1" applyFont="1" applyFill="1" applyBorder="1" applyAlignment="1">
      <alignment horizontal="justify" vertical="center" wrapText="1"/>
    </xf>
    <xf numFmtId="3" fontId="27" fillId="0" borderId="8" xfId="0" applyNumberFormat="1" applyFont="1" applyFill="1" applyBorder="1" applyAlignment="1">
      <alignment horizontal="center" vertical="center"/>
    </xf>
    <xf numFmtId="168" fontId="27" fillId="0" borderId="8"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2" borderId="19" xfId="0" applyFont="1" applyFill="1" applyBorder="1" applyAlignment="1">
      <alignment vertical="center" wrapText="1"/>
    </xf>
    <xf numFmtId="172" fontId="17" fillId="2" borderId="8" xfId="2" applyNumberFormat="1" applyFont="1" applyFill="1" applyBorder="1" applyAlignment="1">
      <alignment horizontal="center" vertical="center" wrapText="1"/>
    </xf>
    <xf numFmtId="1" fontId="27" fillId="2" borderId="31" xfId="0" applyNumberFormat="1" applyFont="1" applyFill="1" applyBorder="1" applyAlignment="1">
      <alignment horizontal="center" vertical="center" wrapText="1"/>
    </xf>
    <xf numFmtId="0" fontId="27" fillId="2" borderId="29" xfId="0" applyFont="1" applyFill="1" applyBorder="1" applyAlignment="1">
      <alignment vertical="center" wrapText="1"/>
    </xf>
    <xf numFmtId="1" fontId="27" fillId="2" borderId="27" xfId="0" applyNumberFormat="1"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0" borderId="31" xfId="0" applyFont="1" applyFill="1" applyBorder="1" applyAlignment="1">
      <alignment horizontal="center" vertical="center" wrapText="1"/>
    </xf>
    <xf numFmtId="43" fontId="27" fillId="0" borderId="31" xfId="1" applyFont="1" applyFill="1" applyBorder="1" applyAlignment="1">
      <alignment horizontal="center" vertical="center" wrapText="1"/>
    </xf>
    <xf numFmtId="1" fontId="27" fillId="2" borderId="40" xfId="0" applyNumberFormat="1" applyFont="1" applyFill="1" applyBorder="1" applyAlignment="1">
      <alignment horizontal="center" vertical="center" wrapText="1"/>
    </xf>
    <xf numFmtId="0" fontId="27" fillId="2" borderId="39"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2" borderId="32" xfId="0" applyFont="1" applyFill="1" applyBorder="1"/>
    <xf numFmtId="0" fontId="27" fillId="2" borderId="33" xfId="0" applyFont="1" applyFill="1" applyBorder="1"/>
    <xf numFmtId="0" fontId="27" fillId="2" borderId="33" xfId="0" applyFont="1" applyFill="1" applyBorder="1" applyAlignment="1">
      <alignment horizontal="justify"/>
    </xf>
    <xf numFmtId="0" fontId="27" fillId="2" borderId="33" xfId="0" applyFont="1" applyFill="1" applyBorder="1" applyAlignment="1">
      <alignment horizontal="justify" vertical="center" wrapText="1"/>
    </xf>
    <xf numFmtId="0" fontId="27" fillId="2" borderId="33" xfId="0" applyFont="1" applyFill="1" applyBorder="1" applyAlignment="1">
      <alignment horizontal="justify" vertical="center"/>
    </xf>
    <xf numFmtId="1" fontId="27" fillId="2" borderId="33" xfId="0" applyNumberFormat="1" applyFont="1" applyFill="1" applyBorder="1" applyAlignment="1">
      <alignment horizontal="justify" vertical="center"/>
    </xf>
    <xf numFmtId="169" fontId="17" fillId="2" borderId="34" xfId="0" applyNumberFormat="1" applyFont="1" applyFill="1" applyBorder="1" applyAlignment="1">
      <alignment horizontal="justify" vertical="center"/>
    </xf>
    <xf numFmtId="43" fontId="26" fillId="2" borderId="35" xfId="1" applyFont="1" applyFill="1" applyBorder="1" applyAlignment="1">
      <alignment horizontal="justify" vertical="center"/>
    </xf>
    <xf numFmtId="0" fontId="27" fillId="2" borderId="32" xfId="0" applyFont="1" applyFill="1" applyBorder="1" applyAlignment="1">
      <alignment horizontal="justify" vertical="center" wrapText="1"/>
    </xf>
    <xf numFmtId="0" fontId="27" fillId="2" borderId="34" xfId="0" applyFont="1" applyFill="1" applyBorder="1" applyAlignment="1">
      <alignment horizontal="justify" vertical="center" wrapText="1"/>
    </xf>
    <xf numFmtId="43" fontId="26" fillId="0" borderId="35" xfId="1" applyFont="1" applyFill="1" applyBorder="1" applyAlignment="1">
      <alignment horizontal="center" vertical="center"/>
    </xf>
    <xf numFmtId="1" fontId="27" fillId="2" borderId="32" xfId="0" applyNumberFormat="1" applyFont="1" applyFill="1" applyBorder="1" applyAlignment="1">
      <alignment horizontal="center" vertical="center"/>
    </xf>
    <xf numFmtId="1" fontId="27" fillId="2" borderId="33" xfId="0" applyNumberFormat="1" applyFont="1" applyFill="1" applyBorder="1" applyAlignment="1">
      <alignment horizontal="center" vertical="center"/>
    </xf>
    <xf numFmtId="1" fontId="27" fillId="2" borderId="33" xfId="0" applyNumberFormat="1" applyFont="1" applyFill="1" applyBorder="1" applyAlignment="1">
      <alignment horizontal="center" vertical="center" textRotation="180" wrapText="1"/>
    </xf>
    <xf numFmtId="165" fontId="27" fillId="2" borderId="33" xfId="0" applyNumberFormat="1" applyFont="1" applyFill="1" applyBorder="1" applyAlignment="1">
      <alignment horizontal="center" vertical="center"/>
    </xf>
    <xf numFmtId="0" fontId="27" fillId="2" borderId="34" xfId="0" applyFont="1" applyFill="1" applyBorder="1" applyAlignment="1">
      <alignment horizontal="justify" vertical="center"/>
    </xf>
    <xf numFmtId="0" fontId="27" fillId="2" borderId="0" xfId="0" applyFont="1" applyFill="1"/>
    <xf numFmtId="0" fontId="27" fillId="2" borderId="0" xfId="0" applyFont="1" applyFill="1" applyAlignment="1">
      <alignment horizontal="justify"/>
    </xf>
    <xf numFmtId="0" fontId="27" fillId="2" borderId="0" xfId="0" applyFont="1" applyFill="1" applyBorder="1" applyAlignment="1">
      <alignment horizontal="justify" vertical="center"/>
    </xf>
    <xf numFmtId="0" fontId="27" fillId="2" borderId="0" xfId="0" applyFont="1" applyFill="1" applyBorder="1" applyAlignment="1">
      <alignment horizontal="justify"/>
    </xf>
    <xf numFmtId="169" fontId="17" fillId="2" borderId="0" xfId="0" applyNumberFormat="1" applyFont="1" applyFill="1" applyBorder="1" applyAlignment="1">
      <alignment horizontal="justify" vertical="center"/>
    </xf>
    <xf numFmtId="164" fontId="27" fillId="0" borderId="0" xfId="0" applyNumberFormat="1" applyFont="1" applyFill="1" applyBorder="1" applyAlignment="1">
      <alignment horizontal="justify" vertical="center"/>
    </xf>
    <xf numFmtId="164" fontId="27" fillId="0" borderId="0" xfId="0" applyNumberFormat="1" applyFont="1" applyFill="1" applyBorder="1" applyAlignment="1">
      <alignment horizontal="center" vertical="center"/>
    </xf>
    <xf numFmtId="1"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164" fontId="27" fillId="2" borderId="0" xfId="0" applyNumberFormat="1" applyFont="1" applyFill="1" applyAlignment="1">
      <alignment horizontal="center" vertical="center"/>
    </xf>
    <xf numFmtId="0" fontId="27" fillId="2" borderId="0" xfId="0" applyFont="1" applyFill="1" applyAlignment="1">
      <alignment horizontal="justify" vertical="center"/>
    </xf>
    <xf numFmtId="169" fontId="17" fillId="2" borderId="0" xfId="0" applyNumberFormat="1" applyFont="1" applyFill="1" applyAlignment="1">
      <alignment horizontal="justify" vertical="center"/>
    </xf>
    <xf numFmtId="164" fontId="27" fillId="2" borderId="0" xfId="0" applyNumberFormat="1" applyFont="1" applyFill="1" applyAlignment="1">
      <alignment horizontal="justify" vertical="center"/>
    </xf>
    <xf numFmtId="1" fontId="27" fillId="2" borderId="0" xfId="0" applyNumberFormat="1" applyFont="1" applyFill="1" applyAlignment="1">
      <alignment horizontal="center" vertical="center"/>
    </xf>
    <xf numFmtId="0" fontId="27" fillId="2" borderId="0" xfId="0" applyFont="1" applyFill="1" applyAlignment="1">
      <alignment horizontal="center" vertical="center"/>
    </xf>
    <xf numFmtId="0" fontId="26" fillId="2" borderId="0" xfId="0" applyFont="1" applyFill="1"/>
    <xf numFmtId="0" fontId="26" fillId="2" borderId="23" xfId="0" applyFont="1" applyFill="1" applyBorder="1"/>
    <xf numFmtId="0" fontId="27" fillId="2" borderId="23" xfId="0" applyFont="1" applyFill="1" applyBorder="1"/>
    <xf numFmtId="0" fontId="27" fillId="0" borderId="0" xfId="0" applyFont="1"/>
    <xf numFmtId="0" fontId="24" fillId="0" borderId="0" xfId="0" applyFont="1" applyAlignment="1">
      <alignment horizontal="justify"/>
    </xf>
    <xf numFmtId="0" fontId="18" fillId="0" borderId="0" xfId="0" applyFont="1" applyAlignment="1">
      <alignment horizontal="justify"/>
    </xf>
    <xf numFmtId="0" fontId="27" fillId="0" borderId="0" xfId="0" applyFont="1" applyAlignment="1">
      <alignment horizontal="justify" vertical="center"/>
    </xf>
    <xf numFmtId="0" fontId="27" fillId="0" borderId="0" xfId="0" applyFont="1" applyAlignment="1">
      <alignment horizontal="justify" vertical="center" wrapText="1"/>
    </xf>
    <xf numFmtId="0" fontId="27" fillId="0" borderId="0" xfId="0" applyFont="1" applyAlignment="1">
      <alignment wrapText="1"/>
    </xf>
    <xf numFmtId="0" fontId="26" fillId="0" borderId="0" xfId="0" applyFont="1" applyBorder="1" applyAlignment="1">
      <alignment vertical="center"/>
    </xf>
    <xf numFmtId="0" fontId="27" fillId="0" borderId="14" xfId="0" applyFont="1" applyBorder="1"/>
    <xf numFmtId="0" fontId="26" fillId="0" borderId="15" xfId="0" applyFont="1" applyBorder="1" applyAlignment="1">
      <alignment vertical="center"/>
    </xf>
    <xf numFmtId="0" fontId="26" fillId="0" borderId="16" xfId="0" applyFont="1" applyBorder="1" applyAlignment="1">
      <alignment vertical="center"/>
    </xf>
    <xf numFmtId="0" fontId="26" fillId="10" borderId="8" xfId="0" applyFont="1" applyFill="1" applyBorder="1" applyAlignment="1">
      <alignment horizontal="center" vertical="center" textRotation="90" wrapText="1"/>
    </xf>
    <xf numFmtId="49" fontId="26" fillId="10" borderId="8" xfId="0" applyNumberFormat="1" applyFont="1" applyFill="1" applyBorder="1" applyAlignment="1">
      <alignment horizontal="center" vertical="center" textRotation="90" wrapText="1"/>
    </xf>
    <xf numFmtId="0" fontId="26" fillId="10" borderId="8"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26" fillId="5" borderId="25" xfId="0" applyFont="1" applyFill="1" applyBorder="1" applyAlignment="1">
      <alignment horizontal="left" vertical="center"/>
    </xf>
    <xf numFmtId="0" fontId="26" fillId="5" borderId="11" xfId="0" applyFont="1" applyFill="1" applyBorder="1" applyAlignment="1">
      <alignment horizontal="left" vertical="center" wrapText="1"/>
    </xf>
    <xf numFmtId="0" fontId="26" fillId="5" borderId="11" xfId="0" applyFont="1" applyFill="1" applyBorder="1" applyAlignment="1">
      <alignment horizontal="justify" vertical="center" wrapText="1"/>
    </xf>
    <xf numFmtId="0" fontId="26" fillId="5" borderId="11" xfId="0" applyFont="1" applyFill="1" applyBorder="1" applyAlignment="1">
      <alignment horizontal="center" vertical="center" wrapText="1"/>
    </xf>
    <xf numFmtId="0" fontId="26" fillId="5" borderId="26" xfId="0" applyFont="1" applyFill="1" applyBorder="1" applyAlignment="1">
      <alignment horizontal="justify" vertical="center" wrapText="1"/>
    </xf>
    <xf numFmtId="0" fontId="27" fillId="0" borderId="0" xfId="0" applyFont="1" applyFill="1" applyAlignment="1">
      <alignment horizontal="justify" vertical="center"/>
    </xf>
    <xf numFmtId="0" fontId="27" fillId="0" borderId="0" xfId="0" applyFont="1" applyFill="1"/>
    <xf numFmtId="0" fontId="26" fillId="2" borderId="6" xfId="0" applyFont="1" applyFill="1" applyBorder="1" applyAlignment="1">
      <alignment vertical="center" wrapText="1"/>
    </xf>
    <xf numFmtId="0" fontId="26" fillId="2" borderId="7" xfId="0" applyFont="1" applyFill="1" applyBorder="1" applyAlignment="1">
      <alignment vertical="center" wrapText="1"/>
    </xf>
    <xf numFmtId="0" fontId="26" fillId="6" borderId="8" xfId="0" applyFont="1" applyFill="1" applyBorder="1" applyAlignment="1">
      <alignment horizontal="center" vertical="center" wrapText="1"/>
    </xf>
    <xf numFmtId="0" fontId="26" fillId="6" borderId="14" xfId="0" applyFont="1" applyFill="1" applyBorder="1" applyAlignment="1">
      <alignment vertical="center"/>
    </xf>
    <xf numFmtId="0" fontId="26" fillId="6" borderId="0" xfId="0" applyFont="1" applyFill="1" applyBorder="1" applyAlignment="1">
      <alignment vertical="center"/>
    </xf>
    <xf numFmtId="0" fontId="26" fillId="6" borderId="0" xfId="0" applyFont="1" applyFill="1" applyBorder="1" applyAlignment="1">
      <alignment horizontal="justify" vertical="center"/>
    </xf>
    <xf numFmtId="0" fontId="26" fillId="6" borderId="0" xfId="0" applyFont="1" applyFill="1" applyBorder="1" applyAlignment="1">
      <alignment horizontal="center" vertical="center"/>
    </xf>
    <xf numFmtId="0" fontId="26" fillId="6" borderId="38" xfId="0" applyFont="1" applyFill="1" applyBorder="1" applyAlignment="1">
      <alignment horizontal="justify" vertical="center"/>
    </xf>
    <xf numFmtId="0" fontId="26" fillId="2" borderId="27" xfId="0" applyFont="1" applyFill="1" applyBorder="1" applyAlignment="1">
      <alignment vertical="center" wrapText="1"/>
    </xf>
    <xf numFmtId="0" fontId="26" fillId="7" borderId="8" xfId="0" applyFont="1" applyFill="1" applyBorder="1" applyAlignment="1">
      <alignment horizontal="center" vertical="center" wrapText="1"/>
    </xf>
    <xf numFmtId="0" fontId="15" fillId="7" borderId="14" xfId="0" applyFont="1" applyFill="1" applyBorder="1" applyAlignment="1">
      <alignment horizontal="left" vertical="center"/>
    </xf>
    <xf numFmtId="0" fontId="17" fillId="7" borderId="16" xfId="0" applyFont="1" applyFill="1" applyBorder="1" applyAlignment="1">
      <alignment horizontal="justify" vertical="center"/>
    </xf>
    <xf numFmtId="0" fontId="28" fillId="2" borderId="8" xfId="0" applyFont="1" applyFill="1" applyBorder="1" applyAlignment="1">
      <alignment horizontal="justify" vertical="top" wrapText="1"/>
    </xf>
    <xf numFmtId="0" fontId="28" fillId="2" borderId="19" xfId="0" applyFont="1" applyFill="1" applyBorder="1" applyAlignment="1">
      <alignment horizontal="justify" vertical="center" wrapText="1"/>
    </xf>
    <xf numFmtId="0" fontId="28" fillId="2" borderId="8" xfId="0" applyFont="1" applyFill="1" applyBorder="1" applyAlignment="1">
      <alignment horizontal="justify" vertical="center" wrapText="1"/>
    </xf>
    <xf numFmtId="0" fontId="26" fillId="2" borderId="25" xfId="0" applyFont="1" applyFill="1" applyBorder="1" applyAlignment="1">
      <alignment vertical="center" wrapText="1"/>
    </xf>
    <xf numFmtId="0" fontId="26" fillId="2" borderId="12" xfId="0" applyFont="1" applyFill="1" applyBorder="1" applyAlignment="1">
      <alignment vertical="center" wrapText="1"/>
    </xf>
    <xf numFmtId="0" fontId="26" fillId="6" borderId="14" xfId="0" applyFont="1" applyFill="1" applyBorder="1" applyAlignment="1">
      <alignment horizontal="left" vertical="center"/>
    </xf>
    <xf numFmtId="0" fontId="26" fillId="6" borderId="15" xfId="0" applyFont="1" applyFill="1" applyBorder="1" applyAlignment="1">
      <alignment horizontal="left" vertical="center"/>
    </xf>
    <xf numFmtId="0" fontId="26" fillId="6" borderId="15" xfId="0" applyFont="1" applyFill="1" applyBorder="1" applyAlignment="1">
      <alignment horizontal="justify" vertical="center"/>
    </xf>
    <xf numFmtId="43" fontId="26" fillId="6" borderId="15" xfId="1" applyFont="1" applyFill="1" applyBorder="1" applyAlignment="1">
      <alignment horizontal="left" vertical="center"/>
    </xf>
    <xf numFmtId="43" fontId="26" fillId="6" borderId="15" xfId="1" applyFont="1" applyFill="1" applyBorder="1" applyAlignment="1">
      <alignment horizontal="center" vertical="center"/>
    </xf>
    <xf numFmtId="0" fontId="26" fillId="6" borderId="15" xfId="0" applyFont="1" applyFill="1" applyBorder="1" applyAlignment="1">
      <alignment horizontal="center" vertical="center"/>
    </xf>
    <xf numFmtId="0" fontId="27" fillId="6" borderId="8" xfId="0" applyFont="1" applyFill="1" applyBorder="1" applyAlignment="1">
      <alignment horizontal="center" vertical="center"/>
    </xf>
    <xf numFmtId="0" fontId="27" fillId="2" borderId="27" xfId="0" applyFont="1" applyFill="1" applyBorder="1" applyAlignment="1">
      <alignment vertical="center" wrapText="1"/>
    </xf>
    <xf numFmtId="0" fontId="27" fillId="2" borderId="7" xfId="0" applyFont="1" applyFill="1" applyBorder="1" applyAlignment="1">
      <alignment vertical="center" wrapText="1"/>
    </xf>
    <xf numFmtId="43" fontId="15" fillId="7" borderId="15" xfId="1" applyFont="1" applyFill="1" applyBorder="1" applyAlignment="1">
      <alignment horizontal="left" vertical="center"/>
    </xf>
    <xf numFmtId="0" fontId="17" fillId="7" borderId="8" xfId="0" applyFont="1" applyFill="1" applyBorder="1" applyAlignment="1">
      <alignment horizontal="center" vertical="center"/>
    </xf>
    <xf numFmtId="0" fontId="27" fillId="2" borderId="31" xfId="0" applyFont="1" applyFill="1" applyBorder="1" applyAlignment="1">
      <alignment vertical="center" wrapText="1"/>
    </xf>
    <xf numFmtId="0" fontId="27" fillId="2" borderId="20" xfId="0" applyFont="1" applyFill="1" applyBorder="1" applyAlignment="1">
      <alignment vertical="center" wrapText="1"/>
    </xf>
    <xf numFmtId="0" fontId="27" fillId="0" borderId="8" xfId="0" applyFont="1" applyBorder="1" applyAlignment="1">
      <alignment horizontal="justify" vertical="top" wrapText="1"/>
    </xf>
    <xf numFmtId="43" fontId="27" fillId="0" borderId="28" xfId="1" applyFont="1" applyBorder="1" applyAlignment="1">
      <alignment horizontal="center" vertical="center" wrapText="1"/>
    </xf>
    <xf numFmtId="0" fontId="28" fillId="2" borderId="8" xfId="0" applyFont="1" applyFill="1" applyBorder="1" applyAlignment="1">
      <alignment horizontal="justify" vertical="center" wrapText="1" readingOrder="1"/>
    </xf>
    <xf numFmtId="0" fontId="28" fillId="2" borderId="19" xfId="0" applyFont="1" applyFill="1" applyBorder="1" applyAlignment="1">
      <alignment horizontal="justify" vertical="center" wrapText="1" readingOrder="1"/>
    </xf>
    <xf numFmtId="0" fontId="28" fillId="0" borderId="19" xfId="0" applyFont="1" applyBorder="1" applyAlignment="1">
      <alignment horizontal="justify" vertical="center" wrapText="1" readingOrder="1"/>
    </xf>
    <xf numFmtId="43" fontId="27" fillId="0" borderId="19" xfId="1" applyFont="1" applyBorder="1" applyAlignment="1">
      <alignment horizontal="center" vertical="center" wrapText="1"/>
    </xf>
    <xf numFmtId="0" fontId="15" fillId="7" borderId="23" xfId="0" applyFont="1" applyFill="1" applyBorder="1" applyAlignment="1">
      <alignment horizontal="left" vertical="center"/>
    </xf>
    <xf numFmtId="0" fontId="27" fillId="2" borderId="27" xfId="0" applyNumberFormat="1" applyFont="1" applyFill="1" applyBorder="1" applyAlignment="1">
      <alignment vertical="center" wrapText="1"/>
    </xf>
    <xf numFmtId="0" fontId="27" fillId="2" borderId="0" xfId="0" applyNumberFormat="1" applyFont="1" applyFill="1" applyBorder="1" applyAlignment="1">
      <alignment vertical="center" wrapText="1"/>
    </xf>
    <xf numFmtId="174" fontId="27" fillId="2" borderId="19" xfId="0" applyNumberFormat="1" applyFont="1" applyFill="1" applyBorder="1" applyAlignment="1">
      <alignment vertical="center" wrapText="1"/>
    </xf>
    <xf numFmtId="0" fontId="28" fillId="2" borderId="16" xfId="0" applyFont="1" applyFill="1" applyBorder="1" applyAlignment="1">
      <alignment horizontal="justify" vertical="center" wrapText="1"/>
    </xf>
    <xf numFmtId="174" fontId="27" fillId="2" borderId="29" xfId="0" applyNumberFormat="1" applyFont="1" applyFill="1" applyBorder="1" applyAlignment="1">
      <alignment vertical="center" wrapText="1"/>
    </xf>
    <xf numFmtId="0" fontId="27" fillId="0" borderId="15" xfId="0" applyFont="1" applyBorder="1" applyAlignment="1">
      <alignment horizontal="justify" vertical="center" wrapText="1"/>
    </xf>
    <xf numFmtId="43" fontId="27" fillId="2" borderId="8" xfId="1" applyFont="1" applyFill="1" applyBorder="1" applyAlignment="1">
      <alignment horizontal="center" vertical="center" wrapText="1"/>
    </xf>
    <xf numFmtId="0" fontId="27" fillId="0" borderId="16" xfId="0" applyFont="1" applyBorder="1" applyAlignment="1">
      <alignment horizontal="justify" vertical="center" wrapText="1"/>
    </xf>
    <xf numFmtId="0" fontId="27" fillId="2" borderId="16" xfId="0" applyFont="1" applyFill="1" applyBorder="1" applyAlignment="1">
      <alignment horizontal="justify" vertical="justify" wrapText="1"/>
    </xf>
    <xf numFmtId="0" fontId="27" fillId="2" borderId="16" xfId="0" applyFont="1" applyFill="1" applyBorder="1" applyAlignment="1">
      <alignment horizontal="justify" vertical="center" wrapText="1"/>
    </xf>
    <xf numFmtId="0" fontId="27" fillId="2" borderId="7" xfId="0" applyNumberFormat="1" applyFont="1" applyFill="1" applyBorder="1" applyAlignment="1">
      <alignment vertical="center" wrapText="1"/>
    </xf>
    <xf numFmtId="0" fontId="28" fillId="2" borderId="31" xfId="0" applyFont="1" applyFill="1" applyBorder="1" applyAlignment="1">
      <alignment horizontal="justify" vertical="center" wrapText="1"/>
    </xf>
    <xf numFmtId="174" fontId="27" fillId="2" borderId="28" xfId="0" applyNumberFormat="1" applyFont="1" applyFill="1" applyBorder="1" applyAlignment="1">
      <alignment vertical="center" wrapText="1"/>
    </xf>
    <xf numFmtId="0" fontId="27" fillId="2" borderId="14" xfId="0" applyFont="1" applyFill="1" applyBorder="1" applyAlignment="1">
      <alignment horizontal="justify" vertical="center" wrapText="1"/>
    </xf>
    <xf numFmtId="0" fontId="26" fillId="7" borderId="29" xfId="0" applyFont="1" applyFill="1" applyBorder="1" applyAlignment="1">
      <alignment horizontal="center" vertical="center" wrapText="1"/>
    </xf>
    <xf numFmtId="43" fontId="15" fillId="7" borderId="8" xfId="1" applyFont="1" applyFill="1" applyBorder="1" applyAlignment="1">
      <alignment horizontal="center" vertical="center"/>
    </xf>
    <xf numFmtId="0" fontId="27" fillId="2" borderId="8" xfId="0" applyFont="1" applyFill="1" applyBorder="1" applyAlignment="1">
      <alignment horizontal="justify" vertical="top" wrapText="1"/>
    </xf>
    <xf numFmtId="43" fontId="27" fillId="2" borderId="14" xfId="1" applyFont="1" applyFill="1" applyBorder="1" applyAlignment="1">
      <alignment horizontal="center" vertical="center" wrapText="1"/>
    </xf>
    <xf numFmtId="0" fontId="17" fillId="0" borderId="8" xfId="0" applyFont="1" applyBorder="1" applyAlignment="1">
      <alignment horizontal="justify" vertical="center" wrapText="1"/>
    </xf>
    <xf numFmtId="43" fontId="27" fillId="2" borderId="25" xfId="1" applyFont="1" applyFill="1" applyBorder="1" applyAlignment="1">
      <alignment horizontal="center" vertical="center" wrapText="1"/>
    </xf>
    <xf numFmtId="0" fontId="28" fillId="0" borderId="8" xfId="0" applyFont="1" applyBorder="1" applyAlignment="1">
      <alignment horizontal="justify" vertical="center" wrapText="1"/>
    </xf>
    <xf numFmtId="43" fontId="27" fillId="2" borderId="31" xfId="1" applyFont="1" applyFill="1" applyBorder="1" applyAlignment="1">
      <alignment horizontal="center" vertical="center" wrapText="1"/>
    </xf>
    <xf numFmtId="0" fontId="26" fillId="6" borderId="15" xfId="0" applyFont="1" applyFill="1" applyBorder="1" applyAlignment="1">
      <alignment vertical="center"/>
    </xf>
    <xf numFmtId="43" fontId="26" fillId="6" borderId="15" xfId="1" applyFont="1" applyFill="1" applyBorder="1" applyAlignment="1">
      <alignment vertical="center"/>
    </xf>
    <xf numFmtId="0" fontId="26" fillId="0" borderId="0" xfId="0" applyFont="1" applyAlignment="1">
      <alignment horizontal="justify" vertical="center"/>
    </xf>
    <xf numFmtId="0" fontId="26" fillId="0" borderId="0" xfId="0" applyFont="1"/>
    <xf numFmtId="0" fontId="15" fillId="7" borderId="23" xfId="0" applyFont="1" applyFill="1" applyBorder="1" applyAlignment="1">
      <alignment horizontal="center" vertical="center"/>
    </xf>
    <xf numFmtId="0" fontId="17" fillId="2" borderId="8" xfId="4" applyFont="1" applyFill="1" applyBorder="1" applyAlignment="1">
      <alignment horizontal="justify" vertical="top" wrapText="1"/>
    </xf>
    <xf numFmtId="43" fontId="27" fillId="0" borderId="14" xfId="1" applyFont="1" applyFill="1" applyBorder="1" applyAlignment="1">
      <alignment horizontal="center" vertical="center"/>
    </xf>
    <xf numFmtId="0" fontId="17" fillId="2" borderId="8" xfId="4" applyFont="1" applyFill="1" applyBorder="1" applyAlignment="1">
      <alignment horizontal="justify" vertical="justify" wrapText="1"/>
    </xf>
    <xf numFmtId="0" fontId="17" fillId="0" borderId="8" xfId="4" applyFont="1" applyBorder="1" applyAlignment="1">
      <alignment horizontal="justify" vertical="center" wrapText="1"/>
    </xf>
    <xf numFmtId="0" fontId="17" fillId="2" borderId="8" xfId="4" applyFont="1" applyFill="1" applyBorder="1" applyAlignment="1">
      <alignment horizontal="justify" vertical="center" wrapText="1"/>
    </xf>
    <xf numFmtId="43" fontId="27" fillId="2" borderId="14" xfId="1" applyFont="1" applyFill="1" applyBorder="1" applyAlignment="1">
      <alignment horizontal="center" vertical="center"/>
    </xf>
    <xf numFmtId="0" fontId="27" fillId="2" borderId="25" xfId="0" applyFont="1" applyFill="1" applyBorder="1" applyAlignment="1">
      <alignment vertical="center" wrapText="1"/>
    </xf>
    <xf numFmtId="0" fontId="26" fillId="7" borderId="28" xfId="0" applyFont="1" applyFill="1" applyBorder="1" applyAlignment="1">
      <alignment horizontal="center" vertical="center" wrapText="1"/>
    </xf>
    <xf numFmtId="0" fontId="31" fillId="7" borderId="14" xfId="0" applyFont="1" applyFill="1" applyBorder="1" applyAlignment="1">
      <alignment horizontal="left" vertical="center"/>
    </xf>
    <xf numFmtId="0" fontId="31" fillId="7" borderId="15" xfId="0" applyFont="1" applyFill="1" applyBorder="1" applyAlignment="1">
      <alignment horizontal="left" vertical="center"/>
    </xf>
    <xf numFmtId="0" fontId="31" fillId="7" borderId="15" xfId="0" applyFont="1" applyFill="1" applyBorder="1" applyAlignment="1">
      <alignment horizontal="justify" vertical="center"/>
    </xf>
    <xf numFmtId="43" fontId="31" fillId="7" borderId="15" xfId="1" applyFont="1" applyFill="1" applyBorder="1" applyAlignment="1">
      <alignment horizontal="left" vertical="center"/>
    </xf>
    <xf numFmtId="43" fontId="31" fillId="7" borderId="15" xfId="1" applyFont="1" applyFill="1" applyBorder="1" applyAlignment="1">
      <alignment horizontal="center" vertical="center"/>
    </xf>
    <xf numFmtId="0" fontId="31" fillId="7" borderId="15" xfId="0" applyFont="1" applyFill="1" applyBorder="1" applyAlignment="1">
      <alignment horizontal="center" vertical="center"/>
    </xf>
    <xf numFmtId="0" fontId="29" fillId="7" borderId="8" xfId="0" applyFont="1" applyFill="1" applyBorder="1" applyAlignment="1">
      <alignment horizontal="center" vertical="center"/>
    </xf>
    <xf numFmtId="43" fontId="27" fillId="0" borderId="25" xfId="1" applyFont="1" applyFill="1" applyBorder="1" applyAlignment="1">
      <alignment horizontal="center" vertical="center" wrapText="1"/>
    </xf>
    <xf numFmtId="0" fontId="17" fillId="2" borderId="8" xfId="0" applyFont="1" applyFill="1" applyBorder="1" applyAlignment="1">
      <alignment horizontal="justify" vertical="justify"/>
    </xf>
    <xf numFmtId="0" fontId="31" fillId="7" borderId="14" xfId="0" applyFont="1" applyFill="1" applyBorder="1" applyAlignment="1">
      <alignment vertical="center"/>
    </xf>
    <xf numFmtId="0" fontId="31" fillId="7" borderId="15" xfId="0" applyFont="1" applyFill="1" applyBorder="1" applyAlignment="1">
      <alignment vertical="center"/>
    </xf>
    <xf numFmtId="43" fontId="31" fillId="7" borderId="15" xfId="1" applyFont="1" applyFill="1" applyBorder="1" applyAlignment="1">
      <alignment vertical="center"/>
    </xf>
    <xf numFmtId="0" fontId="26" fillId="7" borderId="8" xfId="0" applyFont="1" applyFill="1" applyBorder="1" applyAlignment="1">
      <alignment horizontal="center" vertical="center"/>
    </xf>
    <xf numFmtId="0" fontId="29" fillId="0" borderId="19" xfId="0" applyFont="1" applyFill="1" applyBorder="1" applyAlignment="1">
      <alignment vertical="center" wrapText="1"/>
    </xf>
    <xf numFmtId="0" fontId="29" fillId="0" borderId="29" xfId="0" applyFont="1" applyFill="1" applyBorder="1" applyAlignment="1">
      <alignment vertical="center" wrapText="1"/>
    </xf>
    <xf numFmtId="0" fontId="17" fillId="2" borderId="8" xfId="0" applyFont="1" applyFill="1" applyBorder="1" applyAlignment="1">
      <alignment horizontal="justify" vertical="justify" wrapText="1"/>
    </xf>
    <xf numFmtId="0" fontId="17" fillId="0" borderId="8" xfId="0" applyFont="1" applyBorder="1" applyAlignment="1">
      <alignment horizontal="justify" vertical="justify" wrapText="1"/>
    </xf>
    <xf numFmtId="0" fontId="27" fillId="2" borderId="12" xfId="0" applyFont="1" applyFill="1" applyBorder="1" applyAlignment="1">
      <alignment vertical="center" wrapText="1"/>
    </xf>
    <xf numFmtId="0" fontId="27" fillId="2" borderId="25" xfId="0" applyNumberFormat="1" applyFont="1" applyFill="1" applyBorder="1" applyAlignment="1">
      <alignment vertical="center" wrapText="1"/>
    </xf>
    <xf numFmtId="0" fontId="27" fillId="2" borderId="12" xfId="0" applyNumberFormat="1" applyFont="1" applyFill="1" applyBorder="1" applyAlignment="1">
      <alignment vertical="center" wrapText="1"/>
    </xf>
    <xf numFmtId="0" fontId="29" fillId="0" borderId="28" xfId="0" applyFont="1" applyFill="1" applyBorder="1" applyAlignment="1">
      <alignment vertical="center" wrapText="1"/>
    </xf>
    <xf numFmtId="0" fontId="26" fillId="6" borderId="29" xfId="0" applyFont="1" applyFill="1" applyBorder="1" applyAlignment="1">
      <alignment horizontal="center" vertical="center" wrapText="1"/>
    </xf>
    <xf numFmtId="0" fontId="31" fillId="7" borderId="23" xfId="0" applyFont="1" applyFill="1" applyBorder="1" applyAlignment="1">
      <alignment vertical="center"/>
    </xf>
    <xf numFmtId="0" fontId="31" fillId="7" borderId="23" xfId="0" applyFont="1" applyFill="1" applyBorder="1" applyAlignment="1">
      <alignment horizontal="center" vertical="center"/>
    </xf>
    <xf numFmtId="0" fontId="31" fillId="7" borderId="23" xfId="0" applyFont="1" applyFill="1" applyBorder="1" applyAlignment="1">
      <alignment horizontal="justify" vertical="center"/>
    </xf>
    <xf numFmtId="0" fontId="29" fillId="2" borderId="19" xfId="0" applyFont="1" applyFill="1" applyBorder="1" applyAlignment="1">
      <alignment vertical="center"/>
    </xf>
    <xf numFmtId="43" fontId="17" fillId="0" borderId="25" xfId="1" applyFont="1" applyFill="1" applyBorder="1" applyAlignment="1">
      <alignment horizontal="center" vertical="center" wrapText="1"/>
    </xf>
    <xf numFmtId="0" fontId="29" fillId="2" borderId="29" xfId="0" applyFont="1" applyFill="1" applyBorder="1" applyAlignment="1">
      <alignment vertical="center"/>
    </xf>
    <xf numFmtId="0" fontId="29" fillId="2" borderId="29" xfId="0" applyFont="1" applyFill="1" applyBorder="1" applyAlignment="1">
      <alignment horizontal="left" vertical="center" wrapText="1"/>
    </xf>
    <xf numFmtId="1" fontId="29" fillId="0" borderId="14" xfId="0" applyNumberFormat="1" applyFont="1" applyFill="1" applyBorder="1" applyAlignment="1">
      <alignment horizontal="center" vertical="center" wrapText="1"/>
    </xf>
    <xf numFmtId="9" fontId="27" fillId="0" borderId="8" xfId="2" applyNumberFormat="1" applyFont="1" applyFill="1" applyBorder="1" applyAlignment="1">
      <alignment horizontal="center" vertical="center"/>
    </xf>
    <xf numFmtId="0" fontId="27" fillId="0" borderId="0" xfId="0" applyFont="1" applyFill="1" applyBorder="1" applyAlignment="1">
      <alignment horizontal="justify" vertical="center"/>
    </xf>
    <xf numFmtId="0" fontId="27" fillId="0" borderId="0" xfId="0" applyFont="1" applyFill="1" applyBorder="1"/>
    <xf numFmtId="0" fontId="27" fillId="0" borderId="0" xfId="0" applyFont="1" applyBorder="1"/>
    <xf numFmtId="173" fontId="29" fillId="0" borderId="27" xfId="0" applyNumberFormat="1" applyFont="1" applyFill="1" applyBorder="1" applyAlignment="1">
      <alignment horizontal="center" vertical="center" wrapText="1"/>
    </xf>
    <xf numFmtId="0" fontId="27" fillId="0" borderId="31" xfId="0" applyNumberFormat="1" applyFont="1" applyFill="1" applyBorder="1" applyAlignment="1">
      <alignment horizontal="center" vertical="center" wrapText="1"/>
    </xf>
    <xf numFmtId="43" fontId="27" fillId="2" borderId="0" xfId="1" applyFont="1" applyFill="1" applyBorder="1" applyAlignment="1">
      <alignment horizontal="center" vertical="center"/>
    </xf>
    <xf numFmtId="43" fontId="26" fillId="0" borderId="35" xfId="1" applyFont="1" applyFill="1" applyBorder="1" applyAlignment="1">
      <alignment horizontal="center" vertical="center" wrapText="1"/>
    </xf>
    <xf numFmtId="164" fontId="29" fillId="2" borderId="45" xfId="0" applyNumberFormat="1" applyFont="1" applyFill="1" applyBorder="1" applyAlignment="1">
      <alignment horizontal="justify" vertical="center" wrapText="1"/>
    </xf>
    <xf numFmtId="0" fontId="29" fillId="2" borderId="43" xfId="0" applyFont="1" applyFill="1" applyBorder="1" applyAlignment="1">
      <alignment horizontal="justify" vertical="center" wrapText="1"/>
    </xf>
    <xf numFmtId="0" fontId="29" fillId="2" borderId="44" xfId="0" applyFont="1" applyFill="1" applyBorder="1" applyAlignment="1">
      <alignment horizontal="justify" vertical="center" wrapText="1"/>
    </xf>
    <xf numFmtId="0" fontId="29" fillId="2" borderId="45" xfId="0" applyFont="1" applyFill="1" applyBorder="1" applyAlignment="1">
      <alignment horizontal="center" vertical="center" wrapText="1"/>
    </xf>
    <xf numFmtId="0" fontId="29" fillId="2" borderId="43" xfId="0" applyFont="1" applyFill="1" applyBorder="1" applyAlignment="1">
      <alignment vertical="center" wrapText="1"/>
    </xf>
    <xf numFmtId="0" fontId="29" fillId="2" borderId="46" xfId="0" applyFont="1" applyFill="1" applyBorder="1" applyAlignment="1">
      <alignment horizontal="justify" vertical="center" wrapText="1"/>
    </xf>
    <xf numFmtId="0" fontId="27" fillId="0" borderId="0" xfId="0" applyFont="1" applyBorder="1" applyAlignment="1">
      <alignment horizontal="justify" vertical="center"/>
    </xf>
    <xf numFmtId="0" fontId="27" fillId="0" borderId="8" xfId="0" applyFont="1" applyBorder="1"/>
    <xf numFmtId="0" fontId="27" fillId="0" borderId="0" xfId="0" applyNumberFormat="1" applyFont="1" applyAlignment="1">
      <alignment wrapText="1"/>
    </xf>
    <xf numFmtId="0" fontId="27" fillId="0" borderId="0" xfId="0" applyNumberFormat="1" applyFont="1" applyBorder="1" applyAlignment="1">
      <alignment horizontal="center" wrapText="1"/>
    </xf>
    <xf numFmtId="0" fontId="29" fillId="0" borderId="0" xfId="0" applyFont="1" applyFill="1" applyBorder="1" applyAlignment="1">
      <alignment vertical="center" wrapText="1"/>
    </xf>
    <xf numFmtId="0" fontId="29" fillId="0" borderId="0" xfId="0" applyFont="1" applyFill="1" applyBorder="1" applyAlignment="1">
      <alignment horizontal="justify" vertical="center" wrapText="1"/>
    </xf>
    <xf numFmtId="0" fontId="27" fillId="2" borderId="0" xfId="0" applyFont="1" applyFill="1" applyBorder="1" applyAlignment="1">
      <alignment horizontal="justify" vertical="center" wrapText="1"/>
    </xf>
    <xf numFmtId="0" fontId="27" fillId="0" borderId="0" xfId="0" applyNumberFormat="1" applyFont="1" applyBorder="1" applyAlignment="1">
      <alignment wrapText="1"/>
    </xf>
    <xf numFmtId="0" fontId="27" fillId="0" borderId="0" xfId="0" applyFont="1" applyBorder="1" applyAlignment="1">
      <alignment wrapText="1"/>
    </xf>
    <xf numFmtId="164" fontId="26" fillId="0" borderId="0" xfId="0" applyNumberFormat="1" applyFont="1" applyBorder="1" applyAlignment="1">
      <alignment wrapText="1"/>
    </xf>
    <xf numFmtId="0" fontId="27" fillId="0" borderId="0" xfId="0" applyFont="1" applyBorder="1" applyAlignment="1">
      <alignment horizontal="justify" vertical="center" wrapText="1"/>
    </xf>
    <xf numFmtId="164" fontId="27" fillId="0" borderId="0" xfId="0" applyNumberFormat="1" applyFont="1" applyAlignment="1">
      <alignment horizontal="center" vertical="center" wrapText="1"/>
    </xf>
    <xf numFmtId="0" fontId="27" fillId="0" borderId="0" xfId="0" applyFont="1" applyAlignment="1">
      <alignment horizontal="center" wrapText="1"/>
    </xf>
    <xf numFmtId="0" fontId="27" fillId="0" borderId="0" xfId="0" applyFont="1" applyAlignment="1">
      <alignment horizontal="justify" wrapText="1"/>
    </xf>
    <xf numFmtId="0" fontId="17" fillId="0" borderId="0" xfId="0" applyFont="1" applyAlignment="1">
      <alignment horizontal="left"/>
    </xf>
    <xf numFmtId="0" fontId="27" fillId="0" borderId="0" xfId="0" applyNumberFormat="1" applyFont="1" applyBorder="1" applyAlignment="1">
      <alignment horizontal="justify" wrapText="1"/>
    </xf>
    <xf numFmtId="166" fontId="27" fillId="0" borderId="0" xfId="0" applyNumberFormat="1" applyFont="1" applyAlignment="1">
      <alignment horizontal="center" vertical="center" wrapText="1"/>
    </xf>
    <xf numFmtId="0" fontId="27" fillId="0" borderId="0" xfId="0" applyFont="1" applyBorder="1" applyAlignment="1">
      <alignment horizontal="justify" wrapText="1"/>
    </xf>
    <xf numFmtId="164" fontId="27" fillId="2" borderId="0" xfId="0" applyNumberFormat="1" applyFont="1" applyFill="1" applyBorder="1" applyAlignment="1">
      <alignment wrapText="1"/>
    </xf>
    <xf numFmtId="177" fontId="31" fillId="0" borderId="0" xfId="0" applyNumberFormat="1" applyFont="1" applyAlignment="1">
      <alignment horizontal="right" vertical="center"/>
    </xf>
    <xf numFmtId="0" fontId="27" fillId="0" borderId="0" xfId="0" applyNumberFormat="1" applyFont="1" applyAlignment="1">
      <alignment horizontal="center" wrapText="1"/>
    </xf>
    <xf numFmtId="0" fontId="27" fillId="0" borderId="0" xfId="0" applyNumberFormat="1" applyFont="1" applyAlignment="1">
      <alignment horizontal="justify" wrapText="1"/>
    </xf>
    <xf numFmtId="164" fontId="27" fillId="0" borderId="0" xfId="0" applyNumberFormat="1" applyFont="1" applyBorder="1" applyAlignment="1">
      <alignment wrapText="1"/>
    </xf>
    <xf numFmtId="164" fontId="27" fillId="0" borderId="0" xfId="0" applyNumberFormat="1" applyFont="1" applyAlignment="1">
      <alignment wrapText="1"/>
    </xf>
    <xf numFmtId="0" fontId="27" fillId="0" borderId="0" xfId="0" applyFont="1" applyAlignment="1">
      <alignment horizontal="justify"/>
    </xf>
    <xf numFmtId="164" fontId="27" fillId="0" borderId="0" xfId="0" applyNumberFormat="1" applyFont="1"/>
    <xf numFmtId="0" fontId="27" fillId="0" borderId="0" xfId="0" applyFont="1" applyAlignment="1">
      <alignment horizontal="center"/>
    </xf>
    <xf numFmtId="0" fontId="2" fillId="0" borderId="5"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vertical="center" wrapText="1"/>
    </xf>
    <xf numFmtId="3" fontId="4" fillId="0" borderId="9" xfId="0" applyNumberFormat="1" applyFont="1" applyFill="1" applyBorder="1" applyAlignment="1">
      <alignment horizontal="left" vertical="center" wrapText="1"/>
    </xf>
    <xf numFmtId="0" fontId="26" fillId="0" borderId="25" xfId="0" applyFont="1" applyBorder="1" applyAlignment="1">
      <alignment vertical="center"/>
    </xf>
    <xf numFmtId="0" fontId="26" fillId="0" borderId="26" xfId="0" applyFont="1" applyBorder="1" applyAlignment="1">
      <alignment vertical="center"/>
    </xf>
    <xf numFmtId="0" fontId="26" fillId="3" borderId="31" xfId="0" applyFont="1" applyFill="1" applyBorder="1" applyAlignment="1">
      <alignment horizontal="center" vertical="center" textRotation="90" wrapText="1"/>
    </xf>
    <xf numFmtId="1" fontId="26" fillId="5" borderId="47" xfId="0" applyNumberFormat="1" applyFont="1" applyFill="1" applyBorder="1" applyAlignment="1">
      <alignment horizontal="center" vertical="center" wrapText="1"/>
    </xf>
    <xf numFmtId="1" fontId="26" fillId="6" borderId="14" xfId="0" applyNumberFormat="1" applyFont="1" applyFill="1" applyBorder="1" applyAlignment="1">
      <alignment horizontal="center" vertical="center"/>
    </xf>
    <xf numFmtId="3" fontId="27" fillId="2" borderId="19" xfId="0" applyNumberFormat="1" applyFont="1" applyFill="1" applyBorder="1" applyAlignment="1">
      <alignment horizontal="center" vertical="center" wrapText="1"/>
    </xf>
    <xf numFmtId="3" fontId="27" fillId="2" borderId="29" xfId="0" applyNumberFormat="1" applyFont="1" applyFill="1" applyBorder="1" applyAlignment="1">
      <alignment horizontal="center" vertical="center" wrapText="1"/>
    </xf>
    <xf numFmtId="1" fontId="27" fillId="0" borderId="32" xfId="0" applyNumberFormat="1" applyFont="1" applyBorder="1"/>
    <xf numFmtId="0" fontId="27" fillId="0" borderId="33" xfId="0" applyFont="1" applyBorder="1"/>
    <xf numFmtId="0" fontId="27" fillId="2" borderId="33" xfId="0" applyFont="1" applyFill="1" applyBorder="1" applyAlignment="1">
      <alignment horizontal="center"/>
    </xf>
    <xf numFmtId="169" fontId="27" fillId="2" borderId="33" xfId="0" applyNumberFormat="1" applyFont="1" applyFill="1" applyBorder="1" applyAlignment="1">
      <alignment horizontal="center" vertical="center"/>
    </xf>
    <xf numFmtId="43" fontId="26" fillId="2" borderId="35" xfId="1" applyFont="1" applyFill="1" applyBorder="1" applyAlignment="1">
      <alignment horizontal="center" vertical="center"/>
    </xf>
    <xf numFmtId="0" fontId="27" fillId="2" borderId="33" xfId="0" applyFont="1" applyFill="1" applyBorder="1" applyAlignment="1">
      <alignment horizontal="center" vertical="center"/>
    </xf>
    <xf numFmtId="165" fontId="27" fillId="0" borderId="33" xfId="0" applyNumberFormat="1" applyFont="1" applyFill="1" applyBorder="1" applyAlignment="1">
      <alignment horizontal="right" vertical="center"/>
    </xf>
    <xf numFmtId="165" fontId="27" fillId="0" borderId="33" xfId="0" applyNumberFormat="1" applyFont="1" applyBorder="1" applyAlignment="1">
      <alignment horizontal="center"/>
    </xf>
    <xf numFmtId="0" fontId="27" fillId="0" borderId="34" xfId="0" applyFont="1" applyBorder="1" applyAlignment="1">
      <alignment horizontal="justify" vertical="center"/>
    </xf>
    <xf numFmtId="0" fontId="3" fillId="0" borderId="2" xfId="0" applyFont="1" applyBorder="1"/>
    <xf numFmtId="0" fontId="3" fillId="2" borderId="2" xfId="0" applyFont="1" applyFill="1" applyBorder="1" applyAlignment="1">
      <alignment horizontal="justify" vertical="center"/>
    </xf>
    <xf numFmtId="169" fontId="3" fillId="2" borderId="0" xfId="0" applyNumberFormat="1" applyFont="1" applyFill="1" applyAlignment="1">
      <alignment horizontal="center" vertical="center"/>
    </xf>
    <xf numFmtId="164" fontId="3" fillId="2" borderId="0" xfId="0" applyNumberFormat="1" applyFont="1" applyFill="1" applyAlignment="1">
      <alignment vertical="center"/>
    </xf>
    <xf numFmtId="0" fontId="3" fillId="2" borderId="0" xfId="0" applyFont="1" applyFill="1" applyAlignment="1">
      <alignment horizontal="center" vertical="center"/>
    </xf>
    <xf numFmtId="165" fontId="3" fillId="0" borderId="0" xfId="0" applyNumberFormat="1" applyFont="1" applyFill="1" applyAlignment="1">
      <alignment horizontal="right" vertical="center"/>
    </xf>
    <xf numFmtId="165" fontId="3" fillId="0" borderId="0" xfId="0" applyNumberFormat="1" applyFont="1" applyAlignment="1">
      <alignment horizontal="center"/>
    </xf>
    <xf numFmtId="0" fontId="3" fillId="0" borderId="0" xfId="0" applyFont="1" applyAlignment="1">
      <alignment horizontal="justify" vertical="center"/>
    </xf>
    <xf numFmtId="0" fontId="3" fillId="2" borderId="0" xfId="0" applyFont="1" applyFill="1" applyBorder="1" applyAlignment="1">
      <alignment horizontal="justify" vertical="center"/>
    </xf>
    <xf numFmtId="0" fontId="27" fillId="0" borderId="19"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17" fillId="0" borderId="19" xfId="0" applyFont="1" applyFill="1" applyBorder="1" applyAlignment="1">
      <alignment horizontal="justify" vertical="center" wrapText="1"/>
    </xf>
    <xf numFmtId="43" fontId="27" fillId="0" borderId="19" xfId="1" applyFont="1" applyFill="1" applyBorder="1" applyAlignment="1">
      <alignment horizontal="center" vertical="center" wrapText="1"/>
    </xf>
    <xf numFmtId="0" fontId="27" fillId="0" borderId="28" xfId="0" applyFont="1" applyFill="1" applyBorder="1" applyAlignment="1">
      <alignment horizontal="justify" vertical="center" wrapText="1"/>
    </xf>
    <xf numFmtId="0" fontId="27" fillId="0" borderId="8" xfId="0" applyFont="1" applyFill="1" applyBorder="1" applyAlignment="1">
      <alignment horizontal="justify" vertical="center" wrapText="1"/>
    </xf>
    <xf numFmtId="0" fontId="27" fillId="2" borderId="8" xfId="0" applyFont="1" applyFill="1" applyBorder="1" applyAlignment="1">
      <alignment horizontal="justify" vertical="center" wrapText="1"/>
    </xf>
    <xf numFmtId="0" fontId="27" fillId="2" borderId="19" xfId="0" applyFont="1" applyFill="1" applyBorder="1" applyAlignment="1">
      <alignment horizontal="justify" vertical="center" wrapText="1"/>
    </xf>
    <xf numFmtId="0" fontId="27" fillId="0" borderId="14" xfId="0" applyFont="1" applyFill="1" applyBorder="1" applyAlignment="1">
      <alignment horizontal="center" vertical="center" wrapText="1"/>
    </xf>
    <xf numFmtId="0" fontId="17" fillId="2" borderId="19" xfId="0" applyFont="1" applyFill="1" applyBorder="1" applyAlignment="1">
      <alignment horizontal="justify" vertical="center" wrapText="1"/>
    </xf>
    <xf numFmtId="0" fontId="17" fillId="2" borderId="8" xfId="0" applyFont="1" applyFill="1" applyBorder="1" applyAlignment="1">
      <alignment horizontal="justify" vertical="center" wrapText="1"/>
    </xf>
    <xf numFmtId="0" fontId="15" fillId="7" borderId="15" xfId="0" applyFont="1" applyFill="1" applyBorder="1" applyAlignment="1">
      <alignment horizontal="left" vertical="center"/>
    </xf>
    <xf numFmtId="9" fontId="27" fillId="0" borderId="19" xfId="2" applyNumberFormat="1" applyFont="1" applyFill="1" applyBorder="1" applyAlignment="1">
      <alignment horizontal="center" vertical="center"/>
    </xf>
    <xf numFmtId="0" fontId="29" fillId="0" borderId="29"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2" borderId="29" xfId="0" applyFont="1" applyFill="1" applyBorder="1" applyAlignment="1">
      <alignment horizontal="center" vertical="center" wrapText="1"/>
    </xf>
    <xf numFmtId="174" fontId="27" fillId="2" borderId="29"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8" xfId="0" applyFont="1" applyFill="1" applyBorder="1" applyAlignment="1">
      <alignment horizontal="justify" vertical="center" wrapText="1"/>
    </xf>
    <xf numFmtId="168" fontId="26" fillId="10" borderId="8" xfId="0" applyNumberFormat="1" applyFont="1" applyFill="1" applyBorder="1" applyAlignment="1">
      <alignment horizontal="center" vertical="center" wrapText="1"/>
    </xf>
    <xf numFmtId="43" fontId="27" fillId="2" borderId="19" xfId="1" applyFont="1" applyFill="1" applyBorder="1" applyAlignment="1">
      <alignment horizontal="center" vertical="center" wrapText="1"/>
    </xf>
    <xf numFmtId="43" fontId="27" fillId="2" borderId="28" xfId="1" applyFont="1" applyFill="1" applyBorder="1" applyAlignment="1">
      <alignment horizontal="center" vertical="center" wrapText="1"/>
    </xf>
    <xf numFmtId="0" fontId="27" fillId="0" borderId="8" xfId="0" applyFont="1" applyFill="1" applyBorder="1" applyAlignment="1">
      <alignment horizontal="justify" vertical="center" wrapText="1"/>
    </xf>
    <xf numFmtId="0" fontId="27" fillId="0" borderId="14" xfId="0" applyFont="1" applyFill="1" applyBorder="1" applyAlignment="1">
      <alignment horizontal="center" vertical="center" wrapText="1"/>
    </xf>
    <xf numFmtId="0" fontId="27" fillId="2" borderId="8" xfId="0" applyFont="1" applyFill="1" applyBorder="1" applyAlignment="1">
      <alignment horizontal="justify" vertical="center" wrapText="1"/>
    </xf>
    <xf numFmtId="0" fontId="27" fillId="2" borderId="19" xfId="0" applyFont="1" applyFill="1" applyBorder="1" applyAlignment="1">
      <alignment horizontal="justify" vertical="center" wrapText="1"/>
    </xf>
    <xf numFmtId="0" fontId="27" fillId="0" borderId="8"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0" borderId="28" xfId="0" applyFont="1" applyFill="1" applyBorder="1" applyAlignment="1">
      <alignment horizontal="justify" vertical="center" wrapText="1"/>
    </xf>
    <xf numFmtId="0" fontId="26" fillId="3" borderId="19" xfId="0" applyFont="1" applyFill="1" applyBorder="1" applyAlignment="1">
      <alignment horizontal="center" vertical="center" textRotation="90" wrapText="1"/>
    </xf>
    <xf numFmtId="49" fontId="26" fillId="3" borderId="19" xfId="0" applyNumberFormat="1" applyFont="1" applyFill="1" applyBorder="1" applyAlignment="1">
      <alignment horizontal="center" vertical="center" textRotation="90" wrapText="1"/>
    </xf>
    <xf numFmtId="0" fontId="26" fillId="0" borderId="11" xfId="0" applyFont="1" applyBorder="1" applyAlignment="1">
      <alignment horizontal="center" vertical="center"/>
    </xf>
    <xf numFmtId="0" fontId="26" fillId="0" borderId="8" xfId="0" applyFont="1" applyBorder="1" applyAlignment="1">
      <alignment horizontal="center" vertical="center"/>
    </xf>
    <xf numFmtId="0" fontId="26" fillId="3" borderId="27" xfId="0" applyFont="1" applyFill="1" applyBorder="1" applyAlignment="1">
      <alignment horizontal="center" vertical="center" wrapText="1"/>
    </xf>
    <xf numFmtId="1" fontId="26" fillId="3" borderId="29" xfId="0" applyNumberFormat="1" applyFont="1" applyFill="1" applyBorder="1" applyAlignment="1">
      <alignment horizontal="center" vertical="center" wrapText="1"/>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0" xfId="0" applyFont="1" applyBorder="1" applyAlignment="1">
      <alignment horizontal="center" vertical="center"/>
    </xf>
    <xf numFmtId="0" fontId="27" fillId="2" borderId="29" xfId="0" applyFont="1" applyFill="1" applyBorder="1" applyAlignment="1">
      <alignment horizontal="justify" vertical="center" wrapText="1"/>
    </xf>
    <xf numFmtId="0" fontId="27" fillId="2" borderId="28" xfId="0" applyFont="1" applyFill="1" applyBorder="1" applyAlignment="1">
      <alignment horizontal="justify" vertical="center" wrapText="1"/>
    </xf>
    <xf numFmtId="0" fontId="27" fillId="2" borderId="19"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9" fillId="0" borderId="8" xfId="0" applyFont="1" applyFill="1" applyBorder="1" applyAlignment="1">
      <alignment horizontal="justify" vertical="center" wrapText="1"/>
    </xf>
    <xf numFmtId="0" fontId="29" fillId="0" borderId="19" xfId="0" applyFont="1" applyFill="1" applyBorder="1" applyAlignment="1">
      <alignment horizontal="justify" vertical="center" wrapText="1"/>
    </xf>
    <xf numFmtId="1" fontId="26" fillId="3" borderId="36" xfId="0" applyNumberFormat="1" applyFont="1" applyFill="1" applyBorder="1" applyAlignment="1">
      <alignment horizontal="center" vertical="center" wrapText="1"/>
    </xf>
    <xf numFmtId="1" fontId="26" fillId="2" borderId="6" xfId="0" applyNumberFormat="1" applyFont="1" applyFill="1" applyBorder="1" applyAlignment="1">
      <alignment horizontal="center" vertical="center" wrapText="1"/>
    </xf>
    <xf numFmtId="3" fontId="27" fillId="2" borderId="19" xfId="0" applyNumberFormat="1" applyFont="1" applyFill="1" applyBorder="1" applyAlignment="1">
      <alignment horizontal="center" vertical="center" wrapText="1"/>
    </xf>
    <xf numFmtId="3" fontId="27" fillId="2" borderId="29" xfId="0" applyNumberFormat="1" applyFont="1" applyFill="1" applyBorder="1" applyAlignment="1">
      <alignment horizontal="center" vertical="center" wrapText="1"/>
    </xf>
    <xf numFmtId="0" fontId="23" fillId="0" borderId="8" xfId="0" applyFont="1" applyBorder="1" applyAlignment="1">
      <alignment vertical="center"/>
    </xf>
    <xf numFmtId="173" fontId="23" fillId="0" borderId="8" xfId="0" applyNumberFormat="1" applyFont="1" applyBorder="1" applyAlignment="1">
      <alignment horizontal="left" vertical="center"/>
    </xf>
    <xf numFmtId="17" fontId="23" fillId="0" borderId="8" xfId="0" applyNumberFormat="1" applyFont="1" applyBorder="1" applyAlignment="1">
      <alignment horizontal="left" vertical="center"/>
    </xf>
    <xf numFmtId="3" fontId="25" fillId="9" borderId="19" xfId="0" applyNumberFormat="1" applyFont="1" applyFill="1" applyBorder="1" applyAlignment="1">
      <alignment horizontal="left" vertical="center" wrapText="1"/>
    </xf>
    <xf numFmtId="0" fontId="23" fillId="0" borderId="4" xfId="0" applyFont="1" applyFill="1" applyBorder="1" applyAlignment="1">
      <alignment vertical="center"/>
    </xf>
    <xf numFmtId="0" fontId="23" fillId="0" borderId="5" xfId="0" applyFont="1" applyFill="1" applyBorder="1" applyAlignment="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3" fontId="25" fillId="0" borderId="9" xfId="0" applyNumberFormat="1" applyFont="1" applyFill="1" applyBorder="1" applyAlignment="1">
      <alignment horizontal="left" vertical="center" wrapText="1"/>
    </xf>
    <xf numFmtId="1" fontId="26" fillId="5" borderId="47" xfId="0" applyNumberFormat="1" applyFont="1" applyFill="1" applyBorder="1" applyAlignment="1">
      <alignment horizontal="left" vertical="center" wrapText="1"/>
    </xf>
    <xf numFmtId="169" fontId="26" fillId="5" borderId="15" xfId="0" applyNumberFormat="1" applyFont="1" applyFill="1" applyBorder="1" applyAlignment="1">
      <alignment horizontal="justify" vertical="center"/>
    </xf>
    <xf numFmtId="0" fontId="26" fillId="5" borderId="17" xfId="0" applyFont="1" applyFill="1" applyBorder="1" applyAlignment="1">
      <alignment horizontal="justify" vertical="center"/>
    </xf>
    <xf numFmtId="169" fontId="26" fillId="6" borderId="11" xfId="0" applyNumberFormat="1" applyFont="1" applyFill="1" applyBorder="1" applyAlignment="1">
      <alignment horizontal="justify" vertical="center"/>
    </xf>
    <xf numFmtId="0" fontId="26" fillId="6" borderId="26" xfId="0" applyFont="1" applyFill="1" applyBorder="1" applyAlignment="1">
      <alignment horizontal="justify" vertical="center"/>
    </xf>
    <xf numFmtId="0" fontId="27" fillId="7" borderId="8" xfId="0" applyFont="1" applyFill="1" applyBorder="1" applyAlignment="1">
      <alignment horizontal="center" vertical="center" wrapText="1"/>
    </xf>
    <xf numFmtId="0" fontId="26" fillId="7" borderId="23" xfId="0" applyFont="1" applyFill="1" applyBorder="1" applyAlignment="1">
      <alignment horizontal="justify" vertical="center"/>
    </xf>
    <xf numFmtId="0" fontId="26" fillId="7" borderId="19" xfId="0" applyFont="1" applyFill="1" applyBorder="1" applyAlignment="1">
      <alignment horizontal="justify" vertical="center"/>
    </xf>
    <xf numFmtId="169" fontId="26" fillId="7" borderId="23" xfId="0" applyNumberFormat="1" applyFont="1" applyFill="1" applyBorder="1" applyAlignment="1">
      <alignment horizontal="justify" vertical="center"/>
    </xf>
    <xf numFmtId="164" fontId="26" fillId="7" borderId="23" xfId="0" applyNumberFormat="1" applyFont="1" applyFill="1" applyBorder="1" applyAlignment="1">
      <alignment horizontal="justify" vertical="center"/>
    </xf>
    <xf numFmtId="164" fontId="26" fillId="7" borderId="23" xfId="0" applyNumberFormat="1" applyFont="1" applyFill="1" applyBorder="1" applyAlignment="1">
      <alignment horizontal="center" vertical="center"/>
    </xf>
    <xf numFmtId="0" fontId="26" fillId="7" borderId="23" xfId="0" applyFont="1" applyFill="1" applyBorder="1" applyAlignment="1">
      <alignment vertical="center"/>
    </xf>
    <xf numFmtId="165" fontId="26" fillId="7" borderId="23" xfId="0" applyNumberFormat="1" applyFont="1" applyFill="1" applyBorder="1" applyAlignment="1">
      <alignment vertical="center"/>
    </xf>
    <xf numFmtId="0" fontId="26" fillId="7" borderId="24" xfId="0" applyFont="1" applyFill="1" applyBorder="1" applyAlignment="1">
      <alignment horizontal="justify" vertical="center"/>
    </xf>
    <xf numFmtId="1" fontId="27" fillId="2" borderId="6" xfId="0" applyNumberFormat="1" applyFont="1" applyFill="1" applyBorder="1" applyAlignment="1">
      <alignment horizontal="center" vertical="center" wrapText="1"/>
    </xf>
    <xf numFmtId="0" fontId="28" fillId="0" borderId="8" xfId="0" applyFont="1" applyFill="1" applyBorder="1" applyAlignment="1">
      <alignment horizontal="justify" vertical="center" wrapText="1" readingOrder="2"/>
    </xf>
    <xf numFmtId="43" fontId="27" fillId="0" borderId="8" xfId="1" applyFont="1" applyFill="1" applyBorder="1" applyAlignment="1">
      <alignment horizontal="right" vertical="center" wrapText="1"/>
    </xf>
    <xf numFmtId="9" fontId="27" fillId="0" borderId="8" xfId="2" applyFont="1" applyFill="1" applyBorder="1" applyAlignment="1">
      <alignment horizontal="center" vertical="center" wrapText="1"/>
    </xf>
    <xf numFmtId="43" fontId="27" fillId="0" borderId="19" xfId="1" applyFont="1" applyFill="1" applyBorder="1" applyAlignment="1">
      <alignment horizontal="right" vertical="center" wrapText="1"/>
    </xf>
    <xf numFmtId="1" fontId="27" fillId="0" borderId="32" xfId="0" applyNumberFormat="1" applyFont="1" applyFill="1" applyBorder="1"/>
    <xf numFmtId="0" fontId="27" fillId="0" borderId="33" xfId="0" applyFont="1" applyFill="1" applyBorder="1"/>
    <xf numFmtId="0" fontId="27" fillId="0" borderId="33" xfId="0" applyFont="1" applyFill="1" applyBorder="1" applyAlignment="1"/>
    <xf numFmtId="0" fontId="27" fillId="0" borderId="33" xfId="0" applyFont="1" applyFill="1" applyBorder="1" applyAlignment="1">
      <alignment vertical="center" wrapText="1"/>
    </xf>
    <xf numFmtId="0" fontId="27" fillId="0" borderId="33" xfId="0" applyFont="1" applyFill="1" applyBorder="1" applyAlignment="1">
      <alignment horizontal="justify" vertical="center"/>
    </xf>
    <xf numFmtId="0" fontId="27" fillId="0" borderId="33" xfId="0" applyFont="1" applyFill="1" applyBorder="1" applyAlignment="1">
      <alignment horizontal="justify"/>
    </xf>
    <xf numFmtId="169" fontId="27" fillId="0" borderId="34" xfId="0" applyNumberFormat="1" applyFont="1" applyFill="1" applyBorder="1" applyAlignment="1">
      <alignment horizontal="justify" vertical="center"/>
    </xf>
    <xf numFmtId="43" fontId="26" fillId="0" borderId="35" xfId="1" applyFont="1" applyFill="1" applyBorder="1" applyAlignment="1">
      <alignment horizontal="justify" vertical="center"/>
    </xf>
    <xf numFmtId="0" fontId="27" fillId="0" borderId="32" xfId="0" applyFont="1" applyFill="1" applyBorder="1" applyAlignment="1">
      <alignment horizontal="justify" vertical="center"/>
    </xf>
    <xf numFmtId="0" fontId="27" fillId="0" borderId="34" xfId="0" applyFont="1" applyFill="1" applyBorder="1" applyAlignment="1">
      <alignment horizontal="justify" vertical="center"/>
    </xf>
    <xf numFmtId="164" fontId="26" fillId="0" borderId="0" xfId="0" applyNumberFormat="1" applyFont="1" applyFill="1" applyBorder="1" applyAlignment="1">
      <alignment horizontal="justify" vertical="center"/>
    </xf>
    <xf numFmtId="164" fontId="26" fillId="0" borderId="0" xfId="0" applyNumberFormat="1" applyFont="1" applyFill="1" applyBorder="1" applyAlignment="1">
      <alignment vertical="center"/>
    </xf>
    <xf numFmtId="164" fontId="26" fillId="2" borderId="0" xfId="0" applyNumberFormat="1" applyFont="1" applyFill="1" applyBorder="1" applyAlignment="1">
      <alignment vertical="center"/>
    </xf>
    <xf numFmtId="0" fontId="27" fillId="2" borderId="0" xfId="0" applyFont="1" applyFill="1" applyBorder="1" applyAlignment="1"/>
    <xf numFmtId="179" fontId="26" fillId="2" borderId="0" xfId="0" applyNumberFormat="1" applyFont="1" applyFill="1" applyBorder="1" applyAlignment="1">
      <alignment horizontal="right" vertical="center"/>
    </xf>
    <xf numFmtId="170" fontId="27" fillId="2" borderId="0" xfId="0" applyNumberFormat="1" applyFont="1" applyFill="1" applyBorder="1" applyAlignment="1">
      <alignment vertical="center"/>
    </xf>
    <xf numFmtId="1" fontId="27" fillId="0" borderId="0" xfId="0" applyNumberFormat="1" applyFont="1" applyFill="1"/>
    <xf numFmtId="0" fontId="27" fillId="0" borderId="0" xfId="0" applyFont="1" applyFill="1" applyAlignment="1"/>
    <xf numFmtId="0" fontId="27" fillId="0" borderId="0" xfId="0" applyFont="1" applyFill="1" applyBorder="1" applyAlignment="1"/>
    <xf numFmtId="0" fontId="27" fillId="0" borderId="0" xfId="0" applyFont="1" applyFill="1" applyBorder="1" applyAlignment="1">
      <alignment vertical="center" wrapText="1"/>
    </xf>
    <xf numFmtId="0" fontId="27" fillId="0" borderId="0" xfId="0" applyFont="1" applyFill="1" applyBorder="1" applyAlignment="1">
      <alignment horizontal="justify"/>
    </xf>
    <xf numFmtId="0" fontId="27" fillId="0" borderId="0" xfId="0" applyFont="1" applyFill="1" applyAlignment="1">
      <alignment horizontal="justify"/>
    </xf>
    <xf numFmtId="164" fontId="27" fillId="0" borderId="0" xfId="0" applyNumberFormat="1" applyFont="1" applyFill="1" applyAlignment="1">
      <alignment horizontal="center" vertical="center"/>
    </xf>
    <xf numFmtId="165" fontId="27" fillId="0" borderId="0" xfId="0" applyNumberFormat="1" applyFont="1" applyFill="1" applyAlignment="1">
      <alignment horizontal="right" vertical="center"/>
    </xf>
    <xf numFmtId="165" fontId="27" fillId="0" borderId="0" xfId="0" applyNumberFormat="1" applyFont="1" applyAlignment="1">
      <alignment horizontal="center"/>
    </xf>
    <xf numFmtId="1" fontId="27" fillId="0" borderId="0" xfId="0" applyNumberFormat="1" applyFont="1"/>
    <xf numFmtId="169" fontId="27" fillId="2" borderId="0" xfId="0" applyNumberFormat="1" applyFont="1" applyFill="1" applyAlignment="1">
      <alignment horizontal="justify" vertical="center"/>
    </xf>
    <xf numFmtId="0" fontId="23" fillId="0" borderId="5" xfId="0" applyFont="1" applyBorder="1"/>
    <xf numFmtId="173" fontId="23" fillId="0" borderId="9" xfId="0" applyNumberFormat="1" applyFont="1" applyBorder="1" applyAlignment="1">
      <alignment horizontal="left"/>
    </xf>
    <xf numFmtId="17" fontId="23" fillId="0" borderId="9" xfId="0" applyNumberFormat="1" applyFont="1" applyBorder="1" applyAlignment="1">
      <alignment horizontal="left"/>
    </xf>
    <xf numFmtId="3" fontId="25" fillId="9" borderId="9" xfId="0" applyNumberFormat="1" applyFont="1" applyFill="1" applyBorder="1" applyAlignment="1">
      <alignment horizontal="left" vertical="center" wrapText="1"/>
    </xf>
    <xf numFmtId="0" fontId="26" fillId="0" borderId="15" xfId="0" applyFont="1" applyBorder="1" applyAlignment="1">
      <alignment horizontal="justify" vertical="center" wrapText="1"/>
    </xf>
    <xf numFmtId="3" fontId="15" fillId="10" borderId="8" xfId="0" applyNumberFormat="1" applyFont="1" applyFill="1" applyBorder="1" applyAlignment="1">
      <alignment horizontal="center" vertical="center" textRotation="90" wrapText="1"/>
    </xf>
    <xf numFmtId="3" fontId="15" fillId="10" borderId="15" xfId="0" applyNumberFormat="1" applyFont="1" applyFill="1" applyBorder="1" applyAlignment="1">
      <alignment horizontal="center" vertical="center" textRotation="90" wrapText="1"/>
    </xf>
    <xf numFmtId="0" fontId="15" fillId="10" borderId="14" xfId="0" applyFont="1" applyFill="1" applyBorder="1" applyAlignment="1">
      <alignment horizontal="center" vertical="center" textRotation="90" wrapText="1"/>
    </xf>
    <xf numFmtId="0" fontId="15" fillId="10" borderId="14" xfId="0" applyFont="1" applyFill="1" applyBorder="1" applyAlignment="1">
      <alignment horizontal="center" vertical="center" textRotation="90"/>
    </xf>
    <xf numFmtId="0" fontId="15" fillId="10" borderId="8" xfId="0" applyFont="1" applyFill="1" applyBorder="1" applyAlignment="1">
      <alignment horizontal="center" vertical="center" textRotation="90"/>
    </xf>
    <xf numFmtId="168" fontId="26" fillId="3" borderId="8" xfId="0" applyNumberFormat="1" applyFont="1" applyFill="1" applyBorder="1" applyAlignment="1">
      <alignment horizontal="center" vertical="center" wrapText="1"/>
    </xf>
    <xf numFmtId="168" fontId="26" fillId="3" borderId="8" xfId="0" applyNumberFormat="1" applyFont="1" applyFill="1" applyBorder="1" applyAlignment="1">
      <alignment horizontal="justify" vertical="center" wrapText="1"/>
    </xf>
    <xf numFmtId="168" fontId="26" fillId="3" borderId="8" xfId="0" applyNumberFormat="1" applyFont="1" applyFill="1" applyBorder="1" applyAlignment="1">
      <alignment vertical="center" wrapText="1"/>
    </xf>
    <xf numFmtId="0" fontId="26" fillId="3" borderId="8" xfId="0" applyFont="1" applyFill="1" applyBorder="1" applyAlignment="1">
      <alignment horizontal="center" vertical="center" wrapText="1"/>
    </xf>
    <xf numFmtId="0" fontId="26" fillId="0" borderId="0" xfId="0" applyFont="1" applyBorder="1" applyAlignment="1">
      <alignment horizontal="center"/>
    </xf>
    <xf numFmtId="0" fontId="26" fillId="3" borderId="0" xfId="0" applyFont="1" applyFill="1" applyBorder="1" applyAlignment="1">
      <alignment horizontal="center" vertical="center" wrapText="1"/>
    </xf>
    <xf numFmtId="0" fontId="26" fillId="3" borderId="8" xfId="0" applyFont="1" applyFill="1" applyBorder="1" applyAlignment="1">
      <alignment vertical="center" wrapText="1"/>
    </xf>
    <xf numFmtId="0" fontId="26" fillId="3" borderId="8" xfId="0" applyFont="1" applyFill="1" applyBorder="1" applyAlignment="1">
      <alignment horizontal="justify" vertical="center" wrapText="1"/>
    </xf>
    <xf numFmtId="169" fontId="26" fillId="3" borderId="8" xfId="0" applyNumberFormat="1" applyFont="1" applyFill="1" applyBorder="1" applyAlignment="1">
      <alignment horizontal="center" vertical="center" wrapText="1"/>
    </xf>
    <xf numFmtId="2" fontId="26" fillId="3" borderId="8" xfId="0" applyNumberFormat="1" applyFont="1" applyFill="1" applyBorder="1" applyAlignment="1">
      <alignment horizontal="right" vertical="center" wrapText="1"/>
    </xf>
    <xf numFmtId="180" fontId="26" fillId="3" borderId="15" xfId="13" applyNumberFormat="1" applyFont="1" applyFill="1" applyBorder="1" applyAlignment="1">
      <alignment horizontal="right" vertical="center" wrapText="1"/>
    </xf>
    <xf numFmtId="1" fontId="26" fillId="3" borderId="11" xfId="0" applyNumberFormat="1" applyFont="1" applyFill="1" applyBorder="1" applyAlignment="1">
      <alignment horizontal="center" vertical="center" wrapText="1"/>
    </xf>
    <xf numFmtId="0" fontId="26" fillId="3" borderId="23" xfId="0" applyFont="1" applyFill="1" applyBorder="1" applyAlignment="1">
      <alignment horizontal="center" vertical="center" textRotation="90" wrapText="1"/>
    </xf>
    <xf numFmtId="49" fontId="26" fillId="3" borderId="23" xfId="0" applyNumberFormat="1" applyFont="1" applyFill="1" applyBorder="1" applyAlignment="1">
      <alignment horizontal="center" vertical="center" textRotation="90" wrapText="1"/>
    </xf>
    <xf numFmtId="0" fontId="26" fillId="5" borderId="18" xfId="0" applyFont="1" applyFill="1" applyBorder="1" applyAlignment="1">
      <alignment horizontal="center" vertical="center" wrapText="1"/>
    </xf>
    <xf numFmtId="0" fontId="26" fillId="5" borderId="14" xfId="0" applyFont="1" applyFill="1" applyBorder="1" applyAlignment="1">
      <alignment vertical="center" wrapText="1"/>
    </xf>
    <xf numFmtId="0" fontId="26" fillId="5" borderId="15" xfId="0" applyFont="1" applyFill="1" applyBorder="1" applyAlignment="1">
      <alignment vertical="center" wrapText="1"/>
    </xf>
    <xf numFmtId="0" fontId="26" fillId="5" borderId="23" xfId="0" applyFont="1" applyFill="1" applyBorder="1" applyAlignment="1">
      <alignment vertical="center" wrapText="1"/>
    </xf>
    <xf numFmtId="0" fontId="26" fillId="5" borderId="15" xfId="0" applyFont="1" applyFill="1" applyBorder="1" applyAlignment="1">
      <alignment horizontal="justify" vertical="center" wrapText="1"/>
    </xf>
    <xf numFmtId="2" fontId="26" fillId="5" borderId="15" xfId="0" applyNumberFormat="1" applyFont="1" applyFill="1" applyBorder="1" applyAlignment="1">
      <alignment horizontal="right" vertical="center" wrapText="1"/>
    </xf>
    <xf numFmtId="180" fontId="26" fillId="5" borderId="15" xfId="13" applyNumberFormat="1" applyFont="1" applyFill="1" applyBorder="1" applyAlignment="1">
      <alignment horizontal="right" vertical="center" wrapText="1"/>
    </xf>
    <xf numFmtId="1" fontId="26" fillId="5" borderId="15" xfId="0" applyNumberFormat="1"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0" borderId="0" xfId="0" applyFont="1" applyBorder="1"/>
    <xf numFmtId="0" fontId="26" fillId="2" borderId="18" xfId="0" applyFont="1" applyFill="1" applyBorder="1" applyAlignment="1">
      <alignment horizontal="center" vertical="center" wrapText="1"/>
    </xf>
    <xf numFmtId="0" fontId="26" fillId="2" borderId="20" xfId="0" applyFont="1" applyFill="1" applyBorder="1"/>
    <xf numFmtId="0" fontId="26" fillId="11" borderId="20" xfId="0" applyFont="1" applyFill="1" applyBorder="1" applyAlignment="1">
      <alignment horizontal="center" vertical="center" wrapText="1"/>
    </xf>
    <xf numFmtId="0" fontId="26" fillId="11" borderId="15" xfId="0" applyFont="1" applyFill="1" applyBorder="1" applyAlignment="1">
      <alignment horizontal="justify" vertical="center" wrapText="1"/>
    </xf>
    <xf numFmtId="0" fontId="26" fillId="11" borderId="15" xfId="0" applyFont="1" applyFill="1" applyBorder="1" applyAlignment="1">
      <alignment vertical="center" wrapText="1"/>
    </xf>
    <xf numFmtId="2" fontId="26" fillId="11" borderId="15" xfId="0" applyNumberFormat="1" applyFont="1" applyFill="1" applyBorder="1" applyAlignment="1">
      <alignment horizontal="right" vertical="center" wrapText="1"/>
    </xf>
    <xf numFmtId="180" fontId="26" fillId="11" borderId="15" xfId="13" applyNumberFormat="1" applyFont="1" applyFill="1" applyBorder="1" applyAlignment="1">
      <alignment horizontal="right" vertical="center" wrapText="1"/>
    </xf>
    <xf numFmtId="1" fontId="26" fillId="11" borderId="15" xfId="0" applyNumberFormat="1"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27" fillId="2" borderId="20" xfId="0" applyFont="1" applyFill="1" applyBorder="1"/>
    <xf numFmtId="0" fontId="27" fillId="7" borderId="15" xfId="0" applyFont="1" applyFill="1" applyBorder="1" applyAlignment="1">
      <alignment horizontal="justify" vertical="center" wrapText="1"/>
    </xf>
    <xf numFmtId="0" fontId="27" fillId="7" borderId="15" xfId="0" applyFont="1" applyFill="1" applyBorder="1" applyAlignment="1">
      <alignment vertical="center" wrapText="1"/>
    </xf>
    <xf numFmtId="2" fontId="27" fillId="7" borderId="15" xfId="0" applyNumberFormat="1" applyFont="1" applyFill="1" applyBorder="1" applyAlignment="1">
      <alignment horizontal="right" vertical="center" wrapText="1"/>
    </xf>
    <xf numFmtId="180" fontId="27" fillId="7" borderId="15" xfId="13" applyNumberFormat="1" applyFont="1" applyFill="1" applyBorder="1" applyAlignment="1">
      <alignment horizontal="right" vertical="center" wrapText="1"/>
    </xf>
    <xf numFmtId="1" fontId="27" fillId="7" borderId="15" xfId="0" applyNumberFormat="1" applyFont="1" applyFill="1" applyBorder="1" applyAlignment="1">
      <alignment horizontal="center" vertical="center" wrapText="1"/>
    </xf>
    <xf numFmtId="0" fontId="27" fillId="7" borderId="15" xfId="0" applyFont="1" applyFill="1" applyBorder="1" applyAlignment="1">
      <alignment horizontal="center" vertical="center" wrapText="1"/>
    </xf>
    <xf numFmtId="0" fontId="27" fillId="2" borderId="36" xfId="0" applyFont="1" applyFill="1" applyBorder="1" applyAlignment="1">
      <alignment vertical="center" wrapText="1"/>
    </xf>
    <xf numFmtId="0" fontId="27" fillId="2" borderId="0" xfId="0" applyFont="1" applyFill="1" applyBorder="1" applyAlignment="1">
      <alignment vertical="center" textRotation="90" wrapText="1"/>
    </xf>
    <xf numFmtId="0" fontId="27" fillId="2" borderId="7" xfId="0" applyFont="1" applyFill="1" applyBorder="1" applyAlignment="1">
      <alignment vertical="center" textRotation="90" wrapText="1"/>
    </xf>
    <xf numFmtId="0" fontId="27" fillId="2" borderId="0" xfId="0" applyFont="1" applyFill="1" applyBorder="1"/>
    <xf numFmtId="1" fontId="27" fillId="2" borderId="20" xfId="0" applyNumberFormat="1" applyFont="1" applyFill="1" applyBorder="1" applyAlignment="1">
      <alignment horizontal="center" vertical="center" wrapText="1"/>
    </xf>
    <xf numFmtId="1" fontId="27" fillId="2" borderId="7" xfId="0" applyNumberFormat="1" applyFont="1" applyFill="1" applyBorder="1" applyAlignment="1">
      <alignment vertical="center" wrapText="1"/>
    </xf>
    <xf numFmtId="43" fontId="27" fillId="2" borderId="28" xfId="1" applyFont="1" applyFill="1" applyBorder="1" applyAlignment="1">
      <alignment horizontal="right" vertical="center" wrapText="1"/>
    </xf>
    <xf numFmtId="1" fontId="27" fillId="2" borderId="7" xfId="0" applyNumberFormat="1" applyFont="1" applyFill="1" applyBorder="1" applyAlignment="1">
      <alignment horizontal="center" vertical="center" wrapText="1"/>
    </xf>
    <xf numFmtId="0" fontId="27" fillId="0" borderId="28" xfId="0" applyFont="1" applyBorder="1" applyAlignment="1">
      <alignment horizontal="justify" vertical="center" wrapText="1"/>
    </xf>
    <xf numFmtId="0" fontId="27" fillId="0" borderId="8" xfId="0" applyFont="1" applyBorder="1" applyAlignment="1">
      <alignment horizontal="justify" vertical="center" wrapText="1"/>
    </xf>
    <xf numFmtId="43" fontId="27" fillId="2" borderId="8" xfId="1" applyFont="1" applyFill="1" applyBorder="1" applyAlignment="1">
      <alignment horizontal="right" vertical="center" wrapText="1"/>
    </xf>
    <xf numFmtId="1" fontId="27" fillId="2" borderId="12" xfId="0" applyNumberFormat="1" applyFont="1" applyFill="1" applyBorder="1" applyAlignment="1">
      <alignment vertical="center" wrapText="1"/>
    </xf>
    <xf numFmtId="0" fontId="27" fillId="2" borderId="28" xfId="0" applyFont="1" applyFill="1" applyBorder="1" applyAlignment="1">
      <alignment vertical="center" wrapText="1"/>
    </xf>
    <xf numFmtId="0" fontId="17" fillId="7" borderId="15" xfId="0" applyFont="1" applyFill="1" applyBorder="1" applyAlignment="1">
      <alignment vertical="center" wrapText="1"/>
    </xf>
    <xf numFmtId="43" fontId="27" fillId="7" borderId="16" xfId="1" applyFont="1" applyFill="1" applyBorder="1" applyAlignment="1">
      <alignment horizontal="right" vertical="center" wrapText="1"/>
    </xf>
    <xf numFmtId="0" fontId="27" fillId="7" borderId="17" xfId="0" applyFont="1" applyFill="1" applyBorder="1" applyAlignment="1">
      <alignment vertical="center" wrapText="1"/>
    </xf>
    <xf numFmtId="0" fontId="15" fillId="11" borderId="15" xfId="0" applyFont="1" applyFill="1" applyBorder="1" applyAlignment="1">
      <alignment vertical="center" wrapText="1"/>
    </xf>
    <xf numFmtId="43" fontId="26" fillId="11" borderId="16" xfId="1" applyFont="1" applyFill="1" applyBorder="1" applyAlignment="1">
      <alignment horizontal="right" vertical="center" wrapText="1"/>
    </xf>
    <xf numFmtId="0" fontId="26" fillId="11" borderId="17" xfId="0" applyFont="1" applyFill="1" applyBorder="1" applyAlignment="1">
      <alignment vertical="center" wrapText="1"/>
    </xf>
    <xf numFmtId="0" fontId="26" fillId="2" borderId="36"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15" fillId="7" borderId="15" xfId="0" applyFont="1" applyFill="1" applyBorder="1" applyAlignment="1">
      <alignment vertical="center" wrapText="1"/>
    </xf>
    <xf numFmtId="0" fontId="26" fillId="7" borderId="15" xfId="0" applyFont="1" applyFill="1" applyBorder="1" applyAlignment="1">
      <alignment vertical="center" wrapText="1"/>
    </xf>
    <xf numFmtId="0" fontId="26" fillId="7" borderId="15" xfId="0" applyFont="1" applyFill="1" applyBorder="1" applyAlignment="1">
      <alignment horizontal="justify" vertical="center" wrapText="1"/>
    </xf>
    <xf numFmtId="43" fontId="26" fillId="7" borderId="16" xfId="1" applyFont="1" applyFill="1" applyBorder="1" applyAlignment="1">
      <alignment horizontal="right" vertical="center" wrapText="1"/>
    </xf>
    <xf numFmtId="1" fontId="26" fillId="7" borderId="15" xfId="0" applyNumberFormat="1"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17" xfId="0" applyFont="1" applyFill="1" applyBorder="1" applyAlignment="1">
      <alignment vertical="center" wrapText="1"/>
    </xf>
    <xf numFmtId="43" fontId="27" fillId="2" borderId="19" xfId="1" applyFont="1" applyFill="1" applyBorder="1" applyAlignment="1">
      <alignment horizontal="right" vertical="center" wrapText="1"/>
    </xf>
    <xf numFmtId="3" fontId="27" fillId="2" borderId="28" xfId="0" applyNumberFormat="1" applyFont="1" applyFill="1" applyBorder="1" applyAlignment="1">
      <alignment horizontal="center" vertical="center" wrapText="1"/>
    </xf>
    <xf numFmtId="43" fontId="27" fillId="2" borderId="39" xfId="1" applyFont="1" applyFill="1" applyBorder="1" applyAlignment="1">
      <alignment horizontal="right" vertical="center" wrapText="1"/>
    </xf>
    <xf numFmtId="0" fontId="27" fillId="0" borderId="32" xfId="0" applyFont="1" applyFill="1" applyBorder="1" applyAlignment="1">
      <alignment horizontal="center" vertical="center" wrapText="1"/>
    </xf>
    <xf numFmtId="0" fontId="27" fillId="0" borderId="33" xfId="0" applyFont="1" applyFill="1" applyBorder="1" applyAlignment="1">
      <alignment horizontal="center" vertical="center" wrapText="1"/>
    </xf>
    <xf numFmtId="181" fontId="27" fillId="0" borderId="33" xfId="0" applyNumberFormat="1" applyFont="1" applyFill="1" applyBorder="1" applyAlignment="1">
      <alignment horizontal="center" vertical="center" wrapText="1"/>
    </xf>
    <xf numFmtId="0" fontId="27" fillId="0" borderId="33" xfId="0" applyFont="1" applyFill="1" applyBorder="1" applyAlignment="1">
      <alignment horizontal="justify" vertical="center" wrapText="1"/>
    </xf>
    <xf numFmtId="0" fontId="26" fillId="0" borderId="33" xfId="0" applyFont="1" applyFill="1" applyBorder="1" applyAlignment="1">
      <alignment horizontal="justify" vertical="center" wrapText="1"/>
    </xf>
    <xf numFmtId="10" fontId="27" fillId="0" borderId="33" xfId="0" applyNumberFormat="1" applyFont="1" applyFill="1" applyBorder="1" applyAlignment="1">
      <alignment horizontal="center" vertical="center" wrapText="1"/>
    </xf>
    <xf numFmtId="180" fontId="26" fillId="0" borderId="35" xfId="0" applyNumberFormat="1" applyFont="1" applyFill="1" applyBorder="1" applyAlignment="1">
      <alignment horizontal="right" vertical="center" wrapText="1"/>
    </xf>
    <xf numFmtId="43" fontId="26" fillId="0" borderId="35" xfId="1" applyFont="1" applyFill="1" applyBorder="1" applyAlignment="1">
      <alignment horizontal="right" vertical="center" wrapText="1"/>
    </xf>
    <xf numFmtId="1" fontId="27" fillId="0" borderId="33" xfId="0" applyNumberFormat="1" applyFont="1" applyFill="1" applyBorder="1" applyAlignment="1">
      <alignment horizontal="center" vertical="center" wrapText="1"/>
    </xf>
    <xf numFmtId="0" fontId="27" fillId="0" borderId="33" xfId="0" applyFont="1" applyFill="1" applyBorder="1" applyAlignment="1">
      <alignment horizontal="center" vertical="center" textRotation="180" wrapText="1"/>
    </xf>
    <xf numFmtId="49" fontId="27" fillId="0" borderId="33" xfId="0" applyNumberFormat="1" applyFont="1" applyFill="1" applyBorder="1" applyAlignment="1">
      <alignment horizontal="center" vertical="center" textRotation="180" wrapText="1"/>
    </xf>
    <xf numFmtId="0" fontId="27" fillId="0" borderId="33" xfId="0" applyFont="1" applyFill="1" applyBorder="1" applyAlignment="1">
      <alignment vertical="center"/>
    </xf>
    <xf numFmtId="0" fontId="27" fillId="0" borderId="34" xfId="0" applyFont="1" applyFill="1" applyBorder="1"/>
    <xf numFmtId="0" fontId="27" fillId="2" borderId="0" xfId="0" applyFont="1" applyFill="1" applyAlignment="1">
      <alignment horizontal="justify" vertical="center" wrapText="1"/>
    </xf>
    <xf numFmtId="0" fontId="27" fillId="2" borderId="0" xfId="0" applyFont="1" applyFill="1" applyAlignment="1">
      <alignment vertical="center"/>
    </xf>
    <xf numFmtId="2" fontId="27" fillId="2" borderId="0" xfId="0" applyNumberFormat="1" applyFont="1" applyFill="1" applyAlignment="1">
      <alignment horizontal="right"/>
    </xf>
    <xf numFmtId="180" fontId="27" fillId="2" borderId="0" xfId="0" applyNumberFormat="1" applyFont="1" applyFill="1" applyAlignment="1">
      <alignment horizontal="right" vertical="center"/>
    </xf>
    <xf numFmtId="0" fontId="27" fillId="2" borderId="0" xfId="0" applyFont="1" applyFill="1" applyAlignment="1">
      <alignment horizontal="center" vertical="center" wrapText="1"/>
    </xf>
    <xf numFmtId="0" fontId="27" fillId="0" borderId="0" xfId="0" applyFont="1" applyBorder="1" applyAlignment="1">
      <alignment vertical="center"/>
    </xf>
    <xf numFmtId="0" fontId="27" fillId="2" borderId="0" xfId="0" applyFont="1" applyFill="1" applyAlignment="1">
      <alignment horizontal="center"/>
    </xf>
    <xf numFmtId="0" fontId="33" fillId="2" borderId="0" xfId="0" applyFont="1" applyFill="1" applyAlignment="1">
      <alignment vertical="center"/>
    </xf>
    <xf numFmtId="0" fontId="27" fillId="2" borderId="0" xfId="0" applyFont="1" applyFill="1" applyAlignment="1"/>
    <xf numFmtId="2" fontId="27" fillId="2" borderId="0" xfId="0" applyNumberFormat="1" applyFont="1" applyFill="1" applyAlignment="1">
      <alignment horizontal="right" vertical="center"/>
    </xf>
    <xf numFmtId="164" fontId="27" fillId="2" borderId="0" xfId="0" applyNumberFormat="1" applyFont="1" applyFill="1" applyAlignment="1">
      <alignment horizontal="justify" vertical="center" wrapText="1"/>
    </xf>
    <xf numFmtId="164" fontId="33" fillId="2" borderId="0" xfId="0" applyNumberFormat="1" applyFont="1" applyFill="1" applyAlignment="1">
      <alignment horizontal="center" vertical="center" wrapText="1"/>
    </xf>
    <xf numFmtId="164" fontId="33" fillId="2" borderId="0" xfId="0" applyNumberFormat="1" applyFont="1" applyFill="1" applyAlignment="1">
      <alignment horizontal="center" vertical="center"/>
    </xf>
    <xf numFmtId="3" fontId="27" fillId="2" borderId="0" xfId="0" applyNumberFormat="1" applyFont="1" applyFill="1" applyAlignment="1">
      <alignment horizontal="center" vertical="center"/>
    </xf>
    <xf numFmtId="0" fontId="33" fillId="0" borderId="0" xfId="0" applyFont="1"/>
    <xf numFmtId="0" fontId="33" fillId="0" borderId="0" xfId="0" applyFont="1" applyAlignment="1">
      <alignment horizontal="justify" vertical="center" wrapText="1"/>
    </xf>
    <xf numFmtId="0" fontId="27" fillId="0" borderId="0" xfId="0" applyFont="1" applyAlignment="1">
      <alignment vertical="center"/>
    </xf>
    <xf numFmtId="0" fontId="27" fillId="0" borderId="0" xfId="0" applyFont="1" applyAlignment="1"/>
    <xf numFmtId="0" fontId="27" fillId="0" borderId="0" xfId="0" applyFont="1" applyFill="1" applyAlignment="1">
      <alignment horizontal="right" vertical="center"/>
    </xf>
    <xf numFmtId="0" fontId="33" fillId="0" borderId="0" xfId="0" applyFont="1" applyFill="1" applyAlignment="1">
      <alignment horizontal="right" vertical="center"/>
    </xf>
    <xf numFmtId="168" fontId="27" fillId="0" borderId="0" xfId="0" applyNumberFormat="1" applyFont="1" applyAlignment="1">
      <alignment horizontal="center"/>
    </xf>
    <xf numFmtId="168" fontId="33" fillId="0" borderId="0" xfId="0" applyNumberFormat="1" applyFont="1" applyAlignment="1">
      <alignment horizontal="center"/>
    </xf>
    <xf numFmtId="0" fontId="27" fillId="0" borderId="0" xfId="0" applyFont="1" applyAlignment="1">
      <alignment horizontal="left"/>
    </xf>
    <xf numFmtId="180" fontId="31" fillId="0" borderId="0" xfId="0" applyNumberFormat="1" applyFont="1" applyAlignment="1">
      <alignment horizontal="right" vertical="center"/>
    </xf>
    <xf numFmtId="182" fontId="17" fillId="0" borderId="0" xfId="15" applyFont="1" applyFill="1" applyBorder="1" applyAlignment="1">
      <alignment horizontal="justify" vertical="center"/>
    </xf>
    <xf numFmtId="2" fontId="27" fillId="0" borderId="0" xfId="0" applyNumberFormat="1" applyFont="1" applyAlignment="1">
      <alignment horizontal="right"/>
    </xf>
    <xf numFmtId="180" fontId="27" fillId="0" borderId="0" xfId="0" applyNumberFormat="1" applyFont="1" applyAlignment="1">
      <alignment horizontal="right"/>
    </xf>
    <xf numFmtId="0" fontId="27" fillId="0" borderId="0" xfId="0" applyFont="1" applyAlignment="1">
      <alignment horizontal="center" vertical="center" wrapText="1"/>
    </xf>
    <xf numFmtId="0" fontId="27" fillId="0" borderId="8" xfId="0" applyFont="1" applyFill="1" applyBorder="1" applyAlignment="1">
      <alignment horizontal="justify" vertical="center" wrapText="1"/>
    </xf>
    <xf numFmtId="0" fontId="27" fillId="2" borderId="8" xfId="0" applyFont="1" applyFill="1" applyBorder="1" applyAlignment="1">
      <alignment horizontal="justify" vertical="center" wrapText="1"/>
    </xf>
    <xf numFmtId="0" fontId="26" fillId="3" borderId="19" xfId="0" applyFont="1" applyFill="1" applyBorder="1" applyAlignment="1">
      <alignment horizontal="center" vertical="center" textRotation="90" wrapText="1"/>
    </xf>
    <xf numFmtId="49" fontId="26" fillId="3" borderId="19" xfId="0" applyNumberFormat="1" applyFont="1" applyFill="1" applyBorder="1" applyAlignment="1">
      <alignment horizontal="center" vertical="center" textRotation="90" wrapText="1"/>
    </xf>
    <xf numFmtId="0" fontId="26" fillId="0" borderId="11" xfId="0" applyFont="1" applyBorder="1" applyAlignment="1">
      <alignment horizontal="center" vertical="center"/>
    </xf>
    <xf numFmtId="1" fontId="26" fillId="3" borderId="29" xfId="0" applyNumberFormat="1" applyFont="1" applyFill="1" applyBorder="1" applyAlignment="1">
      <alignment horizontal="center" vertical="center" wrapText="1"/>
    </xf>
    <xf numFmtId="43" fontId="27" fillId="0" borderId="8" xfId="1" applyFont="1" applyFill="1" applyBorder="1" applyAlignment="1">
      <alignment horizontal="right" vertical="center" wrapText="1"/>
    </xf>
    <xf numFmtId="9" fontId="17" fillId="2" borderId="8" xfId="2" applyFont="1" applyFill="1" applyBorder="1" applyAlignment="1">
      <alignment horizontal="center" vertical="center" wrapText="1"/>
    </xf>
    <xf numFmtId="0" fontId="26" fillId="2" borderId="0" xfId="0" applyFont="1" applyFill="1" applyAlignment="1">
      <alignment horizontal="center"/>
    </xf>
    <xf numFmtId="0" fontId="27" fillId="2" borderId="0" xfId="0" applyFont="1" applyFill="1" applyAlignment="1">
      <alignment horizontal="center"/>
    </xf>
    <xf numFmtId="43" fontId="27" fillId="2" borderId="28" xfId="1" applyFont="1" applyFill="1" applyBorder="1" applyAlignment="1">
      <alignment horizontal="center" vertical="center"/>
    </xf>
    <xf numFmtId="43" fontId="27" fillId="2" borderId="8" xfId="1" applyFont="1" applyFill="1" applyBorder="1" applyAlignment="1">
      <alignment horizontal="center" vertical="center"/>
    </xf>
    <xf numFmtId="43" fontId="27" fillId="2" borderId="19" xfId="1" applyFont="1" applyFill="1" applyBorder="1" applyAlignment="1">
      <alignment horizontal="center" vertical="center"/>
    </xf>
    <xf numFmtId="9" fontId="27" fillId="2" borderId="8" xfId="2" applyFont="1" applyFill="1" applyBorder="1" applyAlignment="1">
      <alignment horizontal="center" vertical="center"/>
    </xf>
    <xf numFmtId="0" fontId="26" fillId="0" borderId="11" xfId="0" applyFont="1" applyBorder="1" applyAlignment="1">
      <alignment horizontal="center" vertical="center"/>
    </xf>
    <xf numFmtId="0" fontId="27" fillId="0" borderId="19"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0" borderId="19" xfId="0" applyFont="1" applyFill="1" applyBorder="1" applyAlignment="1">
      <alignment horizontal="justify" vertical="center" wrapText="1"/>
    </xf>
    <xf numFmtId="0" fontId="27" fillId="0" borderId="8" xfId="0" applyFont="1" applyFill="1" applyBorder="1" applyAlignment="1">
      <alignment horizontal="center" vertical="center" wrapText="1"/>
    </xf>
    <xf numFmtId="0" fontId="27" fillId="0" borderId="8" xfId="0" applyFont="1" applyFill="1" applyBorder="1" applyAlignment="1">
      <alignment horizontal="justify" vertical="center" wrapText="1"/>
    </xf>
    <xf numFmtId="0" fontId="27" fillId="2" borderId="19" xfId="0" applyFont="1" applyFill="1" applyBorder="1" applyAlignment="1">
      <alignment horizontal="justify" vertical="center" wrapText="1"/>
    </xf>
    <xf numFmtId="43" fontId="17" fillId="2" borderId="29" xfId="1" applyFont="1" applyFill="1" applyBorder="1" applyAlignment="1">
      <alignment horizontal="center" vertical="center" wrapText="1"/>
    </xf>
    <xf numFmtId="43" fontId="17" fillId="2" borderId="28" xfId="1" applyFont="1" applyFill="1" applyBorder="1" applyAlignment="1">
      <alignment horizontal="center" vertical="center" wrapText="1"/>
    </xf>
    <xf numFmtId="0" fontId="27" fillId="2" borderId="19" xfId="0" applyFont="1" applyFill="1" applyBorder="1" applyAlignment="1">
      <alignment horizontal="center" vertical="center" wrapText="1"/>
    </xf>
    <xf numFmtId="9" fontId="27" fillId="2" borderId="8" xfId="2" applyFont="1" applyFill="1" applyBorder="1" applyAlignment="1">
      <alignment horizontal="center" vertical="center"/>
    </xf>
    <xf numFmtId="1" fontId="26" fillId="2" borderId="22" xfId="0" applyNumberFormat="1" applyFont="1" applyFill="1" applyBorder="1" applyAlignment="1">
      <alignment horizontal="center" vertical="center" wrapText="1"/>
    </xf>
    <xf numFmtId="1" fontId="26" fillId="2" borderId="6" xfId="0" applyNumberFormat="1" applyFont="1" applyFill="1" applyBorder="1" applyAlignment="1">
      <alignment horizontal="center" vertical="center" wrapText="1"/>
    </xf>
    <xf numFmtId="0" fontId="23" fillId="0" borderId="8" xfId="0" applyFont="1" applyFill="1" applyBorder="1" applyAlignment="1">
      <alignment vertical="center" wrapText="1"/>
    </xf>
    <xf numFmtId="0" fontId="27" fillId="0" borderId="25" xfId="0" applyFont="1" applyBorder="1" applyAlignment="1">
      <alignment horizontal="justify" vertical="center"/>
    </xf>
    <xf numFmtId="0" fontId="27" fillId="0" borderId="11" xfId="0" applyFont="1" applyBorder="1" applyAlignment="1">
      <alignment vertical="center"/>
    </xf>
    <xf numFmtId="0" fontId="26" fillId="0" borderId="11" xfId="0" applyFont="1" applyBorder="1" applyAlignment="1">
      <alignment horizontal="center" vertical="center" wrapText="1"/>
    </xf>
    <xf numFmtId="0" fontId="26" fillId="0" borderId="0" xfId="0" applyFont="1" applyAlignment="1">
      <alignment horizontal="center"/>
    </xf>
    <xf numFmtId="0" fontId="26" fillId="5" borderId="23" xfId="0" applyFont="1" applyFill="1" applyBorder="1" applyAlignment="1">
      <alignment vertical="center"/>
    </xf>
    <xf numFmtId="0" fontId="27" fillId="5" borderId="23" xfId="0" applyFont="1" applyFill="1" applyBorder="1" applyAlignment="1">
      <alignment vertical="center"/>
    </xf>
    <xf numFmtId="0" fontId="26" fillId="5" borderId="23" xfId="0" applyFont="1" applyFill="1" applyBorder="1" applyAlignment="1">
      <alignment horizontal="justify" vertical="center" wrapText="1"/>
    </xf>
    <xf numFmtId="0" fontId="26" fillId="5" borderId="23" xfId="0" applyFont="1" applyFill="1" applyBorder="1" applyAlignment="1">
      <alignment horizontal="justify" vertical="center"/>
    </xf>
    <xf numFmtId="0" fontId="27" fillId="5" borderId="23" xfId="0" applyFont="1" applyFill="1" applyBorder="1" applyAlignment="1">
      <alignment horizontal="justify" vertical="center"/>
    </xf>
    <xf numFmtId="169" fontId="27" fillId="5" borderId="23" xfId="0" applyNumberFormat="1" applyFont="1" applyFill="1" applyBorder="1" applyAlignment="1">
      <alignment horizontal="center" vertical="center"/>
    </xf>
    <xf numFmtId="164" fontId="26" fillId="5" borderId="23" xfId="0" applyNumberFormat="1" applyFont="1" applyFill="1" applyBorder="1" applyAlignment="1">
      <alignment vertical="center"/>
    </xf>
    <xf numFmtId="164" fontId="26" fillId="5" borderId="23" xfId="0" applyNumberFormat="1" applyFont="1" applyFill="1" applyBorder="1" applyAlignment="1">
      <alignment horizontal="center" vertical="center"/>
    </xf>
    <xf numFmtId="0" fontId="26" fillId="5" borderId="23" xfId="0" applyFont="1" applyFill="1" applyBorder="1" applyAlignment="1">
      <alignment horizontal="center" vertical="center" wrapText="1"/>
    </xf>
    <xf numFmtId="165" fontId="26" fillId="5" borderId="23" xfId="0" applyNumberFormat="1" applyFont="1" applyFill="1" applyBorder="1" applyAlignment="1">
      <alignment vertical="center"/>
    </xf>
    <xf numFmtId="0" fontId="26" fillId="5" borderId="20" xfId="0" applyFont="1" applyFill="1" applyBorder="1" applyAlignment="1">
      <alignment horizontal="justify" vertical="center"/>
    </xf>
    <xf numFmtId="1" fontId="26" fillId="6" borderId="15" xfId="0" applyNumberFormat="1" applyFont="1" applyFill="1" applyBorder="1" applyAlignment="1">
      <alignment horizontal="center" vertical="center"/>
    </xf>
    <xf numFmtId="0" fontId="26" fillId="6" borderId="23" xfId="0" applyFont="1" applyFill="1" applyBorder="1" applyAlignment="1">
      <alignment vertical="center"/>
    </xf>
    <xf numFmtId="0" fontId="27" fillId="6" borderId="23" xfId="0" applyFont="1" applyFill="1" applyBorder="1" applyAlignment="1">
      <alignment vertical="center"/>
    </xf>
    <xf numFmtId="0" fontId="26" fillId="6" borderId="23" xfId="0" applyFont="1" applyFill="1" applyBorder="1" applyAlignment="1">
      <alignment horizontal="justify" vertical="center" wrapText="1"/>
    </xf>
    <xf numFmtId="0" fontId="26" fillId="6" borderId="23" xfId="0" applyFont="1" applyFill="1" applyBorder="1" applyAlignment="1">
      <alignment horizontal="justify" vertical="center"/>
    </xf>
    <xf numFmtId="0" fontId="27" fillId="6" borderId="23" xfId="0" applyFont="1" applyFill="1" applyBorder="1" applyAlignment="1">
      <alignment horizontal="justify" vertical="center"/>
    </xf>
    <xf numFmtId="169" fontId="27" fillId="6" borderId="23" xfId="0" applyNumberFormat="1" applyFont="1" applyFill="1" applyBorder="1" applyAlignment="1">
      <alignment horizontal="center" vertical="center"/>
    </xf>
    <xf numFmtId="164" fontId="26" fillId="6" borderId="23" xfId="0" applyNumberFormat="1" applyFont="1" applyFill="1" applyBorder="1" applyAlignment="1">
      <alignment vertical="center"/>
    </xf>
    <xf numFmtId="164" fontId="26" fillId="6" borderId="23" xfId="0" applyNumberFormat="1" applyFont="1" applyFill="1" applyBorder="1" applyAlignment="1">
      <alignment horizontal="center" vertical="center"/>
    </xf>
    <xf numFmtId="0" fontId="26" fillId="6" borderId="23" xfId="0" applyFont="1" applyFill="1" applyBorder="1" applyAlignment="1">
      <alignment horizontal="center" vertical="center" wrapText="1"/>
    </xf>
    <xf numFmtId="165" fontId="26" fillId="6" borderId="23" xfId="0" applyNumberFormat="1" applyFont="1" applyFill="1" applyBorder="1" applyAlignment="1">
      <alignment vertical="center"/>
    </xf>
    <xf numFmtId="0" fontId="26" fillId="6" borderId="20" xfId="0" applyFont="1" applyFill="1" applyBorder="1" applyAlignment="1">
      <alignment horizontal="justify" vertical="center"/>
    </xf>
    <xf numFmtId="1" fontId="26" fillId="7" borderId="15" xfId="0" applyNumberFormat="1" applyFont="1" applyFill="1" applyBorder="1" applyAlignment="1">
      <alignment horizontal="left" vertical="center" wrapText="1" indent="1"/>
    </xf>
    <xf numFmtId="0" fontId="27" fillId="7" borderId="23" xfId="0" applyFont="1" applyFill="1" applyBorder="1" applyAlignment="1">
      <alignment vertical="center"/>
    </xf>
    <xf numFmtId="0" fontId="26" fillId="7" borderId="23" xfId="0" applyFont="1" applyFill="1" applyBorder="1" applyAlignment="1">
      <alignment horizontal="justify" vertical="center" wrapText="1"/>
    </xf>
    <xf numFmtId="0" fontId="27" fillId="7" borderId="15" xfId="0" applyFont="1" applyFill="1" applyBorder="1" applyAlignment="1">
      <alignment horizontal="justify" vertical="center"/>
    </xf>
    <xf numFmtId="0" fontId="27" fillId="7" borderId="15" xfId="0" applyFont="1" applyFill="1" applyBorder="1" applyAlignment="1">
      <alignment vertical="center"/>
    </xf>
    <xf numFmtId="169" fontId="27" fillId="7" borderId="23" xfId="0" applyNumberFormat="1" applyFont="1" applyFill="1" applyBorder="1" applyAlignment="1">
      <alignment horizontal="center" vertical="center"/>
    </xf>
    <xf numFmtId="164" fontId="26" fillId="7" borderId="23" xfId="0" applyNumberFormat="1" applyFont="1" applyFill="1" applyBorder="1" applyAlignment="1">
      <alignment vertical="center"/>
    </xf>
    <xf numFmtId="0" fontId="26" fillId="7" borderId="23" xfId="0" applyFont="1" applyFill="1" applyBorder="1" applyAlignment="1">
      <alignment horizontal="center" vertical="center" wrapText="1"/>
    </xf>
    <xf numFmtId="0" fontId="26" fillId="7" borderId="20" xfId="0" applyFont="1" applyFill="1" applyBorder="1" applyAlignment="1">
      <alignment horizontal="justify" vertical="center"/>
    </xf>
    <xf numFmtId="0" fontId="27" fillId="2" borderId="31" xfId="0" applyFont="1" applyFill="1" applyBorder="1"/>
    <xf numFmtId="0" fontId="27" fillId="2" borderId="27" xfId="0" applyFont="1" applyFill="1" applyBorder="1"/>
    <xf numFmtId="0" fontId="27" fillId="2" borderId="7" xfId="0" applyFont="1" applyFill="1" applyBorder="1"/>
    <xf numFmtId="3" fontId="27" fillId="2" borderId="8" xfId="3" applyNumberFormat="1" applyFont="1" applyFill="1" applyBorder="1" applyAlignment="1">
      <alignment horizontal="center" vertical="center" wrapText="1"/>
    </xf>
    <xf numFmtId="167" fontId="27" fillId="2" borderId="8" xfId="3" applyFont="1" applyFill="1" applyBorder="1" applyAlignment="1">
      <alignment horizontal="justify" vertical="center" wrapText="1"/>
    </xf>
    <xf numFmtId="167" fontId="27" fillId="0" borderId="8" xfId="3" applyFont="1" applyFill="1" applyBorder="1" applyAlignment="1">
      <alignment horizontal="justify" vertical="center" wrapText="1"/>
    </xf>
    <xf numFmtId="3" fontId="27" fillId="2" borderId="8" xfId="3" applyNumberFormat="1" applyFont="1" applyFill="1" applyBorder="1" applyAlignment="1">
      <alignment horizontal="center" vertical="center"/>
    </xf>
    <xf numFmtId="9" fontId="17" fillId="2" borderId="8" xfId="2" applyNumberFormat="1" applyFont="1" applyFill="1" applyBorder="1" applyAlignment="1">
      <alignment horizontal="center" vertical="center" wrapText="1"/>
    </xf>
    <xf numFmtId="43" fontId="27" fillId="2" borderId="8" xfId="1" applyNumberFormat="1" applyFont="1" applyFill="1" applyBorder="1" applyAlignment="1">
      <alignment horizontal="center" vertical="center"/>
    </xf>
    <xf numFmtId="167" fontId="28" fillId="2" borderId="8" xfId="3" applyFont="1" applyFill="1" applyBorder="1" applyAlignment="1">
      <alignment horizontal="justify" vertical="center" wrapText="1"/>
    </xf>
    <xf numFmtId="167" fontId="27" fillId="2" borderId="7" xfId="3" applyFont="1" applyFill="1" applyBorder="1" applyAlignment="1">
      <alignment horizontal="justify" vertical="center" wrapText="1"/>
    </xf>
    <xf numFmtId="43" fontId="27" fillId="0" borderId="8" xfId="1" applyFont="1" applyFill="1" applyBorder="1" applyAlignment="1">
      <alignment horizontal="right" vertical="center"/>
    </xf>
    <xf numFmtId="167" fontId="27" fillId="2" borderId="7" xfId="3" applyFont="1" applyFill="1" applyBorder="1" applyAlignment="1">
      <alignment vertical="center" wrapText="1"/>
    </xf>
    <xf numFmtId="43" fontId="27" fillId="2" borderId="8" xfId="1" applyFont="1" applyFill="1" applyBorder="1" applyAlignment="1">
      <alignment horizontal="right" vertical="center"/>
    </xf>
    <xf numFmtId="0" fontId="27" fillId="2" borderId="25" xfId="0" applyFont="1" applyFill="1" applyBorder="1"/>
    <xf numFmtId="0" fontId="27" fillId="2" borderId="12" xfId="0" applyFont="1" applyFill="1" applyBorder="1"/>
    <xf numFmtId="0" fontId="27" fillId="7" borderId="0" xfId="0" applyFont="1" applyFill="1" applyBorder="1" applyAlignment="1">
      <alignment vertical="center"/>
    </xf>
    <xf numFmtId="0" fontId="26" fillId="7" borderId="0" xfId="0" applyFont="1" applyFill="1" applyBorder="1" applyAlignment="1">
      <alignment horizontal="justify" vertical="center" wrapText="1"/>
    </xf>
    <xf numFmtId="0" fontId="26" fillId="7" borderId="0" xfId="0" applyFont="1" applyFill="1" applyBorder="1" applyAlignment="1">
      <alignment horizontal="justify" vertical="center"/>
    </xf>
    <xf numFmtId="0" fontId="26" fillId="7" borderId="0" xfId="0" applyFont="1" applyFill="1" applyBorder="1" applyAlignment="1">
      <alignment vertical="center"/>
    </xf>
    <xf numFmtId="169" fontId="27" fillId="7" borderId="0" xfId="0" applyNumberFormat="1" applyFont="1" applyFill="1" applyBorder="1" applyAlignment="1">
      <alignment horizontal="center" vertical="center"/>
    </xf>
    <xf numFmtId="164" fontId="26" fillId="7" borderId="0" xfId="0" applyNumberFormat="1" applyFont="1" applyFill="1" applyBorder="1" applyAlignment="1">
      <alignment vertical="center"/>
    </xf>
    <xf numFmtId="164" fontId="26" fillId="7" borderId="0" xfId="0" applyNumberFormat="1" applyFont="1" applyFill="1" applyBorder="1" applyAlignment="1">
      <alignment horizontal="center" vertical="center"/>
    </xf>
    <xf numFmtId="0" fontId="26" fillId="7" borderId="0" xfId="0" applyFont="1" applyFill="1" applyBorder="1" applyAlignment="1">
      <alignment horizontal="center" vertical="center" wrapText="1"/>
    </xf>
    <xf numFmtId="1" fontId="17" fillId="2" borderId="8" xfId="16" applyNumberFormat="1" applyFont="1" applyFill="1" applyBorder="1" applyAlignment="1">
      <alignment horizontal="center" vertical="center" wrapText="1"/>
    </xf>
    <xf numFmtId="1" fontId="27" fillId="2" borderId="8" xfId="3" applyNumberFormat="1" applyFont="1" applyFill="1" applyBorder="1" applyAlignment="1">
      <alignment horizontal="center" vertical="center"/>
    </xf>
    <xf numFmtId="167" fontId="27" fillId="0" borderId="8" xfId="3" applyFont="1" applyBorder="1" applyAlignment="1">
      <alignment horizontal="justify" vertical="center" wrapText="1"/>
    </xf>
    <xf numFmtId="1" fontId="27" fillId="0" borderId="8" xfId="3" applyNumberFormat="1" applyFont="1" applyBorder="1" applyAlignment="1">
      <alignment horizontal="center" vertical="center"/>
    </xf>
    <xf numFmtId="43" fontId="27" fillId="0" borderId="8" xfId="1" applyFont="1" applyFill="1" applyBorder="1" applyAlignment="1">
      <alignment vertical="center" wrapText="1"/>
    </xf>
    <xf numFmtId="0" fontId="27" fillId="6" borderId="0" xfId="0" applyFont="1" applyFill="1" applyBorder="1" applyAlignment="1">
      <alignment vertical="center"/>
    </xf>
    <xf numFmtId="0" fontId="26" fillId="6" borderId="0" xfId="0" applyFont="1" applyFill="1" applyBorder="1" applyAlignment="1">
      <alignment horizontal="justify" vertical="center" wrapText="1"/>
    </xf>
    <xf numFmtId="169" fontId="27" fillId="6" borderId="0" xfId="0" applyNumberFormat="1" applyFont="1" applyFill="1" applyBorder="1" applyAlignment="1">
      <alignment horizontal="center" vertical="center"/>
    </xf>
    <xf numFmtId="164" fontId="26" fillId="6" borderId="0" xfId="0" applyNumberFormat="1" applyFont="1" applyFill="1" applyBorder="1" applyAlignment="1">
      <alignment vertical="center"/>
    </xf>
    <xf numFmtId="164" fontId="26" fillId="6" borderId="0" xfId="0" applyNumberFormat="1" applyFont="1" applyFill="1" applyBorder="1" applyAlignment="1">
      <alignment horizontal="center" vertical="center"/>
    </xf>
    <xf numFmtId="164" fontId="26" fillId="6" borderId="0" xfId="0" applyNumberFormat="1" applyFont="1" applyFill="1" applyBorder="1" applyAlignment="1">
      <alignment horizontal="center" vertical="center" wrapText="1"/>
    </xf>
    <xf numFmtId="164" fontId="26" fillId="7" borderId="15" xfId="0" applyNumberFormat="1" applyFont="1" applyFill="1" applyBorder="1" applyAlignment="1">
      <alignment horizontal="center" vertical="center" wrapText="1"/>
    </xf>
    <xf numFmtId="164" fontId="26" fillId="7" borderId="16" xfId="0" applyNumberFormat="1" applyFont="1" applyFill="1" applyBorder="1" applyAlignment="1">
      <alignment horizontal="center" vertical="center"/>
    </xf>
    <xf numFmtId="0" fontId="27" fillId="2" borderId="31" xfId="0" applyFont="1" applyFill="1" applyBorder="1" applyAlignment="1"/>
    <xf numFmtId="0" fontId="24" fillId="2" borderId="31" xfId="0" applyFont="1" applyFill="1" applyBorder="1" applyAlignment="1"/>
    <xf numFmtId="0" fontId="24" fillId="2" borderId="20" xfId="0" applyFont="1" applyFill="1" applyBorder="1" applyAlignment="1"/>
    <xf numFmtId="0" fontId="24" fillId="2" borderId="27" xfId="0" applyFont="1" applyFill="1" applyBorder="1" applyAlignment="1"/>
    <xf numFmtId="0" fontId="24" fillId="2" borderId="7" xfId="0" applyFont="1" applyFill="1" applyBorder="1" applyAlignment="1"/>
    <xf numFmtId="0" fontId="24" fillId="2" borderId="25" xfId="0" applyFont="1" applyFill="1" applyBorder="1" applyAlignment="1"/>
    <xf numFmtId="0" fontId="24" fillId="2" borderId="12" xfId="0" applyFont="1" applyFill="1" applyBorder="1" applyAlignment="1"/>
    <xf numFmtId="0" fontId="27" fillId="7" borderId="11" xfId="0" applyFont="1" applyFill="1" applyBorder="1" applyAlignment="1">
      <alignment vertical="center"/>
    </xf>
    <xf numFmtId="164" fontId="26" fillId="7" borderId="11" xfId="0" applyNumberFormat="1" applyFont="1" applyFill="1" applyBorder="1" applyAlignment="1">
      <alignment horizontal="center" vertical="center"/>
    </xf>
    <xf numFmtId="43" fontId="27" fillId="0" borderId="8" xfId="1" applyFont="1" applyFill="1" applyBorder="1" applyAlignment="1">
      <alignment horizontal="justify" vertical="center"/>
    </xf>
    <xf numFmtId="165" fontId="26" fillId="7" borderId="15" xfId="0" applyNumberFormat="1" applyFont="1" applyFill="1" applyBorder="1" applyAlignment="1">
      <alignment horizontal="center" vertical="center"/>
    </xf>
    <xf numFmtId="165" fontId="26" fillId="7" borderId="16" xfId="0" applyNumberFormat="1" applyFont="1" applyFill="1" applyBorder="1" applyAlignment="1">
      <alignment vertical="center"/>
    </xf>
    <xf numFmtId="164" fontId="26" fillId="6" borderId="23" xfId="0" applyNumberFormat="1" applyFont="1" applyFill="1" applyBorder="1" applyAlignment="1">
      <alignment horizontal="center" vertical="center" wrapText="1"/>
    </xf>
    <xf numFmtId="0" fontId="26" fillId="6" borderId="23" xfId="0" applyFont="1" applyFill="1" applyBorder="1" applyAlignment="1">
      <alignment horizontal="center" vertical="center"/>
    </xf>
    <xf numFmtId="0" fontId="26" fillId="7" borderId="15" xfId="0" applyFont="1" applyFill="1" applyBorder="1" applyAlignment="1">
      <alignment horizontal="center" vertical="center"/>
    </xf>
    <xf numFmtId="43" fontId="27" fillId="0" borderId="8" xfId="1" applyFont="1" applyFill="1" applyBorder="1" applyAlignment="1">
      <alignment horizontal="center" vertical="center"/>
    </xf>
    <xf numFmtId="167" fontId="28" fillId="0" borderId="8" xfId="3" applyFont="1" applyFill="1" applyBorder="1" applyAlignment="1">
      <alignment horizontal="justify" vertical="center" wrapText="1"/>
    </xf>
    <xf numFmtId="167" fontId="28" fillId="0" borderId="8" xfId="3" applyFont="1" applyBorder="1" applyAlignment="1">
      <alignment horizontal="justify" vertical="center" wrapText="1" readingOrder="2"/>
    </xf>
    <xf numFmtId="3" fontId="27" fillId="0" borderId="8" xfId="3" applyNumberFormat="1" applyFont="1" applyBorder="1" applyAlignment="1">
      <alignment horizontal="center" vertical="center"/>
    </xf>
    <xf numFmtId="167" fontId="17" fillId="0" borderId="8" xfId="3" applyFont="1" applyFill="1" applyBorder="1" applyAlignment="1">
      <alignment horizontal="justify" vertical="center" wrapText="1"/>
    </xf>
    <xf numFmtId="9" fontId="27" fillId="0" borderId="8" xfId="2" applyFont="1" applyFill="1" applyBorder="1" applyAlignment="1">
      <alignment horizontal="center" vertical="center"/>
    </xf>
    <xf numFmtId="43" fontId="27" fillId="2" borderId="8" xfId="1" applyFont="1" applyFill="1" applyBorder="1" applyAlignment="1">
      <alignment vertical="center"/>
    </xf>
    <xf numFmtId="1" fontId="26" fillId="6" borderId="15" xfId="0" applyNumberFormat="1" applyFont="1" applyFill="1" applyBorder="1" applyAlignment="1">
      <alignment vertical="center"/>
    </xf>
    <xf numFmtId="1" fontId="26" fillId="6" borderId="23" xfId="0" applyNumberFormat="1" applyFont="1" applyFill="1" applyBorder="1" applyAlignment="1">
      <alignment vertical="center"/>
    </xf>
    <xf numFmtId="43" fontId="27" fillId="2" borderId="8" xfId="1" applyFont="1" applyFill="1" applyBorder="1" applyAlignment="1">
      <alignment horizontal="justify" vertical="center"/>
    </xf>
    <xf numFmtId="167" fontId="27" fillId="0" borderId="8" xfId="3" applyFont="1" applyFill="1" applyBorder="1" applyAlignment="1">
      <alignment horizontal="justify" vertical="center" wrapText="1" readingOrder="2"/>
    </xf>
    <xf numFmtId="167" fontId="27" fillId="2" borderId="8" xfId="3" applyFont="1" applyFill="1" applyBorder="1" applyAlignment="1">
      <alignment horizontal="justify" vertical="center" wrapText="1" readingOrder="2"/>
    </xf>
    <xf numFmtId="167" fontId="28" fillId="2" borderId="8" xfId="3" applyFont="1" applyFill="1" applyBorder="1" applyAlignment="1">
      <alignment horizontal="justify" vertical="center" wrapText="1" readingOrder="2"/>
    </xf>
    <xf numFmtId="0" fontId="27" fillId="5" borderId="0" xfId="0" applyFont="1" applyFill="1" applyBorder="1" applyAlignment="1">
      <alignment vertical="center"/>
    </xf>
    <xf numFmtId="0" fontId="26" fillId="5" borderId="0" xfId="0" applyFont="1" applyFill="1" applyBorder="1" applyAlignment="1">
      <alignment horizontal="justify" vertical="center" wrapText="1"/>
    </xf>
    <xf numFmtId="0" fontId="26" fillId="5" borderId="0" xfId="0" applyFont="1" applyFill="1" applyBorder="1" applyAlignment="1">
      <alignment horizontal="justify" vertical="center"/>
    </xf>
    <xf numFmtId="0" fontId="26" fillId="5" borderId="0" xfId="0" applyFont="1" applyFill="1" applyBorder="1" applyAlignment="1">
      <alignment vertical="center"/>
    </xf>
    <xf numFmtId="169" fontId="27" fillId="5" borderId="0" xfId="0" applyNumberFormat="1" applyFont="1" applyFill="1" applyBorder="1" applyAlignment="1">
      <alignment horizontal="center" vertical="center"/>
    </xf>
    <xf numFmtId="164" fontId="26" fillId="5" borderId="0" xfId="0" applyNumberFormat="1" applyFont="1" applyFill="1" applyBorder="1" applyAlignment="1">
      <alignment vertical="center"/>
    </xf>
    <xf numFmtId="164" fontId="26" fillId="5" borderId="0" xfId="0" applyNumberFormat="1" applyFont="1" applyFill="1" applyBorder="1" applyAlignment="1">
      <alignment horizontal="center" vertical="center"/>
    </xf>
    <xf numFmtId="164" fontId="26" fillId="5" borderId="23" xfId="0" applyNumberFormat="1" applyFont="1" applyFill="1" applyBorder="1" applyAlignment="1">
      <alignment horizontal="center" vertical="center" wrapText="1"/>
    </xf>
    <xf numFmtId="164" fontId="26" fillId="5" borderId="20" xfId="0" applyNumberFormat="1" applyFont="1" applyFill="1" applyBorder="1" applyAlignment="1">
      <alignment horizontal="center" vertical="center"/>
    </xf>
    <xf numFmtId="1" fontId="26" fillId="6" borderId="31" xfId="0" applyNumberFormat="1" applyFont="1" applyFill="1" applyBorder="1" applyAlignment="1">
      <alignment horizontal="center" vertical="center"/>
    </xf>
    <xf numFmtId="1" fontId="26" fillId="7" borderId="23" xfId="0" applyNumberFormat="1" applyFont="1" applyFill="1" applyBorder="1" applyAlignment="1">
      <alignment horizontal="left" vertical="center" wrapText="1" indent="1"/>
    </xf>
    <xf numFmtId="169" fontId="27" fillId="7" borderId="15" xfId="0" applyNumberFormat="1" applyFont="1" applyFill="1" applyBorder="1" applyAlignment="1">
      <alignment horizontal="center" vertical="center"/>
    </xf>
    <xf numFmtId="164" fontId="26" fillId="7" borderId="15" xfId="0" applyNumberFormat="1" applyFont="1" applyFill="1" applyBorder="1" applyAlignment="1">
      <alignment vertical="center"/>
    </xf>
    <xf numFmtId="0" fontId="27" fillId="2" borderId="19" xfId="0" applyFont="1" applyFill="1" applyBorder="1" applyAlignment="1"/>
    <xf numFmtId="0" fontId="24" fillId="2" borderId="23" xfId="0" applyFont="1" applyFill="1" applyBorder="1" applyAlignment="1"/>
    <xf numFmtId="167" fontId="27" fillId="0" borderId="28" xfId="3" applyFont="1" applyFill="1" applyBorder="1" applyAlignment="1">
      <alignment horizontal="justify" vertical="center" wrapText="1"/>
    </xf>
    <xf numFmtId="0" fontId="24" fillId="2" borderId="29" xfId="0" applyFont="1" applyFill="1" applyBorder="1" applyAlignment="1"/>
    <xf numFmtId="0" fontId="24" fillId="2" borderId="0" xfId="0" applyFont="1" applyFill="1" applyBorder="1" applyAlignment="1"/>
    <xf numFmtId="167" fontId="27" fillId="2" borderId="19" xfId="3" applyFont="1" applyFill="1" applyBorder="1" applyAlignment="1">
      <alignment horizontal="justify" vertical="center" wrapText="1"/>
    </xf>
    <xf numFmtId="169" fontId="27" fillId="2" borderId="34" xfId="0" applyNumberFormat="1" applyFont="1" applyFill="1" applyBorder="1" applyAlignment="1">
      <alignment horizontal="center" vertical="center"/>
    </xf>
    <xf numFmtId="43" fontId="26" fillId="2" borderId="35" xfId="1" applyFont="1" applyFill="1" applyBorder="1" applyAlignment="1">
      <alignment vertical="center"/>
    </xf>
    <xf numFmtId="0" fontId="27" fillId="2" borderId="32" xfId="0" applyFont="1" applyFill="1" applyBorder="1" applyAlignment="1">
      <alignment horizontal="justify" vertical="center"/>
    </xf>
    <xf numFmtId="0" fontId="27" fillId="2" borderId="33" xfId="0" applyFont="1" applyFill="1" applyBorder="1" applyAlignment="1">
      <alignment horizontal="center" vertical="center" wrapText="1"/>
    </xf>
    <xf numFmtId="169" fontId="27" fillId="2" borderId="0" xfId="0" applyNumberFormat="1" applyFont="1" applyFill="1" applyAlignment="1">
      <alignment horizontal="center" vertical="center"/>
    </xf>
    <xf numFmtId="164" fontId="27" fillId="2" borderId="0" xfId="0" applyNumberFormat="1" applyFont="1" applyFill="1" applyAlignment="1">
      <alignment vertical="center"/>
    </xf>
    <xf numFmtId="0" fontId="26" fillId="3" borderId="19" xfId="0" applyFont="1" applyFill="1" applyBorder="1" applyAlignment="1">
      <alignment horizontal="center" vertical="center" textRotation="90" wrapText="1"/>
    </xf>
    <xf numFmtId="49" fontId="26" fillId="3" borderId="19" xfId="0" applyNumberFormat="1" applyFont="1" applyFill="1" applyBorder="1" applyAlignment="1">
      <alignment horizontal="center" vertical="center" textRotation="90" wrapText="1"/>
    </xf>
    <xf numFmtId="0" fontId="26" fillId="0" borderId="11" xfId="0" applyFont="1" applyBorder="1" applyAlignment="1">
      <alignment horizontal="center" vertical="center"/>
    </xf>
    <xf numFmtId="1" fontId="26" fillId="3" borderId="29" xfId="0" applyNumberFormat="1" applyFont="1" applyFill="1" applyBorder="1" applyAlignment="1">
      <alignment horizontal="center" vertical="center" wrapText="1"/>
    </xf>
    <xf numFmtId="0" fontId="26" fillId="5" borderId="15" xfId="0" applyFont="1" applyFill="1" applyBorder="1" applyAlignment="1">
      <alignment horizontal="left" vertical="center"/>
    </xf>
    <xf numFmtId="0" fontId="27" fillId="2" borderId="0" xfId="0" applyFont="1" applyFill="1" applyAlignment="1">
      <alignment horizontal="center"/>
    </xf>
    <xf numFmtId="0" fontId="27" fillId="2" borderId="19"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29" xfId="0" applyFont="1" applyFill="1" applyBorder="1" applyAlignment="1">
      <alignment horizontal="center" vertical="center"/>
    </xf>
    <xf numFmtId="1" fontId="26" fillId="10" borderId="19" xfId="0" applyNumberFormat="1" applyFont="1" applyFill="1" applyBorder="1" applyAlignment="1">
      <alignment horizontal="center" vertical="center" wrapText="1"/>
    </xf>
    <xf numFmtId="1" fontId="26" fillId="10" borderId="29" xfId="0" applyNumberFormat="1" applyFont="1" applyFill="1" applyBorder="1" applyAlignment="1">
      <alignment horizontal="center" vertical="center" wrapText="1"/>
    </xf>
    <xf numFmtId="0" fontId="26" fillId="10" borderId="19" xfId="0" applyFont="1" applyFill="1" applyBorder="1" applyAlignment="1">
      <alignment horizontal="center" vertical="center" textRotation="90" wrapText="1"/>
    </xf>
    <xf numFmtId="49" fontId="26" fillId="10" borderId="19" xfId="0" applyNumberFormat="1" applyFont="1" applyFill="1" applyBorder="1" applyAlignment="1">
      <alignment horizontal="center" vertical="center" textRotation="90" wrapText="1"/>
    </xf>
    <xf numFmtId="0" fontId="26" fillId="10" borderId="31" xfId="0" applyFont="1" applyFill="1" applyBorder="1" applyAlignment="1">
      <alignment horizontal="center" vertical="center" textRotation="90" wrapText="1"/>
    </xf>
    <xf numFmtId="1" fontId="26" fillId="12" borderId="13" xfId="0" applyNumberFormat="1" applyFont="1" applyFill="1" applyBorder="1" applyAlignment="1">
      <alignment horizontal="left" vertical="center" wrapText="1"/>
    </xf>
    <xf numFmtId="0" fontId="26" fillId="12" borderId="14" xfId="0" applyFont="1" applyFill="1" applyBorder="1" applyAlignment="1">
      <alignment vertical="center"/>
    </xf>
    <xf numFmtId="0" fontId="26" fillId="12" borderId="15" xfId="0" applyFont="1" applyFill="1" applyBorder="1" applyAlignment="1">
      <alignment vertical="center"/>
    </xf>
    <xf numFmtId="0" fontId="26" fillId="12" borderId="15" xfId="0" applyFont="1" applyFill="1" applyBorder="1" applyAlignment="1">
      <alignment horizontal="justify" vertical="center"/>
    </xf>
    <xf numFmtId="0" fontId="26" fillId="12" borderId="15" xfId="0" applyFont="1" applyFill="1" applyBorder="1" applyAlignment="1">
      <alignment horizontal="center" vertical="center"/>
    </xf>
    <xf numFmtId="169" fontId="26" fillId="12" borderId="15" xfId="0" applyNumberFormat="1" applyFont="1" applyFill="1" applyBorder="1" applyAlignment="1">
      <alignment horizontal="center" vertical="center"/>
    </xf>
    <xf numFmtId="164" fontId="26" fillId="12" borderId="15" xfId="0" applyNumberFormat="1" applyFont="1" applyFill="1" applyBorder="1" applyAlignment="1">
      <alignment vertical="center"/>
    </xf>
    <xf numFmtId="164" fontId="26" fillId="12" borderId="15" xfId="0" applyNumberFormat="1" applyFont="1" applyFill="1" applyBorder="1" applyAlignment="1">
      <alignment horizontal="center" vertical="center"/>
    </xf>
    <xf numFmtId="1" fontId="26" fillId="12" borderId="15" xfId="0" applyNumberFormat="1" applyFont="1" applyFill="1" applyBorder="1" applyAlignment="1">
      <alignment horizontal="center" vertical="center"/>
    </xf>
    <xf numFmtId="165" fontId="26" fillId="12" borderId="15" xfId="0" applyNumberFormat="1" applyFont="1" applyFill="1" applyBorder="1" applyAlignment="1">
      <alignment vertical="center"/>
    </xf>
    <xf numFmtId="0" fontId="26" fillId="12" borderId="17" xfId="0" applyFont="1" applyFill="1" applyBorder="1" applyAlignment="1">
      <alignment horizontal="justify" vertical="center"/>
    </xf>
    <xf numFmtId="1" fontId="26" fillId="13" borderId="20" xfId="0" applyNumberFormat="1" applyFont="1" applyFill="1" applyBorder="1" applyAlignment="1">
      <alignment horizontal="center" vertical="center"/>
    </xf>
    <xf numFmtId="0" fontId="26" fillId="13" borderId="0" xfId="0" applyFont="1" applyFill="1" applyBorder="1" applyAlignment="1">
      <alignment vertical="center"/>
    </xf>
    <xf numFmtId="0" fontId="26" fillId="13" borderId="11" xfId="0" applyFont="1" applyFill="1" applyBorder="1" applyAlignment="1">
      <alignment vertical="center"/>
    </xf>
    <xf numFmtId="0" fontId="26" fillId="13" borderId="11" xfId="0" applyFont="1" applyFill="1" applyBorder="1" applyAlignment="1">
      <alignment horizontal="justify" vertical="center"/>
    </xf>
    <xf numFmtId="0" fontId="26" fillId="13" borderId="11" xfId="0" applyFont="1" applyFill="1" applyBorder="1" applyAlignment="1">
      <alignment horizontal="center" vertical="center"/>
    </xf>
    <xf numFmtId="169" fontId="26" fillId="13" borderId="11" xfId="0" applyNumberFormat="1" applyFont="1" applyFill="1" applyBorder="1" applyAlignment="1">
      <alignment horizontal="center" vertical="center"/>
    </xf>
    <xf numFmtId="164" fontId="26" fillId="13" borderId="11" xfId="0" applyNumberFormat="1" applyFont="1" applyFill="1" applyBorder="1" applyAlignment="1">
      <alignment vertical="center"/>
    </xf>
    <xf numFmtId="164" fontId="26" fillId="13" borderId="11" xfId="0" applyNumberFormat="1" applyFont="1" applyFill="1" applyBorder="1" applyAlignment="1">
      <alignment horizontal="center" vertical="center"/>
    </xf>
    <xf numFmtId="1" fontId="26" fillId="13" borderId="11" xfId="0" applyNumberFormat="1" applyFont="1" applyFill="1" applyBorder="1" applyAlignment="1">
      <alignment horizontal="center" vertical="center"/>
    </xf>
    <xf numFmtId="165" fontId="26" fillId="13" borderId="11" xfId="0" applyNumberFormat="1" applyFont="1" applyFill="1" applyBorder="1" applyAlignment="1">
      <alignment vertical="center"/>
    </xf>
    <xf numFmtId="0" fontId="26" fillId="13" borderId="26" xfId="0" applyFont="1" applyFill="1" applyBorder="1" applyAlignment="1">
      <alignment horizontal="justify" vertical="center"/>
    </xf>
    <xf numFmtId="1" fontId="26" fillId="14" borderId="8" xfId="0" applyNumberFormat="1" applyFont="1" applyFill="1" applyBorder="1" applyAlignment="1">
      <alignment horizontal="center" vertical="center" wrapText="1"/>
    </xf>
    <xf numFmtId="0" fontId="26" fillId="14" borderId="15" xfId="0" applyFont="1" applyFill="1" applyBorder="1" applyAlignment="1">
      <alignment vertical="center"/>
    </xf>
    <xf numFmtId="0" fontId="26" fillId="14" borderId="15" xfId="0" applyFont="1" applyFill="1" applyBorder="1" applyAlignment="1">
      <alignment horizontal="justify" vertical="center"/>
    </xf>
    <xf numFmtId="0" fontId="26" fillId="14" borderId="15" xfId="0" applyFont="1" applyFill="1" applyBorder="1" applyAlignment="1">
      <alignment horizontal="center" vertical="center"/>
    </xf>
    <xf numFmtId="169" fontId="26" fillId="14" borderId="15" xfId="0" applyNumberFormat="1" applyFont="1" applyFill="1" applyBorder="1" applyAlignment="1">
      <alignment horizontal="center" vertical="center"/>
    </xf>
    <xf numFmtId="164" fontId="26" fillId="14" borderId="15" xfId="0" applyNumberFormat="1" applyFont="1" applyFill="1" applyBorder="1" applyAlignment="1">
      <alignment vertical="center"/>
    </xf>
    <xf numFmtId="164" fontId="26" fillId="14" borderId="15" xfId="0" applyNumberFormat="1" applyFont="1" applyFill="1" applyBorder="1" applyAlignment="1">
      <alignment horizontal="center" vertical="center"/>
    </xf>
    <xf numFmtId="1" fontId="26" fillId="14" borderId="15" xfId="0" applyNumberFormat="1" applyFont="1" applyFill="1" applyBorder="1" applyAlignment="1">
      <alignment horizontal="center" vertical="center"/>
    </xf>
    <xf numFmtId="165" fontId="26" fillId="14" borderId="15" xfId="0" applyNumberFormat="1" applyFont="1" applyFill="1" applyBorder="1" applyAlignment="1">
      <alignment vertical="center"/>
    </xf>
    <xf numFmtId="0" fontId="26" fillId="14" borderId="17" xfId="0" applyFont="1" applyFill="1" applyBorder="1" applyAlignment="1">
      <alignment horizontal="justify" vertical="center"/>
    </xf>
    <xf numFmtId="2" fontId="27" fillId="2" borderId="8" xfId="0" applyNumberFormat="1" applyFont="1" applyFill="1" applyBorder="1" applyAlignment="1">
      <alignment horizontal="justify" vertical="center" wrapText="1"/>
    </xf>
    <xf numFmtId="43" fontId="17" fillId="2" borderId="8" xfId="1" applyFont="1" applyFill="1" applyBorder="1" applyAlignment="1">
      <alignment horizontal="center" vertical="center" wrapText="1"/>
    </xf>
    <xf numFmtId="183" fontId="27" fillId="2" borderId="27" xfId="0" applyNumberFormat="1" applyFont="1" applyFill="1" applyBorder="1" applyAlignment="1">
      <alignment horizontal="center" vertical="center" wrapText="1"/>
    </xf>
    <xf numFmtId="0" fontId="27" fillId="2" borderId="8" xfId="0" applyFont="1" applyFill="1" applyBorder="1" applyAlignment="1">
      <alignment horizontal="center" vertical="center" wrapText="1"/>
    </xf>
    <xf numFmtId="0" fontId="17" fillId="2" borderId="19" xfId="0" applyFont="1" applyFill="1" applyBorder="1" applyAlignment="1">
      <alignment horizontal="justify" vertical="center"/>
    </xf>
    <xf numFmtId="9" fontId="17" fillId="2" borderId="8" xfId="2" applyFont="1" applyFill="1" applyBorder="1" applyAlignment="1">
      <alignment horizontal="center" vertical="center"/>
    </xf>
    <xf numFmtId="2" fontId="27" fillId="2" borderId="19" xfId="0" applyNumberFormat="1" applyFont="1" applyFill="1" applyBorder="1" applyAlignment="1">
      <alignment horizontal="justify" vertical="center" wrapText="1"/>
    </xf>
    <xf numFmtId="0" fontId="27" fillId="0" borderId="32" xfId="0" applyFont="1" applyBorder="1"/>
    <xf numFmtId="43" fontId="26" fillId="0" borderId="35" xfId="1" applyFont="1" applyBorder="1"/>
    <xf numFmtId="0" fontId="27" fillId="0" borderId="34" xfId="0" applyFont="1" applyBorder="1"/>
    <xf numFmtId="0" fontId="26" fillId="0" borderId="23" xfId="0" applyFont="1" applyBorder="1"/>
    <xf numFmtId="1" fontId="26" fillId="5" borderId="13" xfId="0" applyNumberFormat="1" applyFont="1" applyFill="1" applyBorder="1" applyAlignment="1">
      <alignment horizontal="center" vertical="center" wrapText="1"/>
    </xf>
    <xf numFmtId="0" fontId="27" fillId="5" borderId="15" xfId="0" applyFont="1" applyFill="1" applyBorder="1" applyAlignment="1">
      <alignment horizontal="center" vertical="center"/>
    </xf>
    <xf numFmtId="169" fontId="26" fillId="5" borderId="15" xfId="0" applyNumberFormat="1" applyFont="1" applyFill="1" applyBorder="1" applyAlignment="1">
      <alignment horizontal="center" vertical="center"/>
    </xf>
    <xf numFmtId="164" fontId="27" fillId="5" borderId="15" xfId="0" applyNumberFormat="1" applyFont="1" applyFill="1" applyBorder="1" applyAlignment="1">
      <alignment vertical="center"/>
    </xf>
    <xf numFmtId="0" fontId="27" fillId="5" borderId="17" xfId="0" applyFont="1" applyFill="1" applyBorder="1" applyAlignment="1">
      <alignment horizontal="justify" vertical="center"/>
    </xf>
    <xf numFmtId="1" fontId="26" fillId="6" borderId="16" xfId="0" applyNumberFormat="1" applyFont="1" applyFill="1" applyBorder="1" applyAlignment="1">
      <alignment horizontal="center" vertical="center"/>
    </xf>
    <xf numFmtId="0" fontId="26" fillId="6" borderId="8" xfId="0" applyFont="1" applyFill="1" applyBorder="1" applyAlignment="1">
      <alignment vertical="center"/>
    </xf>
    <xf numFmtId="0" fontId="27" fillId="6" borderId="11" xfId="0" applyFont="1" applyFill="1" applyBorder="1" applyAlignment="1">
      <alignment horizontal="center" vertical="center"/>
    </xf>
    <xf numFmtId="169" fontId="26" fillId="6" borderId="11" xfId="0" applyNumberFormat="1" applyFont="1" applyFill="1" applyBorder="1" applyAlignment="1">
      <alignment horizontal="center" vertical="center"/>
    </xf>
    <xf numFmtId="164" fontId="27" fillId="6" borderId="11" xfId="0" applyNumberFormat="1" applyFont="1" applyFill="1" applyBorder="1" applyAlignment="1">
      <alignment vertical="center"/>
    </xf>
    <xf numFmtId="0" fontId="27" fillId="6" borderId="26" xfId="0" applyFont="1" applyFill="1" applyBorder="1" applyAlignment="1">
      <alignment horizontal="justify" vertical="center"/>
    </xf>
    <xf numFmtId="1" fontId="26" fillId="7" borderId="16" xfId="0" applyNumberFormat="1" applyFont="1" applyFill="1" applyBorder="1" applyAlignment="1">
      <alignment horizontal="center" vertical="center" wrapText="1"/>
    </xf>
    <xf numFmtId="0" fontId="26" fillId="7" borderId="8" xfId="0" applyFont="1" applyFill="1" applyBorder="1" applyAlignment="1">
      <alignment vertical="center"/>
    </xf>
    <xf numFmtId="0" fontId="27" fillId="7" borderId="15" xfId="0" applyFont="1" applyFill="1" applyBorder="1" applyAlignment="1">
      <alignment horizontal="center" vertical="center"/>
    </xf>
    <xf numFmtId="169" fontId="26" fillId="7" borderId="15" xfId="0" applyNumberFormat="1" applyFont="1" applyFill="1" applyBorder="1" applyAlignment="1">
      <alignment horizontal="center" vertical="center"/>
    </xf>
    <xf numFmtId="164" fontId="27" fillId="7" borderId="15" xfId="0" applyNumberFormat="1" applyFont="1" applyFill="1" applyBorder="1" applyAlignment="1">
      <alignment vertical="center"/>
    </xf>
    <xf numFmtId="1" fontId="26" fillId="7" borderId="15" xfId="0" applyNumberFormat="1" applyFont="1" applyFill="1" applyBorder="1" applyAlignment="1">
      <alignment horizontal="center" vertical="center"/>
    </xf>
    <xf numFmtId="0" fontId="27" fillId="7" borderId="17" xfId="0" applyFont="1" applyFill="1" applyBorder="1" applyAlignment="1">
      <alignment horizontal="justify" vertical="center"/>
    </xf>
    <xf numFmtId="43" fontId="27" fillId="7" borderId="15" xfId="1" applyFont="1" applyFill="1" applyBorder="1" applyAlignment="1">
      <alignment vertical="center"/>
    </xf>
    <xf numFmtId="0" fontId="27" fillId="7" borderId="17" xfId="0" applyFont="1" applyFill="1" applyBorder="1" applyAlignment="1">
      <alignment horizontal="justify" vertical="center" wrapText="1"/>
    </xf>
    <xf numFmtId="0" fontId="27" fillId="2" borderId="29" xfId="0" applyFont="1" applyFill="1" applyBorder="1" applyAlignment="1">
      <alignment vertical="center"/>
    </xf>
    <xf numFmtId="43" fontId="27" fillId="6" borderId="11" xfId="1" applyFont="1" applyFill="1" applyBorder="1" applyAlignment="1">
      <alignment vertical="center"/>
    </xf>
    <xf numFmtId="0" fontId="27" fillId="6" borderId="26" xfId="0" applyFont="1" applyFill="1" applyBorder="1" applyAlignment="1">
      <alignment horizontal="justify" vertical="center" wrapText="1"/>
    </xf>
    <xf numFmtId="0" fontId="27" fillId="2" borderId="19" xfId="0" applyFont="1" applyFill="1" applyBorder="1"/>
    <xf numFmtId="0" fontId="26" fillId="7" borderId="11" xfId="0" applyFont="1" applyFill="1" applyBorder="1" applyAlignment="1">
      <alignment vertical="center"/>
    </xf>
    <xf numFmtId="0" fontId="26" fillId="7" borderId="11" xfId="0" applyFont="1" applyFill="1" applyBorder="1" applyAlignment="1">
      <alignment horizontal="justify" vertical="center"/>
    </xf>
    <xf numFmtId="0" fontId="27" fillId="7" borderId="11" xfId="0" applyFont="1" applyFill="1" applyBorder="1" applyAlignment="1">
      <alignment horizontal="center" vertical="center"/>
    </xf>
    <xf numFmtId="169" fontId="26" fillId="7" borderId="11" xfId="0" applyNumberFormat="1" applyFont="1" applyFill="1" applyBorder="1" applyAlignment="1">
      <alignment horizontal="center" vertical="center"/>
    </xf>
    <xf numFmtId="43" fontId="27" fillId="7" borderId="11" xfId="1" applyFont="1" applyFill="1" applyBorder="1" applyAlignment="1">
      <alignment vertical="center"/>
    </xf>
    <xf numFmtId="1" fontId="26" fillId="7" borderId="0" xfId="0" applyNumberFormat="1" applyFont="1" applyFill="1" applyBorder="1" applyAlignment="1">
      <alignment horizontal="center" vertical="center"/>
    </xf>
    <xf numFmtId="0" fontId="26" fillId="7" borderId="0" xfId="0" applyFont="1" applyFill="1" applyBorder="1" applyAlignment="1">
      <alignment horizontal="center" vertical="center"/>
    </xf>
    <xf numFmtId="165" fontId="26" fillId="7" borderId="11" xfId="0" applyNumberFormat="1" applyFont="1" applyFill="1" applyBorder="1" applyAlignment="1">
      <alignment vertical="center"/>
    </xf>
    <xf numFmtId="0" fontId="27" fillId="7" borderId="26" xfId="0" applyFont="1" applyFill="1" applyBorder="1" applyAlignment="1">
      <alignment horizontal="justify" vertical="center" wrapText="1"/>
    </xf>
    <xf numFmtId="0" fontId="15" fillId="2" borderId="33" xfId="0" applyFont="1" applyFill="1" applyBorder="1" applyAlignment="1">
      <alignment horizontal="justify" vertical="center"/>
    </xf>
    <xf numFmtId="166" fontId="26" fillId="0" borderId="35" xfId="1" applyNumberFormat="1" applyFont="1" applyFill="1" applyBorder="1" applyAlignment="1">
      <alignment horizontal="center" vertical="center"/>
    </xf>
    <xf numFmtId="166" fontId="26" fillId="0" borderId="35" xfId="1" applyNumberFormat="1" applyFont="1" applyFill="1" applyBorder="1" applyAlignment="1">
      <alignment horizontal="right" vertical="center"/>
    </xf>
    <xf numFmtId="0" fontId="27" fillId="0" borderId="11" xfId="0" applyFont="1" applyBorder="1"/>
    <xf numFmtId="0" fontId="26" fillId="0" borderId="0" xfId="0" applyFont="1" applyBorder="1" applyAlignment="1"/>
    <xf numFmtId="1" fontId="26" fillId="3" borderId="29" xfId="0" applyNumberFormat="1" applyFont="1" applyFill="1" applyBorder="1" applyAlignment="1">
      <alignment horizontal="center" vertical="center" wrapText="1"/>
    </xf>
    <xf numFmtId="0" fontId="26" fillId="3" borderId="19" xfId="0" applyFont="1" applyFill="1" applyBorder="1" applyAlignment="1">
      <alignment horizontal="center" vertical="center" textRotation="90" wrapText="1"/>
    </xf>
    <xf numFmtId="49" fontId="26" fillId="3" borderId="19" xfId="0" applyNumberFormat="1" applyFont="1" applyFill="1" applyBorder="1" applyAlignment="1">
      <alignment horizontal="center" vertical="center" textRotation="90" wrapText="1"/>
    </xf>
    <xf numFmtId="0" fontId="27" fillId="0" borderId="19" xfId="0" applyFont="1" applyFill="1" applyBorder="1" applyAlignment="1">
      <alignment horizontal="justify" vertical="center" wrapText="1"/>
    </xf>
    <xf numFmtId="0" fontId="27" fillId="0" borderId="8" xfId="0" applyFont="1" applyFill="1" applyBorder="1" applyAlignment="1">
      <alignment horizontal="justify" vertical="center" wrapText="1"/>
    </xf>
    <xf numFmtId="9" fontId="17" fillId="0" borderId="8" xfId="2"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horizontal="justify" vertical="center" wrapText="1"/>
    </xf>
    <xf numFmtId="9" fontId="17" fillId="2" borderId="19" xfId="2" applyFont="1" applyFill="1" applyBorder="1" applyAlignment="1">
      <alignment horizontal="center" vertical="center" wrapText="1"/>
    </xf>
    <xf numFmtId="0" fontId="27" fillId="0" borderId="29" xfId="0" applyFont="1" applyFill="1" applyBorder="1" applyAlignment="1">
      <alignment horizontal="center" vertical="center" wrapText="1"/>
    </xf>
    <xf numFmtId="0" fontId="17" fillId="2" borderId="19" xfId="0" applyFont="1" applyFill="1" applyBorder="1" applyAlignment="1">
      <alignment horizontal="justify" vertical="center" wrapText="1"/>
    </xf>
    <xf numFmtId="0" fontId="17" fillId="2" borderId="29" xfId="0" applyFont="1" applyFill="1" applyBorder="1" applyAlignment="1">
      <alignment horizontal="justify" vertical="center" wrapText="1"/>
    </xf>
    <xf numFmtId="43" fontId="17" fillId="0" borderId="19" xfId="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9" xfId="0" applyFont="1" applyFill="1" applyBorder="1" applyAlignment="1">
      <alignment horizontal="center" vertical="center" wrapText="1"/>
    </xf>
    <xf numFmtId="43" fontId="17" fillId="2" borderId="19" xfId="1" applyFont="1" applyFill="1" applyBorder="1" applyAlignment="1">
      <alignment horizontal="center" vertical="center" wrapText="1"/>
    </xf>
    <xf numFmtId="43" fontId="17" fillId="2" borderId="28" xfId="1" applyFont="1" applyFill="1" applyBorder="1" applyAlignment="1">
      <alignment horizontal="center" vertical="center" wrapText="1"/>
    </xf>
    <xf numFmtId="49" fontId="17" fillId="2" borderId="29" xfId="0" applyNumberFormat="1" applyFont="1" applyFill="1" applyBorder="1" applyAlignment="1">
      <alignment horizontal="center" vertical="center" wrapText="1"/>
    </xf>
    <xf numFmtId="43" fontId="27" fillId="2" borderId="8" xfId="1" applyFont="1" applyFill="1" applyBorder="1" applyAlignment="1">
      <alignment horizontal="center" vertical="center" wrapText="1"/>
    </xf>
    <xf numFmtId="9" fontId="27" fillId="2" borderId="8" xfId="2" applyFont="1" applyFill="1" applyBorder="1" applyAlignment="1">
      <alignment horizontal="center" vertical="center" wrapText="1"/>
    </xf>
    <xf numFmtId="9" fontId="27" fillId="0" borderId="8" xfId="2" applyFont="1" applyFill="1" applyBorder="1" applyAlignment="1">
      <alignment horizontal="center" vertical="center"/>
    </xf>
    <xf numFmtId="9" fontId="27" fillId="2" borderId="19" xfId="2" applyFont="1" applyFill="1" applyBorder="1" applyAlignment="1">
      <alignment horizontal="center" vertical="center" wrapText="1"/>
    </xf>
    <xf numFmtId="9" fontId="27" fillId="2" borderId="29" xfId="2" applyFont="1" applyFill="1" applyBorder="1" applyAlignment="1">
      <alignment horizontal="center" vertical="center" wrapText="1"/>
    </xf>
    <xf numFmtId="9" fontId="27" fillId="2" borderId="28" xfId="2" applyFont="1" applyFill="1" applyBorder="1" applyAlignment="1">
      <alignment horizontal="center" vertical="center" wrapText="1"/>
    </xf>
    <xf numFmtId="0" fontId="27" fillId="0" borderId="7" xfId="0" applyFont="1" applyFill="1" applyBorder="1" applyAlignment="1">
      <alignment horizontal="justify" vertical="center" wrapText="1"/>
    </xf>
    <xf numFmtId="43" fontId="27" fillId="2" borderId="28" xfId="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horizontal="justify" vertical="center" wrapText="1"/>
    </xf>
    <xf numFmtId="0" fontId="27" fillId="0" borderId="8" xfId="0" applyFont="1" applyFill="1" applyBorder="1" applyAlignment="1">
      <alignment horizontal="justify" vertical="center" wrapText="1"/>
    </xf>
    <xf numFmtId="0" fontId="27" fillId="2" borderId="16" xfId="0" applyFont="1" applyFill="1" applyBorder="1" applyAlignment="1">
      <alignment horizontal="center" vertical="center" wrapText="1"/>
    </xf>
    <xf numFmtId="0" fontId="27" fillId="2" borderId="8" xfId="0" applyFont="1" applyFill="1" applyBorder="1" applyAlignment="1">
      <alignment horizontal="justify" vertical="center" wrapText="1"/>
    </xf>
    <xf numFmtId="0" fontId="27" fillId="0" borderId="8" xfId="0" applyFont="1" applyFill="1" applyBorder="1" applyAlignment="1">
      <alignment horizontal="center" vertical="center" wrapText="1"/>
    </xf>
    <xf numFmtId="1" fontId="26" fillId="2" borderId="31" xfId="0" applyNumberFormat="1" applyFont="1" applyFill="1" applyBorder="1" applyAlignment="1">
      <alignment horizontal="center" vertical="center" wrapText="1"/>
    </xf>
    <xf numFmtId="1" fontId="26" fillId="2" borderId="27" xfId="0" applyNumberFormat="1"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0" borderId="19" xfId="0" applyFont="1" applyFill="1" applyBorder="1" applyAlignment="1">
      <alignment horizontal="justify" vertical="center" wrapText="1"/>
    </xf>
    <xf numFmtId="0" fontId="26" fillId="3" borderId="19" xfId="0" applyFont="1" applyFill="1" applyBorder="1" applyAlignment="1">
      <alignment horizontal="center" vertical="center" textRotation="90" wrapText="1"/>
    </xf>
    <xf numFmtId="49" fontId="26" fillId="3" borderId="19" xfId="0" applyNumberFormat="1" applyFont="1" applyFill="1" applyBorder="1" applyAlignment="1">
      <alignment horizontal="center" vertical="center" textRotation="90" wrapText="1"/>
    </xf>
    <xf numFmtId="0" fontId="26" fillId="0" borderId="11" xfId="0" applyFont="1" applyBorder="1" applyAlignment="1">
      <alignment horizontal="center" vertical="center"/>
    </xf>
    <xf numFmtId="1" fontId="26" fillId="3" borderId="29" xfId="0" applyNumberFormat="1" applyFont="1" applyFill="1" applyBorder="1" applyAlignment="1">
      <alignment horizontal="center" vertical="center" wrapText="1"/>
    </xf>
    <xf numFmtId="1" fontId="27" fillId="2" borderId="8" xfId="0" applyNumberFormat="1" applyFont="1" applyFill="1" applyBorder="1" applyAlignment="1">
      <alignment horizontal="center" vertical="center" wrapText="1"/>
    </xf>
    <xf numFmtId="9" fontId="27" fillId="0" borderId="8" xfId="2"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justify" vertical="center" wrapText="1"/>
    </xf>
    <xf numFmtId="3" fontId="17" fillId="0" borderId="8" xfId="0" applyNumberFormat="1" applyFont="1" applyFill="1" applyBorder="1" applyAlignment="1">
      <alignment horizontal="center" vertical="center" wrapText="1"/>
    </xf>
    <xf numFmtId="0" fontId="17" fillId="2" borderId="20" xfId="0" applyFont="1" applyFill="1" applyBorder="1" applyAlignment="1">
      <alignment horizontal="center" vertical="center" wrapText="1"/>
    </xf>
    <xf numFmtId="9" fontId="27" fillId="2" borderId="8" xfId="2" applyFont="1" applyFill="1" applyBorder="1" applyAlignment="1">
      <alignment horizontal="center" vertical="center"/>
    </xf>
    <xf numFmtId="0" fontId="26" fillId="2" borderId="11"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28" xfId="0" applyFont="1" applyFill="1" applyBorder="1" applyAlignment="1">
      <alignment horizontal="justify" vertical="center" wrapText="1"/>
    </xf>
    <xf numFmtId="1" fontId="27" fillId="2" borderId="28" xfId="0" applyNumberFormat="1" applyFont="1" applyFill="1" applyBorder="1" applyAlignment="1">
      <alignment horizontal="center" vertical="center" wrapText="1"/>
    </xf>
    <xf numFmtId="0" fontId="27" fillId="2" borderId="8" xfId="0" applyFont="1" applyFill="1" applyBorder="1" applyAlignment="1">
      <alignment horizontal="center" vertical="center" wrapText="1"/>
    </xf>
    <xf numFmtId="3" fontId="27" fillId="2" borderId="8" xfId="0" applyNumberFormat="1" applyFont="1" applyFill="1" applyBorder="1" applyAlignment="1">
      <alignment horizontal="justify" vertical="center" wrapText="1"/>
    </xf>
    <xf numFmtId="0" fontId="27" fillId="2" borderId="8" xfId="0" applyFont="1" applyFill="1" applyBorder="1" applyAlignment="1">
      <alignment horizontal="center" vertical="center"/>
    </xf>
    <xf numFmtId="0" fontId="26" fillId="0" borderId="4" xfId="0" applyFont="1" applyFill="1" applyBorder="1" applyAlignment="1">
      <alignment vertical="center"/>
    </xf>
    <xf numFmtId="0" fontId="26" fillId="0" borderId="5" xfId="0" applyFont="1" applyFill="1" applyBorder="1" applyAlignment="1">
      <alignment vertical="center"/>
    </xf>
    <xf numFmtId="0" fontId="26" fillId="0" borderId="8" xfId="0" applyFont="1" applyFill="1" applyBorder="1" applyAlignment="1">
      <alignment horizontal="left" vertical="center"/>
    </xf>
    <xf numFmtId="0" fontId="26" fillId="0" borderId="9"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wrapText="1"/>
    </xf>
    <xf numFmtId="3" fontId="31" fillId="0" borderId="9" xfId="0" applyNumberFormat="1" applyFont="1" applyFill="1" applyBorder="1" applyAlignment="1">
      <alignment horizontal="left" vertical="center" wrapText="1"/>
    </xf>
    <xf numFmtId="0" fontId="26" fillId="0" borderId="23" xfId="18" applyFont="1" applyBorder="1" applyAlignment="1">
      <alignment horizontal="center" vertical="center"/>
    </xf>
    <xf numFmtId="0" fontId="27" fillId="0" borderId="0" xfId="18" applyFont="1" applyFill="1"/>
    <xf numFmtId="0" fontId="27" fillId="0" borderId="0" xfId="18" applyFont="1"/>
    <xf numFmtId="0" fontId="26" fillId="0" borderId="11" xfId="18" applyFont="1" applyBorder="1" applyAlignment="1">
      <alignment horizontal="center" vertical="center"/>
    </xf>
    <xf numFmtId="0" fontId="26" fillId="5" borderId="47" xfId="18" applyFont="1" applyFill="1" applyBorder="1" applyAlignment="1">
      <alignment horizontal="center" vertical="center" wrapText="1"/>
    </xf>
    <xf numFmtId="0" fontId="26" fillId="5" borderId="15" xfId="18" applyFont="1" applyFill="1" applyBorder="1" applyAlignment="1">
      <alignment vertical="center"/>
    </xf>
    <xf numFmtId="0" fontId="26" fillId="5" borderId="15" xfId="18" applyFont="1" applyFill="1" applyBorder="1" applyAlignment="1">
      <alignment horizontal="justify" vertical="center"/>
    </xf>
    <xf numFmtId="0" fontId="26" fillId="5" borderId="15" xfId="18" applyFont="1" applyFill="1" applyBorder="1" applyAlignment="1">
      <alignment horizontal="center" vertical="center"/>
    </xf>
    <xf numFmtId="0" fontId="27" fillId="5" borderId="15" xfId="18" applyFont="1" applyFill="1" applyBorder="1" applyAlignment="1">
      <alignment vertical="center"/>
    </xf>
    <xf numFmtId="0" fontId="26" fillId="5" borderId="15" xfId="1" applyNumberFormat="1" applyFont="1" applyFill="1" applyBorder="1" applyAlignment="1">
      <alignment vertical="center"/>
    </xf>
    <xf numFmtId="166" fontId="26" fillId="5" borderId="15" xfId="1" applyNumberFormat="1" applyFont="1" applyFill="1" applyBorder="1" applyAlignment="1">
      <alignment vertical="center"/>
    </xf>
    <xf numFmtId="0" fontId="26" fillId="5" borderId="15" xfId="1" applyNumberFormat="1" applyFont="1" applyFill="1" applyBorder="1" applyAlignment="1">
      <alignment horizontal="center" vertical="center"/>
    </xf>
    <xf numFmtId="0" fontId="26" fillId="5" borderId="17" xfId="18" applyFont="1" applyFill="1" applyBorder="1" applyAlignment="1">
      <alignment vertical="center"/>
    </xf>
    <xf numFmtId="0" fontId="27" fillId="0" borderId="0" xfId="18" applyFont="1" applyFill="1" applyBorder="1"/>
    <xf numFmtId="0" fontId="26" fillId="6" borderId="23" xfId="18" applyFont="1" applyFill="1" applyBorder="1" applyAlignment="1">
      <alignment horizontal="center" vertical="center"/>
    </xf>
    <xf numFmtId="0" fontId="26" fillId="6" borderId="23" xfId="18" applyFont="1" applyFill="1" applyBorder="1" applyAlignment="1">
      <alignment vertical="center"/>
    </xf>
    <xf numFmtId="0" fontId="26" fillId="6" borderId="15" xfId="18" applyFont="1" applyFill="1" applyBorder="1" applyAlignment="1">
      <alignment vertical="center"/>
    </xf>
    <xf numFmtId="0" fontId="26" fillId="6" borderId="15" xfId="18" applyFont="1" applyFill="1" applyBorder="1" applyAlignment="1">
      <alignment horizontal="justify" vertical="center"/>
    </xf>
    <xf numFmtId="0" fontId="26" fillId="6" borderId="15" xfId="18" applyFont="1" applyFill="1" applyBorder="1" applyAlignment="1">
      <alignment horizontal="center" vertical="center"/>
    </xf>
    <xf numFmtId="0" fontId="27" fillId="6" borderId="15" xfId="18" applyFont="1" applyFill="1" applyBorder="1" applyAlignment="1">
      <alignment vertical="center"/>
    </xf>
    <xf numFmtId="0" fontId="26" fillId="6" borderId="15" xfId="1" applyNumberFormat="1" applyFont="1" applyFill="1" applyBorder="1" applyAlignment="1">
      <alignment vertical="center"/>
    </xf>
    <xf numFmtId="166" fontId="26" fillId="6" borderId="15" xfId="1" applyNumberFormat="1" applyFont="1" applyFill="1" applyBorder="1" applyAlignment="1">
      <alignment vertical="center"/>
    </xf>
    <xf numFmtId="0" fontId="26" fillId="6" borderId="15" xfId="1" applyNumberFormat="1" applyFont="1" applyFill="1" applyBorder="1" applyAlignment="1">
      <alignment horizontal="center" vertical="center"/>
    </xf>
    <xf numFmtId="0" fontId="26" fillId="6" borderId="17" xfId="18" applyFont="1" applyFill="1" applyBorder="1" applyAlignment="1">
      <alignment vertical="center"/>
    </xf>
    <xf numFmtId="0" fontId="26" fillId="0" borderId="6" xfId="18" applyFont="1" applyFill="1" applyBorder="1" applyAlignment="1">
      <alignment vertical="center" wrapText="1"/>
    </xf>
    <xf numFmtId="0" fontId="26" fillId="0" borderId="0" xfId="18" applyFont="1" applyFill="1" applyBorder="1" applyAlignment="1">
      <alignment vertical="center" wrapText="1"/>
    </xf>
    <xf numFmtId="0" fontId="26" fillId="0" borderId="7" xfId="18" applyFont="1" applyFill="1" applyBorder="1" applyAlignment="1">
      <alignment vertical="center" wrapText="1"/>
    </xf>
    <xf numFmtId="0" fontId="26" fillId="0" borderId="23" xfId="18" applyFont="1" applyFill="1" applyBorder="1" applyAlignment="1">
      <alignment vertical="center" wrapText="1"/>
    </xf>
    <xf numFmtId="0" fontId="26" fillId="0" borderId="20" xfId="18" applyFont="1" applyFill="1" applyBorder="1" applyAlignment="1">
      <alignment vertical="center" wrapText="1"/>
    </xf>
    <xf numFmtId="0" fontId="26" fillId="17" borderId="15" xfId="18" applyFont="1" applyFill="1" applyBorder="1" applyAlignment="1">
      <alignment horizontal="center" vertical="center" wrapText="1"/>
    </xf>
    <xf numFmtId="0" fontId="26" fillId="17" borderId="15" xfId="18" applyFont="1" applyFill="1" applyBorder="1" applyAlignment="1">
      <alignment vertical="center"/>
    </xf>
    <xf numFmtId="0" fontId="26" fillId="17" borderId="15" xfId="18" applyFont="1" applyFill="1" applyBorder="1" applyAlignment="1">
      <alignment horizontal="justify" vertical="center"/>
    </xf>
    <xf numFmtId="0" fontId="26" fillId="17" borderId="15" xfId="18" applyFont="1" applyFill="1" applyBorder="1" applyAlignment="1">
      <alignment horizontal="center" vertical="center"/>
    </xf>
    <xf numFmtId="0" fontId="27" fillId="17" borderId="15" xfId="18" applyFont="1" applyFill="1" applyBorder="1" applyAlignment="1">
      <alignment vertical="center"/>
    </xf>
    <xf numFmtId="0" fontId="26" fillId="17" borderId="15" xfId="1" applyNumberFormat="1" applyFont="1" applyFill="1" applyBorder="1" applyAlignment="1">
      <alignment vertical="center"/>
    </xf>
    <xf numFmtId="166" fontId="26" fillId="17" borderId="15" xfId="1" applyNumberFormat="1" applyFont="1" applyFill="1" applyBorder="1" applyAlignment="1">
      <alignment vertical="center"/>
    </xf>
    <xf numFmtId="0" fontId="26" fillId="17" borderId="15" xfId="1" applyNumberFormat="1" applyFont="1" applyFill="1" applyBorder="1" applyAlignment="1">
      <alignment horizontal="center" vertical="center"/>
    </xf>
    <xf numFmtId="0" fontId="26" fillId="17" borderId="17" xfId="18" applyFont="1" applyFill="1" applyBorder="1" applyAlignment="1">
      <alignment vertical="center"/>
    </xf>
    <xf numFmtId="0" fontId="27" fillId="2" borderId="6" xfId="18" applyFont="1" applyFill="1" applyBorder="1" applyAlignment="1">
      <alignment vertical="center" wrapText="1"/>
    </xf>
    <xf numFmtId="0" fontId="27" fillId="2" borderId="0" xfId="18" applyFont="1" applyFill="1" applyBorder="1" applyAlignment="1">
      <alignment vertical="center" wrapText="1"/>
    </xf>
    <xf numFmtId="0" fontId="27" fillId="2" borderId="7" xfId="18" applyFont="1" applyFill="1" applyBorder="1" applyAlignment="1">
      <alignment vertical="center" wrapText="1"/>
    </xf>
    <xf numFmtId="0" fontId="27" fillId="2" borderId="31" xfId="18" applyFont="1" applyFill="1" applyBorder="1" applyAlignment="1">
      <alignment vertical="center" wrapText="1"/>
    </xf>
    <xf numFmtId="0" fontId="27" fillId="2" borderId="23" xfId="18" applyFont="1" applyFill="1" applyBorder="1" applyAlignment="1">
      <alignment vertical="center" wrapText="1"/>
    </xf>
    <xf numFmtId="0" fontId="27" fillId="2" borderId="20" xfId="18" applyFont="1" applyFill="1" applyBorder="1" applyAlignment="1">
      <alignment vertical="center" wrapText="1"/>
    </xf>
    <xf numFmtId="0" fontId="27" fillId="2" borderId="25" xfId="18" applyFont="1" applyFill="1" applyBorder="1" applyAlignment="1">
      <alignment horizontal="justify" vertical="center" wrapText="1"/>
    </xf>
    <xf numFmtId="0" fontId="27" fillId="2" borderId="0" xfId="18" applyFont="1" applyFill="1"/>
    <xf numFmtId="0" fontId="27" fillId="2" borderId="27" xfId="18" applyFont="1" applyFill="1" applyBorder="1" applyAlignment="1">
      <alignment vertical="center" wrapText="1"/>
    </xf>
    <xf numFmtId="49" fontId="27" fillId="2" borderId="8" xfId="19" applyNumberFormat="1" applyFont="1" applyFill="1" applyBorder="1" applyAlignment="1">
      <alignment horizontal="justify" vertical="center" wrapText="1"/>
    </xf>
    <xf numFmtId="0" fontId="27" fillId="2" borderId="11" xfId="18" applyFont="1" applyFill="1" applyBorder="1" applyAlignment="1">
      <alignment vertical="center" wrapText="1"/>
    </xf>
    <xf numFmtId="0" fontId="27" fillId="2" borderId="12" xfId="18" applyFont="1" applyFill="1" applyBorder="1" applyAlignment="1">
      <alignment vertical="center" wrapText="1"/>
    </xf>
    <xf numFmtId="0" fontId="27" fillId="2" borderId="25" xfId="18" applyFont="1" applyFill="1" applyBorder="1" applyAlignment="1">
      <alignment vertical="center" wrapText="1"/>
    </xf>
    <xf numFmtId="0" fontId="27" fillId="0" borderId="7" xfId="18" applyFont="1" applyFill="1" applyBorder="1"/>
    <xf numFmtId="0" fontId="26" fillId="6" borderId="15" xfId="18" applyFont="1" applyFill="1" applyBorder="1" applyAlignment="1">
      <alignment horizontal="justify" vertical="center" wrapText="1"/>
    </xf>
    <xf numFmtId="0" fontId="26" fillId="6" borderId="16" xfId="18" applyFont="1" applyFill="1" applyBorder="1" applyAlignment="1">
      <alignment vertical="center"/>
    </xf>
    <xf numFmtId="0" fontId="26" fillId="6" borderId="14" xfId="18" applyFont="1" applyFill="1" applyBorder="1" applyAlignment="1">
      <alignment vertical="center"/>
    </xf>
    <xf numFmtId="43" fontId="27" fillId="6" borderId="15" xfId="1" applyFont="1" applyFill="1" applyBorder="1" applyAlignment="1">
      <alignment vertical="center"/>
    </xf>
    <xf numFmtId="1" fontId="26" fillId="6" borderId="15" xfId="18" applyNumberFormat="1" applyFont="1" applyFill="1" applyBorder="1" applyAlignment="1">
      <alignment horizontal="center" vertical="center"/>
    </xf>
    <xf numFmtId="0" fontId="26" fillId="6" borderId="15" xfId="18" applyNumberFormat="1" applyFont="1" applyFill="1" applyBorder="1" applyAlignment="1">
      <alignment horizontal="center" vertical="center"/>
    </xf>
    <xf numFmtId="0" fontId="26" fillId="17" borderId="15" xfId="18" applyFont="1" applyFill="1" applyBorder="1" applyAlignment="1">
      <alignment horizontal="justify" vertical="center" wrapText="1"/>
    </xf>
    <xf numFmtId="43" fontId="27" fillId="17" borderId="15" xfId="1" applyFont="1" applyFill="1" applyBorder="1" applyAlignment="1">
      <alignment vertical="center"/>
    </xf>
    <xf numFmtId="1" fontId="26" fillId="17" borderId="15" xfId="18" applyNumberFormat="1" applyFont="1" applyFill="1" applyBorder="1" applyAlignment="1">
      <alignment horizontal="center" vertical="center"/>
    </xf>
    <xf numFmtId="0" fontId="26" fillId="17" borderId="15" xfId="18" applyNumberFormat="1" applyFont="1" applyFill="1" applyBorder="1" applyAlignment="1">
      <alignment horizontal="center" vertical="center"/>
    </xf>
    <xf numFmtId="0" fontId="27" fillId="0" borderId="0" xfId="18" applyFont="1" applyBorder="1"/>
    <xf numFmtId="0" fontId="26" fillId="2" borderId="6" xfId="18" applyFont="1" applyFill="1" applyBorder="1" applyAlignment="1">
      <alignment vertical="center" wrapText="1"/>
    </xf>
    <xf numFmtId="0" fontId="26" fillId="2" borderId="0" xfId="18" applyFont="1" applyFill="1" applyBorder="1" applyAlignment="1">
      <alignment vertical="center" wrapText="1"/>
    </xf>
    <xf numFmtId="0" fontId="26" fillId="2" borderId="7" xfId="18" applyFont="1" applyFill="1" applyBorder="1" applyAlignment="1">
      <alignment vertical="center" wrapText="1"/>
    </xf>
    <xf numFmtId="0" fontId="26" fillId="2" borderId="31" xfId="18" applyFont="1" applyFill="1" applyBorder="1" applyAlignment="1">
      <alignment vertical="center" wrapText="1"/>
    </xf>
    <xf numFmtId="0" fontId="26" fillId="2" borderId="23" xfId="18" applyFont="1" applyFill="1" applyBorder="1" applyAlignment="1">
      <alignment vertical="center" wrapText="1"/>
    </xf>
    <xf numFmtId="0" fontId="26" fillId="2" borderId="20" xfId="18" applyFont="1" applyFill="1" applyBorder="1" applyAlignment="1">
      <alignment vertical="center" wrapText="1"/>
    </xf>
    <xf numFmtId="0" fontId="26" fillId="2" borderId="27" xfId="18" applyFont="1" applyFill="1" applyBorder="1" applyAlignment="1">
      <alignment vertical="center" wrapText="1"/>
    </xf>
    <xf numFmtId="49" fontId="27" fillId="2" borderId="8" xfId="19" applyNumberFormat="1" applyFont="1" applyFill="1" applyBorder="1" applyAlignment="1">
      <alignment horizontal="left" vertical="center" wrapText="1"/>
    </xf>
    <xf numFmtId="0" fontId="26" fillId="2" borderId="25" xfId="18" applyFont="1" applyFill="1" applyBorder="1" applyAlignment="1">
      <alignment vertical="center" wrapText="1"/>
    </xf>
    <xf numFmtId="0" fontId="26" fillId="2" borderId="11" xfId="18" applyFont="1" applyFill="1" applyBorder="1" applyAlignment="1">
      <alignment vertical="center" wrapText="1"/>
    </xf>
    <xf numFmtId="0" fontId="26" fillId="2" borderId="12" xfId="18" applyFont="1" applyFill="1" applyBorder="1" applyAlignment="1">
      <alignment vertical="center" wrapText="1"/>
    </xf>
    <xf numFmtId="0" fontId="27" fillId="2" borderId="8" xfId="18" applyFont="1" applyFill="1" applyBorder="1" applyAlignment="1">
      <alignment horizontal="justify" vertical="center" wrapText="1"/>
    </xf>
    <xf numFmtId="49" fontId="27" fillId="2" borderId="8" xfId="19" applyNumberFormat="1" applyFont="1" applyFill="1" applyBorder="1" applyAlignment="1">
      <alignment horizontal="justify" vertical="top" wrapText="1"/>
    </xf>
    <xf numFmtId="0" fontId="17" fillId="2" borderId="0" xfId="18" applyFont="1" applyFill="1"/>
    <xf numFmtId="0" fontId="17" fillId="18" borderId="0" xfId="18" applyFont="1" applyFill="1"/>
    <xf numFmtId="0" fontId="17" fillId="2" borderId="6" xfId="18" applyFont="1" applyFill="1" applyBorder="1" applyAlignment="1">
      <alignment vertical="center" wrapText="1"/>
    </xf>
    <xf numFmtId="0" fontId="17" fillId="2" borderId="0" xfId="18" applyFont="1" applyFill="1" applyBorder="1" applyAlignment="1">
      <alignment vertical="center" wrapText="1"/>
    </xf>
    <xf numFmtId="0" fontId="17" fillId="2" borderId="7" xfId="18" applyFont="1" applyFill="1" applyBorder="1" applyAlignment="1">
      <alignment vertical="center" wrapText="1"/>
    </xf>
    <xf numFmtId="0" fontId="17" fillId="2" borderId="31" xfId="18" applyFont="1" applyFill="1" applyBorder="1" applyAlignment="1">
      <alignment vertical="center" wrapText="1"/>
    </xf>
    <xf numFmtId="0" fontId="17" fillId="2" borderId="23" xfId="18" applyFont="1" applyFill="1" applyBorder="1" applyAlignment="1">
      <alignment vertical="center" wrapText="1"/>
    </xf>
    <xf numFmtId="0" fontId="17" fillId="2" borderId="20" xfId="18" applyFont="1" applyFill="1" applyBorder="1" applyAlignment="1">
      <alignment vertical="center" wrapText="1"/>
    </xf>
    <xf numFmtId="0" fontId="17" fillId="2" borderId="27" xfId="18" applyFont="1" applyFill="1" applyBorder="1" applyAlignment="1">
      <alignment vertical="center" wrapText="1"/>
    </xf>
    <xf numFmtId="0" fontId="17" fillId="2" borderId="25" xfId="18" applyFont="1" applyFill="1" applyBorder="1" applyAlignment="1">
      <alignment vertical="center" wrapText="1"/>
    </xf>
    <xf numFmtId="0" fontId="17" fillId="2" borderId="11" xfId="18" applyFont="1" applyFill="1" applyBorder="1" applyAlignment="1">
      <alignment vertical="center" wrapText="1"/>
    </xf>
    <xf numFmtId="0" fontId="17" fillId="2" borderId="12" xfId="18" applyFont="1" applyFill="1" applyBorder="1" applyAlignment="1">
      <alignment vertical="center" wrapText="1"/>
    </xf>
    <xf numFmtId="0" fontId="27" fillId="2" borderId="28" xfId="18" applyFont="1" applyFill="1" applyBorder="1" applyAlignment="1">
      <alignment horizontal="justify" vertical="center" wrapText="1"/>
    </xf>
    <xf numFmtId="0" fontId="27" fillId="0" borderId="6" xfId="18" applyFont="1" applyFill="1" applyBorder="1" applyAlignment="1">
      <alignment vertical="center" wrapText="1"/>
    </xf>
    <xf numFmtId="0" fontId="27" fillId="0" borderId="0" xfId="18" applyFont="1" applyFill="1" applyBorder="1" applyAlignment="1">
      <alignment vertical="center" wrapText="1"/>
    </xf>
    <xf numFmtId="0" fontId="27" fillId="0" borderId="7" xfId="18" applyFont="1" applyFill="1" applyBorder="1" applyAlignment="1">
      <alignment vertical="center" wrapText="1"/>
    </xf>
    <xf numFmtId="0" fontId="27" fillId="0" borderId="27" xfId="18" applyFont="1" applyFill="1" applyBorder="1" applyAlignment="1">
      <alignment vertical="center" wrapText="1"/>
    </xf>
    <xf numFmtId="0" fontId="27" fillId="0" borderId="19" xfId="18" applyFont="1" applyFill="1" applyBorder="1" applyAlignment="1">
      <alignment horizontal="center" vertical="center" wrapText="1"/>
    </xf>
    <xf numFmtId="1" fontId="27" fillId="0" borderId="19" xfId="18" applyNumberFormat="1" applyFont="1" applyFill="1" applyBorder="1" applyAlignment="1">
      <alignment horizontal="center" vertical="center" wrapText="1"/>
    </xf>
    <xf numFmtId="0" fontId="27" fillId="0" borderId="29" xfId="18" applyFont="1" applyFill="1" applyBorder="1" applyAlignment="1">
      <alignment horizontal="center" vertical="center" wrapText="1"/>
    </xf>
    <xf numFmtId="1" fontId="27" fillId="0" borderId="29" xfId="18" applyNumberFormat="1" applyFont="1" applyFill="1" applyBorder="1" applyAlignment="1">
      <alignment horizontal="center" vertical="center" wrapText="1"/>
    </xf>
    <xf numFmtId="49" fontId="27" fillId="2" borderId="28" xfId="19" applyNumberFormat="1" applyFont="1" applyFill="1" applyBorder="1" applyAlignment="1">
      <alignment horizontal="justify" vertical="center" wrapText="1"/>
    </xf>
    <xf numFmtId="0" fontId="27" fillId="0" borderId="28" xfId="18"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25" xfId="18" applyFont="1" applyFill="1" applyBorder="1" applyAlignment="1">
      <alignment vertical="center" wrapText="1"/>
    </xf>
    <xf numFmtId="0" fontId="27" fillId="0" borderId="11" xfId="18" applyFont="1" applyFill="1" applyBorder="1" applyAlignment="1">
      <alignment vertical="center" wrapText="1"/>
    </xf>
    <xf numFmtId="0" fontId="27" fillId="0" borderId="12" xfId="18" applyFont="1" applyFill="1" applyBorder="1" applyAlignment="1">
      <alignment vertical="center" wrapText="1"/>
    </xf>
    <xf numFmtId="1" fontId="27" fillId="0" borderId="28" xfId="18" applyNumberFormat="1" applyFont="1" applyFill="1" applyBorder="1" applyAlignment="1">
      <alignment horizontal="center" vertical="center" wrapText="1"/>
    </xf>
    <xf numFmtId="0" fontId="27" fillId="2" borderId="19" xfId="18" applyFont="1" applyFill="1" applyBorder="1" applyAlignment="1">
      <alignment horizontal="center" vertical="center" wrapText="1"/>
    </xf>
    <xf numFmtId="1" fontId="27" fillId="2" borderId="19" xfId="18" applyNumberFormat="1" applyFont="1" applyFill="1" applyBorder="1" applyAlignment="1">
      <alignment vertical="center" wrapText="1"/>
    </xf>
    <xf numFmtId="0" fontId="27" fillId="2" borderId="29" xfId="18" applyFont="1" applyFill="1" applyBorder="1" applyAlignment="1">
      <alignment horizontal="center" vertical="center" wrapText="1"/>
    </xf>
    <xf numFmtId="1" fontId="27" fillId="2" borderId="29" xfId="18" applyNumberFormat="1" applyFont="1" applyFill="1" applyBorder="1" applyAlignment="1">
      <alignment vertical="center" wrapText="1"/>
    </xf>
    <xf numFmtId="1" fontId="27" fillId="2" borderId="29" xfId="18" applyNumberFormat="1" applyFont="1" applyFill="1" applyBorder="1" applyAlignment="1">
      <alignment horizontal="center" vertical="center" wrapText="1"/>
    </xf>
    <xf numFmtId="0" fontId="27" fillId="2" borderId="29" xfId="18" applyFont="1" applyFill="1" applyBorder="1" applyAlignment="1">
      <alignment horizontal="center" wrapText="1"/>
    </xf>
    <xf numFmtId="0" fontId="27" fillId="2" borderId="0" xfId="18" applyFont="1" applyFill="1" applyBorder="1" applyAlignment="1">
      <alignment horizontal="center"/>
    </xf>
    <xf numFmtId="0" fontId="27" fillId="2" borderId="29" xfId="18" applyFont="1" applyFill="1" applyBorder="1" applyAlignment="1">
      <alignment horizontal="center" vertical="top" wrapText="1"/>
    </xf>
    <xf numFmtId="0" fontId="27" fillId="2" borderId="28" xfId="18" applyFont="1" applyFill="1" applyBorder="1" applyAlignment="1">
      <alignment horizontal="center" vertical="center" wrapText="1"/>
    </xf>
    <xf numFmtId="1" fontId="27" fillId="2" borderId="28" xfId="18" applyNumberFormat="1" applyFont="1" applyFill="1" applyBorder="1" applyAlignment="1">
      <alignment vertical="center" wrapText="1"/>
    </xf>
    <xf numFmtId="43" fontId="26" fillId="17" borderId="15" xfId="1" applyFont="1" applyFill="1" applyBorder="1" applyAlignment="1">
      <alignment vertical="center"/>
    </xf>
    <xf numFmtId="1" fontId="27" fillId="2" borderId="19" xfId="18" applyNumberFormat="1" applyFont="1" applyFill="1" applyBorder="1" applyAlignment="1">
      <alignment horizontal="center" vertical="center" wrapText="1"/>
    </xf>
    <xf numFmtId="1" fontId="27" fillId="2" borderId="28" xfId="18" applyNumberFormat="1" applyFont="1" applyFill="1" applyBorder="1" applyAlignment="1">
      <alignment horizontal="center" vertical="center" wrapText="1"/>
    </xf>
    <xf numFmtId="43" fontId="26" fillId="17" borderId="15" xfId="1" applyFont="1" applyFill="1" applyBorder="1" applyAlignment="1">
      <alignment horizontal="justify" vertical="center"/>
    </xf>
    <xf numFmtId="0" fontId="27" fillId="2" borderId="8" xfId="18" applyFont="1" applyFill="1" applyBorder="1" applyAlignment="1">
      <alignment horizontal="center" vertical="center" wrapText="1"/>
    </xf>
    <xf numFmtId="0" fontId="27" fillId="2" borderId="8" xfId="18" applyFont="1" applyFill="1" applyBorder="1" applyAlignment="1">
      <alignment horizontal="left" vertical="center" wrapText="1"/>
    </xf>
    <xf numFmtId="49" fontId="27" fillId="0" borderId="8" xfId="19" applyNumberFormat="1" applyFont="1" applyFill="1" applyBorder="1" applyAlignment="1">
      <alignment horizontal="justify" vertical="center" wrapText="1"/>
    </xf>
    <xf numFmtId="0" fontId="27" fillId="18" borderId="0" xfId="18" applyFont="1" applyFill="1"/>
    <xf numFmtId="0" fontId="26" fillId="6" borderId="0" xfId="18" applyFont="1" applyFill="1" applyBorder="1" applyAlignment="1">
      <alignment horizontal="justify" vertical="center" wrapText="1"/>
    </xf>
    <xf numFmtId="0" fontId="26" fillId="6" borderId="0" xfId="18" applyFont="1" applyFill="1" applyBorder="1" applyAlignment="1">
      <alignment vertical="center"/>
    </xf>
    <xf numFmtId="0" fontId="26" fillId="6" borderId="11" xfId="18" applyFont="1" applyFill="1" applyBorder="1" applyAlignment="1">
      <alignment vertical="center"/>
    </xf>
    <xf numFmtId="0" fontId="26" fillId="6" borderId="11" xfId="18" applyFont="1" applyFill="1" applyBorder="1" applyAlignment="1">
      <alignment horizontal="justify" vertical="center"/>
    </xf>
    <xf numFmtId="0" fontId="26" fillId="6" borderId="11" xfId="18" applyFont="1" applyFill="1" applyBorder="1" applyAlignment="1">
      <alignment horizontal="center" vertical="center"/>
    </xf>
    <xf numFmtId="1" fontId="26" fillId="6" borderId="11" xfId="18" applyNumberFormat="1" applyFont="1" applyFill="1" applyBorder="1" applyAlignment="1">
      <alignment horizontal="center" vertical="center"/>
    </xf>
    <xf numFmtId="0" fontId="26" fillId="6" borderId="11" xfId="18" applyNumberFormat="1" applyFont="1" applyFill="1" applyBorder="1" applyAlignment="1">
      <alignment horizontal="center" vertical="center"/>
    </xf>
    <xf numFmtId="0" fontId="26" fillId="6" borderId="26" xfId="18" applyFont="1" applyFill="1" applyBorder="1" applyAlignment="1">
      <alignment vertical="center"/>
    </xf>
    <xf numFmtId="0" fontId="27" fillId="2" borderId="8" xfId="18" quotePrefix="1" applyFont="1" applyFill="1" applyBorder="1" applyAlignment="1">
      <alignment horizontal="justify" vertical="center" wrapText="1"/>
    </xf>
    <xf numFmtId="0" fontId="26" fillId="17" borderId="8" xfId="18" applyFont="1" applyFill="1" applyBorder="1" applyAlignment="1">
      <alignment vertical="center"/>
    </xf>
    <xf numFmtId="0" fontId="27" fillId="2" borderId="31" xfId="18" applyFont="1" applyFill="1" applyBorder="1" applyAlignment="1">
      <alignment horizontal="center" vertical="center" wrapText="1"/>
    </xf>
    <xf numFmtId="10" fontId="27" fillId="2" borderId="8" xfId="2" applyNumberFormat="1" applyFont="1" applyFill="1" applyBorder="1" applyAlignment="1">
      <alignment horizontal="center" vertical="center" wrapText="1"/>
    </xf>
    <xf numFmtId="1" fontId="27" fillId="2" borderId="19" xfId="18" quotePrefix="1" applyNumberFormat="1" applyFont="1" applyFill="1" applyBorder="1" applyAlignment="1">
      <alignment horizontal="center" vertical="center" wrapText="1"/>
    </xf>
    <xf numFmtId="0" fontId="27" fillId="2" borderId="16" xfId="18" quotePrefix="1" applyFont="1" applyFill="1" applyBorder="1" applyAlignment="1">
      <alignment horizontal="justify" vertical="center" wrapText="1"/>
    </xf>
    <xf numFmtId="3" fontId="26" fillId="6" borderId="23" xfId="18" applyNumberFormat="1" applyFont="1" applyFill="1" applyBorder="1" applyAlignment="1">
      <alignment horizontal="justify" vertical="center" wrapText="1"/>
    </xf>
    <xf numFmtId="0" fontId="26" fillId="17" borderId="23" xfId="18" applyFont="1" applyFill="1" applyBorder="1" applyAlignment="1">
      <alignment horizontal="justify" vertical="center" wrapText="1"/>
    </xf>
    <xf numFmtId="0" fontId="26" fillId="17" borderId="23" xfId="18" applyFont="1" applyFill="1" applyBorder="1" applyAlignment="1">
      <alignment vertical="center"/>
    </xf>
    <xf numFmtId="0" fontId="26" fillId="17" borderId="23" xfId="18" applyFont="1" applyFill="1" applyBorder="1" applyAlignment="1">
      <alignment horizontal="justify" vertical="center"/>
    </xf>
    <xf numFmtId="0" fontId="26" fillId="17" borderId="23" xfId="18" applyFont="1" applyFill="1" applyBorder="1" applyAlignment="1">
      <alignment horizontal="center" vertical="center"/>
    </xf>
    <xf numFmtId="43" fontId="27" fillId="17" borderId="23" xfId="1" applyFont="1" applyFill="1" applyBorder="1" applyAlignment="1">
      <alignment vertical="center"/>
    </xf>
    <xf numFmtId="1" fontId="26" fillId="17" borderId="23" xfId="18" applyNumberFormat="1" applyFont="1" applyFill="1" applyBorder="1" applyAlignment="1">
      <alignment horizontal="center" vertical="center"/>
    </xf>
    <xf numFmtId="0" fontId="26" fillId="17" borderId="23" xfId="18" applyNumberFormat="1" applyFont="1" applyFill="1" applyBorder="1" applyAlignment="1">
      <alignment horizontal="center" vertical="center"/>
    </xf>
    <xf numFmtId="0" fontId="26" fillId="17" borderId="24" xfId="18" applyFont="1" applyFill="1" applyBorder="1" applyAlignment="1">
      <alignment vertical="center"/>
    </xf>
    <xf numFmtId="0" fontId="27" fillId="2" borderId="19" xfId="18" applyFont="1" applyFill="1" applyBorder="1" applyAlignment="1">
      <alignment horizontal="justify" vertical="center" wrapText="1"/>
    </xf>
    <xf numFmtId="0" fontId="27" fillId="0" borderId="19" xfId="18" applyFont="1" applyFill="1" applyBorder="1" applyAlignment="1">
      <alignment horizontal="center" vertical="center"/>
    </xf>
    <xf numFmtId="0" fontId="27" fillId="2" borderId="8" xfId="18" quotePrefix="1" applyFont="1" applyFill="1" applyBorder="1" applyAlignment="1">
      <alignment horizontal="left" vertical="center" wrapText="1"/>
    </xf>
    <xf numFmtId="0" fontId="27" fillId="0" borderId="8" xfId="18" applyFont="1" applyFill="1" applyBorder="1" applyAlignment="1">
      <alignment horizontal="center"/>
    </xf>
    <xf numFmtId="0" fontId="27" fillId="2" borderId="8" xfId="18" applyFont="1" applyFill="1" applyBorder="1" applyAlignment="1">
      <alignment vertical="center" wrapText="1"/>
    </xf>
    <xf numFmtId="0" fontId="27" fillId="2" borderId="8" xfId="18" quotePrefix="1" applyFont="1" applyFill="1" applyBorder="1" applyAlignment="1">
      <alignment vertical="center" wrapText="1"/>
    </xf>
    <xf numFmtId="43" fontId="17" fillId="2" borderId="8" xfId="1" applyFont="1" applyFill="1" applyBorder="1" applyAlignment="1">
      <alignment vertical="center" wrapText="1"/>
    </xf>
    <xf numFmtId="1" fontId="27" fillId="2" borderId="29" xfId="18" quotePrefix="1" applyNumberFormat="1" applyFont="1" applyFill="1" applyBorder="1" applyAlignment="1">
      <alignment horizontal="center" vertical="center" wrapText="1"/>
    </xf>
    <xf numFmtId="0" fontId="27" fillId="0" borderId="0" xfId="18" applyFont="1" applyFill="1" applyBorder="1" applyAlignment="1">
      <alignment horizontal="center"/>
    </xf>
    <xf numFmtId="0" fontId="26" fillId="0" borderId="11" xfId="18" applyFont="1" applyFill="1" applyBorder="1" applyAlignment="1">
      <alignment vertical="center" wrapText="1"/>
    </xf>
    <xf numFmtId="0" fontId="26" fillId="0" borderId="12" xfId="18" applyFont="1" applyFill="1" applyBorder="1" applyAlignment="1">
      <alignment vertical="center" wrapText="1"/>
    </xf>
    <xf numFmtId="0" fontId="26" fillId="17" borderId="0" xfId="18" applyFont="1" applyFill="1" applyBorder="1" applyAlignment="1">
      <alignment horizontal="justify" vertical="center" wrapText="1"/>
    </xf>
    <xf numFmtId="0" fontId="26" fillId="17" borderId="0" xfId="18" applyFont="1" applyFill="1" applyBorder="1" applyAlignment="1">
      <alignment vertical="center"/>
    </xf>
    <xf numFmtId="0" fontId="26" fillId="17" borderId="11" xfId="18" applyFont="1" applyFill="1" applyBorder="1" applyAlignment="1">
      <alignment vertical="center"/>
    </xf>
    <xf numFmtId="0" fontId="26" fillId="17" borderId="11" xfId="18" applyFont="1" applyFill="1" applyBorder="1" applyAlignment="1">
      <alignment horizontal="justify" vertical="center"/>
    </xf>
    <xf numFmtId="0" fontId="26" fillId="17" borderId="15" xfId="1" applyNumberFormat="1" applyFont="1" applyFill="1" applyBorder="1" applyAlignment="1">
      <alignment horizontal="center" vertical="center" textRotation="180" wrapText="1"/>
    </xf>
    <xf numFmtId="0" fontId="27" fillId="2" borderId="6" xfId="18" applyFont="1" applyFill="1" applyBorder="1" applyAlignment="1">
      <alignment horizontal="center" vertical="center" wrapText="1"/>
    </xf>
    <xf numFmtId="0" fontId="27" fillId="2" borderId="0" xfId="18" applyFont="1" applyFill="1" applyBorder="1" applyAlignment="1">
      <alignment horizontal="center" vertical="center" wrapText="1"/>
    </xf>
    <xf numFmtId="0" fontId="27" fillId="2" borderId="7" xfId="18" applyFont="1" applyFill="1" applyBorder="1" applyAlignment="1">
      <alignment horizontal="center" vertical="center" wrapText="1"/>
    </xf>
    <xf numFmtId="0" fontId="27" fillId="2" borderId="23" xfId="18" applyFont="1" applyFill="1" applyBorder="1" applyAlignment="1">
      <alignment horizontal="center" vertical="center" wrapText="1"/>
    </xf>
    <xf numFmtId="0" fontId="27" fillId="2" borderId="20" xfId="18" applyFont="1" applyFill="1" applyBorder="1" applyAlignment="1">
      <alignment horizontal="center" vertical="center" wrapText="1"/>
    </xf>
    <xf numFmtId="0" fontId="26" fillId="17" borderId="0" xfId="1" applyNumberFormat="1" applyFont="1" applyFill="1" applyBorder="1" applyAlignment="1">
      <alignment horizontal="center" vertical="center" textRotation="180" wrapText="1"/>
    </xf>
    <xf numFmtId="0" fontId="17" fillId="2" borderId="8" xfId="19" quotePrefix="1" applyNumberFormat="1" applyFont="1" applyFill="1" applyBorder="1" applyAlignment="1">
      <alignment horizontal="justify" vertical="center" wrapText="1"/>
    </xf>
    <xf numFmtId="43" fontId="17" fillId="0" borderId="8" xfId="1" quotePrefix="1" applyFont="1" applyFill="1" applyBorder="1" applyAlignment="1">
      <alignment vertical="center" wrapText="1"/>
    </xf>
    <xf numFmtId="43" fontId="17" fillId="0" borderId="8" xfId="1" applyFont="1" applyBorder="1" applyAlignment="1">
      <alignment horizontal="center" vertical="center" wrapText="1"/>
    </xf>
    <xf numFmtId="0" fontId="27" fillId="2" borderId="29" xfId="18" applyFont="1" applyFill="1" applyBorder="1" applyAlignment="1">
      <alignment horizontal="justify" vertical="center" wrapText="1"/>
    </xf>
    <xf numFmtId="0" fontId="27" fillId="2" borderId="19" xfId="18" applyFont="1" applyFill="1" applyBorder="1" applyAlignment="1">
      <alignment vertical="center" wrapText="1"/>
    </xf>
    <xf numFmtId="49" fontId="27" fillId="2" borderId="8" xfId="19" quotePrefix="1" applyNumberFormat="1" applyFont="1" applyFill="1" applyBorder="1" applyAlignment="1">
      <alignment horizontal="justify" vertical="center" wrapText="1"/>
    </xf>
    <xf numFmtId="0" fontId="27" fillId="2" borderId="29" xfId="18" applyFont="1" applyFill="1" applyBorder="1" applyAlignment="1">
      <alignment vertical="center" wrapText="1"/>
    </xf>
    <xf numFmtId="49" fontId="17" fillId="2" borderId="19" xfId="19" quotePrefix="1" applyNumberFormat="1" applyFont="1" applyFill="1" applyBorder="1" applyAlignment="1">
      <alignment horizontal="justify" vertical="center" wrapText="1"/>
    </xf>
    <xf numFmtId="0" fontId="27" fillId="2" borderId="28" xfId="18" applyFont="1" applyFill="1" applyBorder="1" applyAlignment="1">
      <alignment vertical="center" wrapText="1"/>
    </xf>
    <xf numFmtId="0" fontId="26" fillId="17" borderId="15" xfId="1" applyNumberFormat="1" applyFont="1" applyFill="1" applyBorder="1" applyAlignment="1">
      <alignment vertical="center" textRotation="180" wrapText="1"/>
    </xf>
    <xf numFmtId="166" fontId="26" fillId="17" borderId="15" xfId="1" applyNumberFormat="1" applyFont="1" applyFill="1" applyBorder="1" applyAlignment="1">
      <alignment vertical="center" textRotation="180" wrapText="1"/>
    </xf>
    <xf numFmtId="49" fontId="17" fillId="0" borderId="8" xfId="19" applyNumberFormat="1" applyFont="1" applyFill="1" applyBorder="1" applyAlignment="1">
      <alignment horizontal="justify" vertical="center" wrapText="1"/>
    </xf>
    <xf numFmtId="0" fontId="27" fillId="2" borderId="11" xfId="18" applyFont="1" applyFill="1" applyBorder="1" applyAlignment="1">
      <alignment horizontal="center" vertical="center" wrapText="1"/>
    </xf>
    <xf numFmtId="0" fontId="27" fillId="2" borderId="12" xfId="18" applyFont="1" applyFill="1" applyBorder="1" applyAlignment="1">
      <alignment horizontal="center" vertical="center" wrapText="1"/>
    </xf>
    <xf numFmtId="43" fontId="17" fillId="0" borderId="8" xfId="1" quotePrefix="1" applyFont="1" applyFill="1" applyBorder="1" applyAlignment="1">
      <alignment horizontal="center" vertical="center"/>
    </xf>
    <xf numFmtId="0" fontId="27" fillId="0" borderId="8" xfId="18" applyFont="1" applyFill="1" applyBorder="1" applyAlignment="1">
      <alignment horizontal="center" vertical="center" wrapText="1"/>
    </xf>
    <xf numFmtId="0" fontId="27" fillId="0" borderId="8" xfId="18" applyFont="1" applyFill="1" applyBorder="1" applyAlignment="1">
      <alignment horizontal="justify" vertical="center" wrapText="1"/>
    </xf>
    <xf numFmtId="0" fontId="27" fillId="0" borderId="19" xfId="18" applyFont="1" applyFill="1" applyBorder="1" applyAlignment="1">
      <alignment vertical="center" wrapText="1"/>
    </xf>
    <xf numFmtId="0" fontId="26" fillId="6" borderId="15" xfId="1" applyNumberFormat="1" applyFont="1" applyFill="1" applyBorder="1" applyAlignment="1">
      <alignment vertical="center" textRotation="180" wrapText="1"/>
    </xf>
    <xf numFmtId="166" fontId="26" fillId="6" borderId="15" xfId="1" applyNumberFormat="1" applyFont="1" applyFill="1" applyBorder="1" applyAlignment="1">
      <alignment vertical="center" textRotation="180" wrapText="1"/>
    </xf>
    <xf numFmtId="0" fontId="26" fillId="6" borderId="15" xfId="1" applyNumberFormat="1" applyFont="1" applyFill="1" applyBorder="1" applyAlignment="1">
      <alignment horizontal="center" vertical="center" textRotation="180" wrapText="1"/>
    </xf>
    <xf numFmtId="0" fontId="26" fillId="17" borderId="11" xfId="18" applyFont="1" applyFill="1" applyBorder="1" applyAlignment="1">
      <alignment horizontal="center" vertical="center"/>
    </xf>
    <xf numFmtId="0" fontId="26" fillId="17" borderId="11" xfId="1" applyNumberFormat="1" applyFont="1" applyFill="1" applyBorder="1" applyAlignment="1">
      <alignment vertical="center" textRotation="180" wrapText="1"/>
    </xf>
    <xf numFmtId="166" fontId="26" fillId="17" borderId="11" xfId="1" applyNumberFormat="1" applyFont="1" applyFill="1" applyBorder="1" applyAlignment="1">
      <alignment vertical="center" textRotation="180" wrapText="1"/>
    </xf>
    <xf numFmtId="0" fontId="26" fillId="17" borderId="11" xfId="1" applyNumberFormat="1" applyFont="1" applyFill="1" applyBorder="1" applyAlignment="1">
      <alignment horizontal="center" vertical="center" textRotation="180" wrapText="1"/>
    </xf>
    <xf numFmtId="0" fontId="27" fillId="2" borderId="0" xfId="18" applyFont="1" applyFill="1" applyBorder="1"/>
    <xf numFmtId="49" fontId="17" fillId="2" borderId="8" xfId="19" applyNumberFormat="1" applyFont="1" applyFill="1" applyBorder="1" applyAlignment="1">
      <alignment horizontal="justify" vertical="center" wrapText="1"/>
    </xf>
    <xf numFmtId="0" fontId="17" fillId="2" borderId="8" xfId="19" applyFont="1" applyFill="1" applyBorder="1" applyAlignment="1">
      <alignment horizontal="justify" vertical="center" wrapText="1"/>
    </xf>
    <xf numFmtId="0" fontId="17" fillId="2" borderId="19" xfId="19" applyFont="1" applyFill="1" applyBorder="1" applyAlignment="1">
      <alignment horizontal="justify" vertical="center" wrapText="1"/>
    </xf>
    <xf numFmtId="43" fontId="17" fillId="2" borderId="31" xfId="1" applyFont="1" applyFill="1" applyBorder="1" applyAlignment="1">
      <alignment horizontal="center" vertical="center" wrapText="1"/>
    </xf>
    <xf numFmtId="0" fontId="27" fillId="0" borderId="8" xfId="18" applyFont="1" applyBorder="1"/>
    <xf numFmtId="43" fontId="26" fillId="0" borderId="32" xfId="1" applyFont="1" applyFill="1" applyBorder="1" applyAlignment="1">
      <alignment horizontal="justify" vertical="center"/>
    </xf>
    <xf numFmtId="0" fontId="27" fillId="2" borderId="32" xfId="18" applyFont="1" applyFill="1" applyBorder="1"/>
    <xf numFmtId="0" fontId="27" fillId="2" borderId="33" xfId="18" applyFont="1" applyFill="1" applyBorder="1" applyAlignment="1">
      <alignment horizontal="justify"/>
    </xf>
    <xf numFmtId="0" fontId="27" fillId="2" borderId="34" xfId="18" applyFont="1" applyFill="1" applyBorder="1" applyAlignment="1">
      <alignment horizontal="right" vertical="center"/>
    </xf>
    <xf numFmtId="43" fontId="26" fillId="0" borderId="34" xfId="1" applyFont="1" applyFill="1" applyBorder="1" applyAlignment="1">
      <alignment horizontal="justify" vertical="center"/>
    </xf>
    <xf numFmtId="0" fontId="27" fillId="2" borderId="32" xfId="18" applyFont="1" applyFill="1" applyBorder="1" applyAlignment="1">
      <alignment horizontal="center" vertical="center"/>
    </xf>
    <xf numFmtId="0" fontId="27" fillId="2" borderId="33" xfId="18" applyFont="1" applyFill="1" applyBorder="1" applyAlignment="1">
      <alignment horizontal="center" vertical="center"/>
    </xf>
    <xf numFmtId="0" fontId="27" fillId="0" borderId="33" xfId="1" applyNumberFormat="1" applyFont="1" applyFill="1" applyBorder="1"/>
    <xf numFmtId="166" fontId="27" fillId="0" borderId="33" xfId="1" applyNumberFormat="1" applyFont="1" applyFill="1" applyBorder="1"/>
    <xf numFmtId="0" fontId="27" fillId="0" borderId="33" xfId="1" applyNumberFormat="1" applyFont="1" applyFill="1" applyBorder="1" applyAlignment="1">
      <alignment horizontal="center" vertical="center"/>
    </xf>
    <xf numFmtId="0" fontId="27" fillId="0" borderId="33" xfId="18" applyFont="1" applyFill="1" applyBorder="1"/>
    <xf numFmtId="0" fontId="27" fillId="0" borderId="33" xfId="18" applyFont="1" applyBorder="1"/>
    <xf numFmtId="0" fontId="27" fillId="0" borderId="34" xfId="18" applyFont="1" applyBorder="1"/>
    <xf numFmtId="0" fontId="27" fillId="2" borderId="0" xfId="18" applyFont="1" applyFill="1" applyAlignment="1">
      <alignment horizontal="justify"/>
    </xf>
    <xf numFmtId="0" fontId="27" fillId="2" borderId="0" xfId="18" applyFont="1" applyFill="1" applyAlignment="1">
      <alignment horizontal="center"/>
    </xf>
    <xf numFmtId="0" fontId="27" fillId="2" borderId="0" xfId="18" applyFont="1" applyFill="1" applyAlignment="1">
      <alignment horizontal="center" vertical="center"/>
    </xf>
    <xf numFmtId="0" fontId="27" fillId="2" borderId="0" xfId="18" applyFont="1" applyFill="1" applyAlignment="1">
      <alignment horizontal="justify" vertical="center"/>
    </xf>
    <xf numFmtId="166" fontId="27" fillId="2" borderId="0" xfId="18" applyNumberFormat="1" applyFont="1" applyFill="1" applyAlignment="1">
      <alignment horizontal="justify" vertical="center"/>
    </xf>
    <xf numFmtId="0" fontId="27" fillId="0" borderId="0" xfId="1" applyNumberFormat="1" applyFont="1" applyFill="1"/>
    <xf numFmtId="166" fontId="27" fillId="0" borderId="0" xfId="1" applyNumberFormat="1" applyFont="1" applyFill="1"/>
    <xf numFmtId="0" fontId="27" fillId="0" borderId="0" xfId="1" applyNumberFormat="1" applyFont="1" applyFill="1" applyAlignment="1">
      <alignment horizontal="center" vertical="center"/>
    </xf>
    <xf numFmtId="0" fontId="26" fillId="2" borderId="23" xfId="18" applyFont="1" applyFill="1" applyBorder="1" applyAlignment="1">
      <alignment horizontal="justify"/>
    </xf>
    <xf numFmtId="0" fontId="23" fillId="0" borderId="19" xfId="0" applyFont="1" applyFill="1" applyBorder="1" applyAlignment="1">
      <alignment vertical="center"/>
    </xf>
    <xf numFmtId="3" fontId="25" fillId="0" borderId="21" xfId="0" applyNumberFormat="1" applyFont="1" applyFill="1" applyBorder="1" applyAlignment="1">
      <alignment horizontal="left" vertical="center" wrapText="1"/>
    </xf>
    <xf numFmtId="0" fontId="15" fillId="5" borderId="18" xfId="0" applyFont="1" applyFill="1" applyBorder="1" applyAlignment="1">
      <alignment horizontal="center" vertical="center" wrapText="1"/>
    </xf>
    <xf numFmtId="0" fontId="15" fillId="5" borderId="15" xfId="0" applyFont="1" applyFill="1" applyBorder="1" applyAlignment="1">
      <alignment vertical="center" wrapText="1"/>
    </xf>
    <xf numFmtId="14" fontId="15" fillId="5" borderId="15" xfId="0" applyNumberFormat="1" applyFont="1" applyFill="1" applyBorder="1" applyAlignment="1">
      <alignment vertical="center" wrapText="1"/>
    </xf>
    <xf numFmtId="0" fontId="15" fillId="5" borderId="17" xfId="0" applyFont="1" applyFill="1" applyBorder="1" applyAlignment="1">
      <alignment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vertical="center" wrapText="1"/>
    </xf>
    <xf numFmtId="0" fontId="15" fillId="11" borderId="20"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9" xfId="0" applyFont="1" applyFill="1" applyBorder="1" applyAlignment="1">
      <alignment vertical="center" wrapText="1"/>
    </xf>
    <xf numFmtId="0" fontId="15" fillId="2" borderId="19" xfId="0" applyFont="1" applyFill="1" applyBorder="1" applyAlignment="1">
      <alignment horizontal="center" vertical="center" wrapText="1"/>
    </xf>
    <xf numFmtId="0" fontId="15" fillId="7" borderId="8" xfId="0" applyFont="1" applyFill="1" applyBorder="1" applyAlignment="1">
      <alignment horizontal="center" vertical="center" wrapText="1"/>
    </xf>
    <xf numFmtId="49" fontId="17" fillId="2" borderId="36" xfId="0" applyNumberFormat="1" applyFont="1" applyFill="1" applyBorder="1" applyAlignment="1">
      <alignment vertical="center" wrapText="1"/>
    </xf>
    <xf numFmtId="49" fontId="17" fillId="2" borderId="29" xfId="0" applyNumberFormat="1" applyFont="1" applyFill="1" applyBorder="1" applyAlignment="1">
      <alignment vertical="center" wrapText="1"/>
    </xf>
    <xf numFmtId="49" fontId="17" fillId="2" borderId="19" xfId="0" applyNumberFormat="1" applyFont="1" applyFill="1" applyBorder="1" applyAlignment="1">
      <alignment vertical="center" wrapText="1"/>
    </xf>
    <xf numFmtId="0" fontId="17" fillId="0" borderId="8" xfId="1" applyNumberFormat="1" applyFont="1" applyFill="1" applyBorder="1" applyAlignment="1">
      <alignment horizontal="center" vertical="center" wrapText="1"/>
    </xf>
    <xf numFmtId="185" fontId="17" fillId="0" borderId="8" xfId="0" applyNumberFormat="1" applyFont="1" applyFill="1" applyBorder="1" applyAlignment="1">
      <alignment horizontal="center" vertical="center" wrapText="1"/>
    </xf>
    <xf numFmtId="41" fontId="17" fillId="0" borderId="8" xfId="6" applyFont="1" applyFill="1" applyBorder="1" applyAlignment="1">
      <alignment horizontal="center" vertical="center" wrapText="1"/>
    </xf>
    <xf numFmtId="14" fontId="17" fillId="0" borderId="8"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7" borderId="8" xfId="0" applyFont="1" applyFill="1" applyBorder="1" applyAlignment="1">
      <alignment horizontal="left" vertical="center" wrapText="1"/>
    </xf>
    <xf numFmtId="43" fontId="15" fillId="7" borderId="8" xfId="1" applyFont="1" applyFill="1" applyBorder="1" applyAlignment="1">
      <alignment horizontal="left" vertical="center" wrapText="1"/>
    </xf>
    <xf numFmtId="14" fontId="15" fillId="7" borderId="8" xfId="0" applyNumberFormat="1" applyFont="1" applyFill="1" applyBorder="1" applyAlignment="1">
      <alignment horizontal="left" vertical="center" wrapText="1"/>
    </xf>
    <xf numFmtId="0" fontId="15" fillId="7" borderId="9" xfId="0" applyFont="1" applyFill="1" applyBorder="1" applyAlignment="1">
      <alignment horizontal="left" vertical="center" wrapText="1"/>
    </xf>
    <xf numFmtId="49" fontId="17" fillId="2" borderId="36" xfId="0" applyNumberFormat="1" applyFont="1" applyFill="1" applyBorder="1" applyAlignment="1">
      <alignment horizontal="center" vertical="center" wrapText="1"/>
    </xf>
    <xf numFmtId="49" fontId="17" fillId="2" borderId="8" xfId="0" applyNumberFormat="1" applyFont="1" applyFill="1" applyBorder="1" applyAlignment="1">
      <alignment horizontal="center" vertical="center" wrapText="1"/>
    </xf>
    <xf numFmtId="185" fontId="17" fillId="2" borderId="8" xfId="0" applyNumberFormat="1" applyFont="1" applyFill="1" applyBorder="1" applyAlignment="1">
      <alignment horizontal="center" vertical="center" wrapText="1"/>
    </xf>
    <xf numFmtId="172" fontId="17" fillId="2" borderId="19" xfId="2" applyNumberFormat="1" applyFont="1" applyFill="1" applyBorder="1" applyAlignment="1">
      <alignment horizontal="center" vertical="center" wrapText="1"/>
    </xf>
    <xf numFmtId="49" fontId="17" fillId="2" borderId="19" xfId="0" applyNumberFormat="1" applyFont="1" applyFill="1" applyBorder="1" applyAlignment="1">
      <alignment horizontal="center" vertical="center" wrapText="1"/>
    </xf>
    <xf numFmtId="185" fontId="17" fillId="2" borderId="19" xfId="0" applyNumberFormat="1" applyFont="1" applyFill="1" applyBorder="1" applyAlignment="1">
      <alignment horizontal="center" vertical="center" wrapText="1"/>
    </xf>
    <xf numFmtId="43" fontId="15" fillId="0" borderId="35" xfId="1" applyFont="1" applyFill="1" applyBorder="1" applyAlignment="1">
      <alignment vertical="center" wrapText="1"/>
    </xf>
    <xf numFmtId="0" fontId="15" fillId="0" borderId="32" xfId="0" applyFont="1" applyFill="1" applyBorder="1" applyAlignment="1">
      <alignment vertical="center" wrapText="1"/>
    </xf>
    <xf numFmtId="0" fontId="15" fillId="0" borderId="33" xfId="0" applyFont="1" applyFill="1" applyBorder="1" applyAlignment="1">
      <alignment horizontal="justify" vertical="center" wrapText="1"/>
    </xf>
    <xf numFmtId="0" fontId="15" fillId="0" borderId="34" xfId="0" applyFont="1" applyFill="1" applyBorder="1" applyAlignment="1">
      <alignment horizontal="justify" vertical="center" wrapText="1"/>
    </xf>
    <xf numFmtId="43" fontId="15" fillId="0" borderId="35" xfId="1" applyFont="1" applyFill="1" applyBorder="1" applyAlignment="1">
      <alignment horizontal="center" vertical="center" wrapText="1"/>
    </xf>
    <xf numFmtId="185" fontId="15" fillId="0" borderId="32" xfId="0" applyNumberFormat="1" applyFont="1" applyFill="1" applyBorder="1" applyAlignment="1">
      <alignment horizontal="center" vertical="center" wrapText="1"/>
    </xf>
    <xf numFmtId="185" fontId="15" fillId="0" borderId="33" xfId="0" applyNumberFormat="1" applyFont="1" applyFill="1" applyBorder="1" applyAlignment="1">
      <alignment horizontal="center" vertical="center" wrapText="1"/>
    </xf>
    <xf numFmtId="14" fontId="15" fillId="0" borderId="33" xfId="0" applyNumberFormat="1" applyFont="1" applyFill="1" applyBorder="1" applyAlignment="1">
      <alignment horizontal="right" vertical="center"/>
    </xf>
    <xf numFmtId="14" fontId="15" fillId="0" borderId="33" xfId="0" applyNumberFormat="1" applyFont="1" applyFill="1" applyBorder="1" applyAlignment="1">
      <alignment horizontal="left" vertical="center"/>
    </xf>
    <xf numFmtId="0" fontId="15" fillId="0" borderId="34" xfId="0" applyFont="1" applyFill="1" applyBorder="1" applyAlignment="1">
      <alignment horizontal="left" vertical="center"/>
    </xf>
    <xf numFmtId="0" fontId="17" fillId="0" borderId="0" xfId="0" applyFont="1" applyFill="1"/>
    <xf numFmtId="0" fontId="17" fillId="0" borderId="0" xfId="0" applyFont="1" applyFill="1" applyAlignment="1">
      <alignment horizontal="center"/>
    </xf>
    <xf numFmtId="0" fontId="17" fillId="0" borderId="0" xfId="0" applyFont="1" applyFill="1" applyAlignment="1"/>
    <xf numFmtId="0" fontId="17" fillId="0" borderId="0" xfId="0" applyFont="1" applyFill="1" applyAlignment="1">
      <alignment horizontal="center" vertical="center"/>
    </xf>
    <xf numFmtId="0" fontId="17" fillId="0" borderId="0" xfId="0" applyFont="1" applyFill="1" applyAlignment="1">
      <alignment horizontal="justify" vertical="center"/>
    </xf>
    <xf numFmtId="14" fontId="17" fillId="0" borderId="0" xfId="0" applyNumberFormat="1" applyFont="1" applyFill="1" applyAlignment="1">
      <alignment horizontal="right" vertical="center"/>
    </xf>
    <xf numFmtId="14" fontId="17" fillId="0" borderId="0" xfId="0" applyNumberFormat="1" applyFont="1" applyFill="1" applyAlignment="1">
      <alignment horizontal="left"/>
    </xf>
    <xf numFmtId="0" fontId="35" fillId="0" borderId="0" xfId="0" applyFont="1" applyFill="1"/>
    <xf numFmtId="0" fontId="35" fillId="0" borderId="0" xfId="0" applyFont="1" applyFill="1" applyAlignment="1">
      <alignment horizontal="center"/>
    </xf>
    <xf numFmtId="0" fontId="35" fillId="0" borderId="0" xfId="0" applyFont="1" applyFill="1" applyAlignment="1"/>
    <xf numFmtId="0" fontId="35" fillId="0" borderId="0" xfId="0" applyFont="1" applyFill="1" applyAlignment="1">
      <alignment horizontal="center" vertical="center"/>
    </xf>
    <xf numFmtId="0" fontId="35" fillId="0" borderId="0" xfId="0" applyFont="1" applyFill="1" applyAlignment="1">
      <alignment horizontal="justify" vertical="center"/>
    </xf>
    <xf numFmtId="0" fontId="35" fillId="0" borderId="0" xfId="0" applyFont="1" applyFill="1" applyAlignment="1">
      <alignment horizontal="right" vertical="center"/>
    </xf>
    <xf numFmtId="168" fontId="35" fillId="0" borderId="0" xfId="0" applyNumberFormat="1" applyFont="1" applyFill="1" applyAlignment="1">
      <alignment horizontal="center"/>
    </xf>
    <xf numFmtId="0" fontId="35" fillId="0" borderId="0" xfId="0" applyFont="1" applyFill="1" applyAlignment="1">
      <alignment horizontal="left"/>
    </xf>
    <xf numFmtId="0" fontId="36" fillId="0" borderId="0" xfId="0" applyFont="1" applyFill="1"/>
    <xf numFmtId="0" fontId="37" fillId="0" borderId="0" xfId="0" applyFont="1" applyFill="1"/>
    <xf numFmtId="0" fontId="27" fillId="0" borderId="11" xfId="0" applyFont="1" applyBorder="1" applyAlignment="1">
      <alignment horizontal="justify" vertical="center"/>
    </xf>
    <xf numFmtId="41" fontId="27" fillId="0" borderId="11" xfId="6" applyFont="1" applyBorder="1" applyAlignment="1">
      <alignment horizontal="center" vertical="center"/>
    </xf>
    <xf numFmtId="1" fontId="26" fillId="3" borderId="19" xfId="0" applyNumberFormat="1" applyFont="1" applyFill="1" applyBorder="1" applyAlignment="1">
      <alignment horizontal="center" vertical="center" textRotation="90" wrapText="1"/>
    </xf>
    <xf numFmtId="0" fontId="3" fillId="0" borderId="0" xfId="0" applyFont="1" applyAlignment="1">
      <alignment horizontal="center" vertical="center"/>
    </xf>
    <xf numFmtId="1" fontId="2" fillId="5" borderId="22" xfId="0" applyNumberFormat="1" applyFont="1" applyFill="1" applyBorder="1" applyAlignment="1">
      <alignment horizontal="justify" vertical="center" wrapText="1"/>
    </xf>
    <xf numFmtId="0" fontId="27" fillId="5" borderId="15" xfId="0" applyFont="1" applyFill="1" applyBorder="1" applyAlignment="1">
      <alignment horizontal="justify" vertical="center"/>
    </xf>
    <xf numFmtId="41" fontId="27" fillId="5" borderId="15" xfId="6" applyFont="1" applyFill="1" applyBorder="1" applyAlignment="1">
      <alignment horizontal="center" vertical="center"/>
    </xf>
    <xf numFmtId="1" fontId="26" fillId="5" borderId="15" xfId="0" applyNumberFormat="1" applyFont="1" applyFill="1" applyBorder="1" applyAlignment="1">
      <alignment vertical="center"/>
    </xf>
    <xf numFmtId="1" fontId="2" fillId="2" borderId="22" xfId="0" applyNumberFormat="1" applyFont="1" applyFill="1" applyBorder="1" applyAlignment="1">
      <alignment horizontal="justify" vertical="center" wrapText="1"/>
    </xf>
    <xf numFmtId="0" fontId="26" fillId="2" borderId="23" xfId="0" applyFont="1" applyFill="1" applyBorder="1" applyAlignment="1">
      <alignment horizontal="justify" vertical="center" wrapText="1"/>
    </xf>
    <xf numFmtId="0" fontId="26" fillId="2" borderId="20" xfId="0" applyFont="1" applyFill="1" applyBorder="1" applyAlignment="1">
      <alignment horizontal="justify" vertical="center" wrapText="1"/>
    </xf>
    <xf numFmtId="1" fontId="26" fillId="6" borderId="0" xfId="0" applyNumberFormat="1" applyFont="1" applyFill="1" applyBorder="1" applyAlignment="1">
      <alignment horizontal="justify" vertical="center"/>
    </xf>
    <xf numFmtId="0" fontId="27" fillId="6" borderId="11" xfId="0" applyFont="1" applyFill="1" applyBorder="1" applyAlignment="1">
      <alignment horizontal="justify" vertical="center"/>
    </xf>
    <xf numFmtId="41" fontId="27" fillId="6" borderId="11" xfId="6" applyFont="1" applyFill="1" applyBorder="1" applyAlignment="1">
      <alignment horizontal="center" vertical="center"/>
    </xf>
    <xf numFmtId="1" fontId="26" fillId="6" borderId="11" xfId="0" applyNumberFormat="1" applyFont="1" applyFill="1" applyBorder="1" applyAlignment="1">
      <alignment vertical="center"/>
    </xf>
    <xf numFmtId="1" fontId="2" fillId="2" borderId="6" xfId="0" applyNumberFormat="1" applyFont="1" applyFill="1" applyBorder="1" applyAlignment="1">
      <alignment horizontal="justify" vertical="center" wrapText="1"/>
    </xf>
    <xf numFmtId="0" fontId="26" fillId="2" borderId="0" xfId="0" applyFont="1" applyFill="1" applyBorder="1" applyAlignment="1">
      <alignment horizontal="justify" vertical="center" wrapText="1"/>
    </xf>
    <xf numFmtId="0" fontId="26" fillId="2" borderId="31" xfId="0" applyFont="1" applyFill="1" applyBorder="1" applyAlignment="1">
      <alignment horizontal="justify" vertical="center" wrapText="1"/>
    </xf>
    <xf numFmtId="1" fontId="26" fillId="7" borderId="14" xfId="0" applyNumberFormat="1" applyFont="1" applyFill="1" applyBorder="1" applyAlignment="1">
      <alignment horizontal="justify" vertical="center" wrapText="1"/>
    </xf>
    <xf numFmtId="169" fontId="26" fillId="7" borderId="15" xfId="0" applyNumberFormat="1" applyFont="1" applyFill="1" applyBorder="1" applyAlignment="1">
      <alignment horizontal="justify" vertical="center"/>
    </xf>
    <xf numFmtId="41" fontId="27" fillId="7" borderId="15" xfId="6" applyFont="1" applyFill="1" applyBorder="1" applyAlignment="1">
      <alignment horizontal="center" vertical="center"/>
    </xf>
    <xf numFmtId="1" fontId="26" fillId="7" borderId="15" xfId="0" applyNumberFormat="1" applyFont="1" applyFill="1" applyBorder="1" applyAlignment="1">
      <alignment vertical="center"/>
    </xf>
    <xf numFmtId="0" fontId="26" fillId="7" borderId="17" xfId="0" applyFont="1" applyFill="1" applyBorder="1" applyAlignment="1">
      <alignment horizontal="justify" vertical="center"/>
    </xf>
    <xf numFmtId="1" fontId="3" fillId="0" borderId="6" xfId="0" applyNumberFormat="1" applyFont="1" applyFill="1" applyBorder="1" applyAlignment="1">
      <alignment horizontal="justify" vertical="center" wrapText="1"/>
    </xf>
    <xf numFmtId="0" fontId="27" fillId="0" borderId="0" xfId="0" applyFont="1" applyFill="1" applyBorder="1" applyAlignment="1">
      <alignment horizontal="justify" vertical="center" wrapText="1"/>
    </xf>
    <xf numFmtId="0" fontId="27" fillId="0" borderId="27" xfId="0" applyFont="1" applyFill="1" applyBorder="1" applyAlignment="1">
      <alignment horizontal="justify" vertical="center" wrapText="1"/>
    </xf>
    <xf numFmtId="0" fontId="27" fillId="0" borderId="23" xfId="0" applyFont="1" applyFill="1" applyBorder="1" applyAlignment="1">
      <alignment horizontal="justify" vertical="center" wrapText="1"/>
    </xf>
    <xf numFmtId="0" fontId="24" fillId="0" borderId="8" xfId="0" applyFont="1" applyBorder="1" applyAlignment="1">
      <alignment horizontal="justify" vertical="center"/>
    </xf>
    <xf numFmtId="186" fontId="27" fillId="0" borderId="8" xfId="6" applyNumberFormat="1" applyFont="1" applyFill="1" applyBorder="1" applyAlignment="1">
      <alignment horizontal="center" vertical="center"/>
    </xf>
    <xf numFmtId="0" fontId="3" fillId="0" borderId="0" xfId="0" applyFont="1" applyFill="1"/>
    <xf numFmtId="0" fontId="27" fillId="0" borderId="8" xfId="9" applyFont="1" applyFill="1" applyBorder="1" applyAlignment="1">
      <alignment horizontal="justify" vertical="center"/>
    </xf>
    <xf numFmtId="0" fontId="17" fillId="0" borderId="8" xfId="9" applyFont="1" applyFill="1" applyBorder="1" applyAlignment="1">
      <alignment horizontal="justify" vertical="center" wrapText="1"/>
    </xf>
    <xf numFmtId="0" fontId="17" fillId="0" borderId="8" xfId="9" applyFont="1" applyFill="1" applyBorder="1" applyAlignment="1">
      <alignment horizontal="justify" vertical="top" wrapText="1"/>
    </xf>
    <xf numFmtId="0" fontId="17" fillId="0" borderId="8" xfId="9" applyFont="1" applyFill="1" applyBorder="1" applyAlignment="1">
      <alignment horizontal="justify" vertical="center"/>
    </xf>
    <xf numFmtId="1" fontId="3" fillId="2" borderId="6" xfId="0" applyNumberFormat="1" applyFont="1" applyFill="1" applyBorder="1" applyAlignment="1">
      <alignment horizontal="justify"/>
    </xf>
    <xf numFmtId="0" fontId="27" fillId="2" borderId="27" xfId="0" applyFont="1" applyFill="1" applyBorder="1" applyAlignment="1">
      <alignment horizontal="justify"/>
    </xf>
    <xf numFmtId="1" fontId="26" fillId="7" borderId="15" xfId="0" applyNumberFormat="1" applyFont="1" applyFill="1" applyBorder="1" applyAlignment="1">
      <alignment horizontal="justify" vertical="center" wrapText="1"/>
    </xf>
    <xf numFmtId="43" fontId="26" fillId="7" borderId="11" xfId="1" applyFont="1" applyFill="1" applyBorder="1" applyAlignment="1">
      <alignment horizontal="right" vertical="center"/>
    </xf>
    <xf numFmtId="186" fontId="27" fillId="7" borderId="15" xfId="6" applyNumberFormat="1" applyFont="1" applyFill="1" applyBorder="1" applyAlignment="1">
      <alignment horizontal="center" vertical="center"/>
    </xf>
    <xf numFmtId="1" fontId="27" fillId="7" borderId="15" xfId="0" applyNumberFormat="1" applyFont="1" applyFill="1" applyBorder="1" applyAlignment="1">
      <alignment horizontal="center" vertical="center"/>
    </xf>
    <xf numFmtId="0" fontId="27" fillId="7" borderId="15" xfId="0" applyFont="1" applyFill="1" applyBorder="1"/>
    <xf numFmtId="1" fontId="27" fillId="7" borderId="15" xfId="0" applyNumberFormat="1" applyFont="1" applyFill="1" applyBorder="1" applyAlignment="1">
      <alignment vertical="center" wrapText="1"/>
    </xf>
    <xf numFmtId="165" fontId="27" fillId="7" borderId="15" xfId="0" applyNumberFormat="1" applyFont="1" applyFill="1" applyBorder="1" applyAlignment="1">
      <alignment horizontal="right" vertical="center"/>
    </xf>
    <xf numFmtId="165" fontId="27" fillId="7" borderId="15" xfId="0" applyNumberFormat="1" applyFont="1" applyFill="1" applyBorder="1" applyAlignment="1">
      <alignment horizontal="center"/>
    </xf>
    <xf numFmtId="1" fontId="3" fillId="0" borderId="6" xfId="0" applyNumberFormat="1" applyFont="1" applyFill="1" applyBorder="1" applyAlignment="1">
      <alignment horizontal="justify"/>
    </xf>
    <xf numFmtId="0" fontId="27" fillId="0" borderId="27" xfId="0" applyFont="1" applyFill="1" applyBorder="1" applyAlignment="1">
      <alignment horizontal="justify"/>
    </xf>
    <xf numFmtId="0" fontId="27" fillId="0" borderId="7" xfId="0" applyFont="1" applyFill="1" applyBorder="1" applyAlignment="1">
      <alignment horizontal="justify"/>
    </xf>
    <xf numFmtId="0" fontId="27" fillId="0" borderId="8" xfId="0" applyFont="1" applyFill="1" applyBorder="1" applyAlignment="1">
      <alignment horizontal="center" vertical="center"/>
    </xf>
    <xf numFmtId="0" fontId="27" fillId="0" borderId="8" xfId="0" applyFont="1" applyFill="1" applyBorder="1" applyAlignment="1">
      <alignment horizontal="left" vertical="center" wrapText="1"/>
    </xf>
    <xf numFmtId="0" fontId="27" fillId="0" borderId="8" xfId="0" applyFont="1" applyFill="1" applyBorder="1" applyAlignment="1">
      <alignment horizontal="justify" vertical="center"/>
    </xf>
    <xf numFmtId="186" fontId="17" fillId="0" borderId="8" xfId="6" applyNumberFormat="1" applyFont="1" applyFill="1" applyBorder="1" applyAlignment="1">
      <alignment horizontal="center" vertical="center"/>
    </xf>
    <xf numFmtId="1" fontId="26" fillId="20" borderId="14" xfId="0" applyNumberFormat="1" applyFont="1" applyFill="1" applyBorder="1" applyAlignment="1">
      <alignment horizontal="justify" vertical="center"/>
    </xf>
    <xf numFmtId="0" fontId="26" fillId="20" borderId="23" xfId="0" applyFont="1" applyFill="1" applyBorder="1" applyAlignment="1">
      <alignment horizontal="justify" vertical="center"/>
    </xf>
    <xf numFmtId="0" fontId="26" fillId="20" borderId="23" xfId="0" applyFont="1" applyFill="1" applyBorder="1" applyAlignment="1">
      <alignment horizontal="center" vertical="center"/>
    </xf>
    <xf numFmtId="169" fontId="26" fillId="20" borderId="23" xfId="0" applyNumberFormat="1" applyFont="1" applyFill="1" applyBorder="1" applyAlignment="1">
      <alignment horizontal="justify" vertical="center"/>
    </xf>
    <xf numFmtId="43" fontId="26" fillId="20" borderId="23" xfId="1" applyFont="1" applyFill="1" applyBorder="1" applyAlignment="1">
      <alignment horizontal="right" vertical="center"/>
    </xf>
    <xf numFmtId="0" fontId="26" fillId="20" borderId="23" xfId="0" applyFont="1" applyFill="1" applyBorder="1" applyAlignment="1">
      <alignment horizontal="justify" vertical="center" wrapText="1"/>
    </xf>
    <xf numFmtId="0" fontId="27" fillId="20" borderId="23" xfId="0" applyFont="1" applyFill="1" applyBorder="1" applyAlignment="1">
      <alignment horizontal="justify" vertical="center"/>
    </xf>
    <xf numFmtId="186" fontId="27" fillId="20" borderId="23" xfId="6" applyNumberFormat="1" applyFont="1" applyFill="1" applyBorder="1" applyAlignment="1">
      <alignment horizontal="center" vertical="center"/>
    </xf>
    <xf numFmtId="1" fontId="27" fillId="20" borderId="23" xfId="0" applyNumberFormat="1" applyFont="1" applyFill="1" applyBorder="1" applyAlignment="1">
      <alignment horizontal="center" vertical="center"/>
    </xf>
    <xf numFmtId="0" fontId="27" fillId="20" borderId="23" xfId="0" applyFont="1" applyFill="1" applyBorder="1" applyAlignment="1">
      <alignment horizontal="center" vertical="center"/>
    </xf>
    <xf numFmtId="0" fontId="27" fillId="20" borderId="23" xfId="0" applyFont="1" applyFill="1" applyBorder="1"/>
    <xf numFmtId="1" fontId="27" fillId="20" borderId="23" xfId="0" applyNumberFormat="1" applyFont="1" applyFill="1" applyBorder="1" applyAlignment="1">
      <alignment vertical="center" wrapText="1"/>
    </xf>
    <xf numFmtId="165" fontId="27" fillId="20" borderId="23" xfId="0" applyNumberFormat="1" applyFont="1" applyFill="1" applyBorder="1" applyAlignment="1">
      <alignment horizontal="right" vertical="center"/>
    </xf>
    <xf numFmtId="165" fontId="27" fillId="20" borderId="23" xfId="0" applyNumberFormat="1" applyFont="1" applyFill="1" applyBorder="1" applyAlignment="1">
      <alignment horizontal="center"/>
    </xf>
    <xf numFmtId="0" fontId="27" fillId="20" borderId="24" xfId="0" applyFont="1" applyFill="1" applyBorder="1" applyAlignment="1">
      <alignment horizontal="justify" vertical="center" wrapText="1"/>
    </xf>
    <xf numFmtId="0" fontId="27" fillId="2" borderId="7" xfId="0" applyFont="1" applyFill="1" applyBorder="1" applyAlignment="1">
      <alignment horizontal="justify"/>
    </xf>
    <xf numFmtId="1" fontId="26" fillId="7" borderId="0" xfId="0" applyNumberFormat="1" applyFont="1" applyFill="1" applyBorder="1" applyAlignment="1">
      <alignment horizontal="justify" vertical="center" wrapText="1"/>
    </xf>
    <xf numFmtId="43" fontId="26" fillId="7" borderId="15" xfId="1" applyFont="1" applyFill="1" applyBorder="1" applyAlignment="1">
      <alignment horizontal="right" vertical="center"/>
    </xf>
    <xf numFmtId="1" fontId="3" fillId="0" borderId="6" xfId="0" applyNumberFormat="1" applyFont="1" applyFill="1" applyBorder="1" applyAlignment="1">
      <alignment horizontal="justify" vertical="center"/>
    </xf>
    <xf numFmtId="0" fontId="27" fillId="0" borderId="7" xfId="0" applyFont="1" applyFill="1" applyBorder="1" applyAlignment="1">
      <alignment horizontal="justify" vertical="center"/>
    </xf>
    <xf numFmtId="0" fontId="27" fillId="0" borderId="27" xfId="0" applyFont="1" applyFill="1" applyBorder="1" applyAlignment="1">
      <alignment horizontal="justify" vertical="center"/>
    </xf>
    <xf numFmtId="0" fontId="27" fillId="0" borderId="31" xfId="0" applyFont="1" applyFill="1" applyBorder="1" applyAlignment="1">
      <alignment horizontal="justify" vertical="center"/>
    </xf>
    <xf numFmtId="49" fontId="17" fillId="0" borderId="8" xfId="16" applyNumberFormat="1" applyFont="1" applyFill="1" applyBorder="1" applyAlignment="1">
      <alignment horizontal="justify" vertical="center" wrapText="1"/>
    </xf>
    <xf numFmtId="1" fontId="26" fillId="15" borderId="14" xfId="0" applyNumberFormat="1" applyFont="1" applyFill="1" applyBorder="1" applyAlignment="1">
      <alignment horizontal="justify" vertical="center"/>
    </xf>
    <xf numFmtId="0" fontId="26" fillId="15" borderId="15" xfId="0" applyFont="1" applyFill="1" applyBorder="1" applyAlignment="1">
      <alignment horizontal="justify" vertical="center"/>
    </xf>
    <xf numFmtId="0" fontId="26" fillId="15" borderId="23" xfId="0" applyFont="1" applyFill="1" applyBorder="1" applyAlignment="1">
      <alignment horizontal="justify" vertical="center"/>
    </xf>
    <xf numFmtId="0" fontId="26" fillId="15" borderId="23" xfId="0" applyFont="1" applyFill="1" applyBorder="1" applyAlignment="1">
      <alignment horizontal="center" vertical="center"/>
    </xf>
    <xf numFmtId="169" fontId="26" fillId="15" borderId="23" xfId="0" applyNumberFormat="1" applyFont="1" applyFill="1" applyBorder="1" applyAlignment="1">
      <alignment horizontal="justify" vertical="center"/>
    </xf>
    <xf numFmtId="43" fontId="26" fillId="15" borderId="23" xfId="1" applyFont="1" applyFill="1" applyBorder="1" applyAlignment="1">
      <alignment horizontal="right" vertical="center"/>
    </xf>
    <xf numFmtId="0" fontId="26" fillId="15" borderId="23" xfId="0" applyFont="1" applyFill="1" applyBorder="1" applyAlignment="1">
      <alignment horizontal="justify" vertical="center" wrapText="1"/>
    </xf>
    <xf numFmtId="0" fontId="27" fillId="15" borderId="23" xfId="0" applyFont="1" applyFill="1" applyBorder="1" applyAlignment="1">
      <alignment horizontal="justify" vertical="center"/>
    </xf>
    <xf numFmtId="186" fontId="27" fillId="15" borderId="23" xfId="6" applyNumberFormat="1" applyFont="1" applyFill="1" applyBorder="1" applyAlignment="1">
      <alignment horizontal="center" vertical="center"/>
    </xf>
    <xf numFmtId="1" fontId="27" fillId="15" borderId="23" xfId="0" applyNumberFormat="1" applyFont="1" applyFill="1" applyBorder="1" applyAlignment="1">
      <alignment horizontal="center" vertical="center"/>
    </xf>
    <xf numFmtId="0" fontId="27" fillId="15" borderId="23" xfId="0" applyFont="1" applyFill="1" applyBorder="1" applyAlignment="1">
      <alignment horizontal="center" vertical="center"/>
    </xf>
    <xf numFmtId="0" fontId="27" fillId="15" borderId="23" xfId="0" applyFont="1" applyFill="1" applyBorder="1"/>
    <xf numFmtId="1" fontId="27" fillId="15" borderId="23" xfId="0" applyNumberFormat="1" applyFont="1" applyFill="1" applyBorder="1" applyAlignment="1">
      <alignment vertical="center" wrapText="1"/>
    </xf>
    <xf numFmtId="165" fontId="27" fillId="15" borderId="23" xfId="0" applyNumberFormat="1" applyFont="1" applyFill="1" applyBorder="1" applyAlignment="1">
      <alignment horizontal="right" vertical="center"/>
    </xf>
    <xf numFmtId="165" fontId="27" fillId="15" borderId="23" xfId="0" applyNumberFormat="1" applyFont="1" applyFill="1" applyBorder="1" applyAlignment="1">
      <alignment horizontal="center"/>
    </xf>
    <xf numFmtId="0" fontId="27" fillId="15" borderId="24" xfId="0" applyFont="1" applyFill="1" applyBorder="1" applyAlignment="1">
      <alignment horizontal="justify" vertical="center" wrapText="1"/>
    </xf>
    <xf numFmtId="0" fontId="27" fillId="2" borderId="31" xfId="0" applyFont="1" applyFill="1" applyBorder="1" applyAlignment="1">
      <alignment horizontal="justify"/>
    </xf>
    <xf numFmtId="0" fontId="27" fillId="2" borderId="23" xfId="0" applyFont="1" applyFill="1" applyBorder="1" applyAlignment="1">
      <alignment horizontal="justify"/>
    </xf>
    <xf numFmtId="0" fontId="27" fillId="2" borderId="20" xfId="0" applyFont="1" applyFill="1" applyBorder="1" applyAlignment="1">
      <alignment horizontal="justify"/>
    </xf>
    <xf numFmtId="0" fontId="27" fillId="0" borderId="31" xfId="0" applyFont="1" applyFill="1" applyBorder="1" applyAlignment="1">
      <alignment horizontal="justify"/>
    </xf>
    <xf numFmtId="0" fontId="27" fillId="0" borderId="23" xfId="0" applyFont="1" applyFill="1" applyBorder="1" applyAlignment="1">
      <alignment horizontal="justify"/>
    </xf>
    <xf numFmtId="1" fontId="27" fillId="0" borderId="14" xfId="0" applyNumberFormat="1" applyFont="1" applyFill="1" applyBorder="1" applyAlignment="1">
      <alignment horizontal="center" vertical="center" wrapText="1"/>
    </xf>
    <xf numFmtId="0" fontId="27" fillId="0" borderId="8" xfId="0" applyFont="1" applyFill="1" applyBorder="1" applyAlignment="1">
      <alignment horizontal="justify" vertical="center"/>
    </xf>
    <xf numFmtId="0" fontId="27" fillId="0" borderId="0" xfId="0" applyFont="1" applyFill="1" applyBorder="1" applyAlignment="1">
      <alignment horizontal="justify" wrapText="1"/>
    </xf>
    <xf numFmtId="1" fontId="27" fillId="0" borderId="8" xfId="0" applyNumberFormat="1" applyFont="1" applyFill="1" applyBorder="1" applyAlignment="1">
      <alignment horizontal="center" vertical="center" wrapText="1"/>
    </xf>
    <xf numFmtId="1" fontId="27" fillId="0" borderId="14" xfId="0" applyNumberFormat="1" applyFont="1" applyFill="1" applyBorder="1" applyAlignment="1">
      <alignment horizontal="center" vertical="center"/>
    </xf>
    <xf numFmtId="43" fontId="27" fillId="0" borderId="19" xfId="1" applyFont="1" applyFill="1" applyBorder="1" applyAlignment="1">
      <alignment horizontal="right" vertical="center"/>
    </xf>
    <xf numFmtId="186" fontId="27" fillId="0" borderId="14" xfId="6" applyNumberFormat="1" applyFont="1" applyFill="1" applyBorder="1" applyAlignment="1">
      <alignment horizontal="center" vertical="center"/>
    </xf>
    <xf numFmtId="186" fontId="17" fillId="0" borderId="14" xfId="6" applyNumberFormat="1" applyFont="1" applyFill="1" applyBorder="1" applyAlignment="1">
      <alignment horizontal="center" vertical="center"/>
    </xf>
    <xf numFmtId="0" fontId="27" fillId="0" borderId="8" xfId="0" applyFont="1" applyFill="1" applyBorder="1" applyAlignment="1">
      <alignment horizontal="justify" vertical="top" wrapText="1"/>
    </xf>
    <xf numFmtId="0" fontId="17" fillId="0" borderId="8" xfId="0" applyFont="1" applyFill="1" applyBorder="1" applyAlignment="1">
      <alignment horizontal="justify" vertical="center"/>
    </xf>
    <xf numFmtId="0" fontId="27" fillId="0" borderId="8" xfId="0" applyFont="1" applyFill="1" applyBorder="1" applyAlignment="1">
      <alignment horizontal="justify" vertical="justify"/>
    </xf>
    <xf numFmtId="0" fontId="17" fillId="0" borderId="8" xfId="9" applyFont="1" applyFill="1" applyBorder="1" applyAlignment="1">
      <alignment horizontal="justify"/>
    </xf>
    <xf numFmtId="0" fontId="28" fillId="0" borderId="8" xfId="9" applyFont="1" applyFill="1" applyBorder="1" applyAlignment="1">
      <alignment horizontal="justify" wrapText="1"/>
    </xf>
    <xf numFmtId="1" fontId="27" fillId="0" borderId="8" xfId="0" applyNumberFormat="1" applyFont="1" applyFill="1" applyBorder="1" applyAlignment="1">
      <alignment horizontal="center" vertical="center"/>
    </xf>
    <xf numFmtId="0" fontId="28" fillId="0" borderId="8" xfId="20" applyFont="1" applyFill="1" applyBorder="1" applyAlignment="1">
      <alignment horizontal="justify" vertical="center" wrapText="1"/>
    </xf>
    <xf numFmtId="0" fontId="17" fillId="0" borderId="8" xfId="20" applyFont="1" applyFill="1" applyBorder="1" applyAlignment="1">
      <alignment horizontal="justify" vertical="center" wrapText="1"/>
    </xf>
    <xf numFmtId="1" fontId="27" fillId="0" borderId="19" xfId="0" applyNumberFormat="1" applyFont="1" applyFill="1" applyBorder="1" applyAlignment="1">
      <alignment horizontal="center" vertical="center"/>
    </xf>
    <xf numFmtId="9" fontId="27" fillId="0" borderId="19" xfId="2" applyFont="1" applyFill="1" applyBorder="1" applyAlignment="1">
      <alignment horizontal="center" vertical="center"/>
    </xf>
    <xf numFmtId="0" fontId="28" fillId="0" borderId="19" xfId="20" applyFont="1" applyFill="1" applyBorder="1" applyAlignment="1">
      <alignment horizontal="justify" vertical="center" wrapText="1"/>
    </xf>
    <xf numFmtId="186" fontId="27" fillId="0" borderId="19" xfId="6" applyNumberFormat="1" applyFont="1" applyFill="1" applyBorder="1" applyAlignment="1">
      <alignment horizontal="center" vertical="center"/>
    </xf>
    <xf numFmtId="1" fontId="3" fillId="0" borderId="32" xfId="0" applyNumberFormat="1" applyFont="1" applyBorder="1" applyAlignment="1">
      <alignment horizontal="justify"/>
    </xf>
    <xf numFmtId="0" fontId="27" fillId="0" borderId="33" xfId="0" applyFont="1" applyBorder="1" applyAlignment="1">
      <alignment horizontal="justify"/>
    </xf>
    <xf numFmtId="0" fontId="27" fillId="0" borderId="33" xfId="0" applyFont="1" applyBorder="1" applyAlignment="1">
      <alignment horizontal="center" vertical="center"/>
    </xf>
    <xf numFmtId="0" fontId="26" fillId="0" borderId="33" xfId="0" applyFont="1" applyFill="1" applyBorder="1" applyAlignment="1">
      <alignment horizontal="justify" vertical="center"/>
    </xf>
    <xf numFmtId="169" fontId="27" fillId="0" borderId="33" xfId="0" applyNumberFormat="1" applyFont="1" applyFill="1" applyBorder="1" applyAlignment="1">
      <alignment horizontal="justify" vertical="center"/>
    </xf>
    <xf numFmtId="186" fontId="26" fillId="2" borderId="35" xfId="6" applyNumberFormat="1" applyFont="1" applyFill="1" applyBorder="1" applyAlignment="1">
      <alignment horizontal="center" vertical="center"/>
    </xf>
    <xf numFmtId="1" fontId="27" fillId="0" borderId="33" xfId="0" applyNumberFormat="1" applyFont="1" applyBorder="1"/>
    <xf numFmtId="0" fontId="2" fillId="0" borderId="0" xfId="0" applyFont="1" applyAlignment="1">
      <alignment horizontal="justify"/>
    </xf>
    <xf numFmtId="0" fontId="3" fillId="0" borderId="0" xfId="0" applyFont="1" applyFill="1" applyAlignment="1">
      <alignment horizontal="justify" vertical="center"/>
    </xf>
    <xf numFmtId="169" fontId="3" fillId="0" borderId="0" xfId="0" applyNumberFormat="1" applyFont="1" applyFill="1" applyAlignment="1">
      <alignment horizontal="justify" vertical="center"/>
    </xf>
    <xf numFmtId="164" fontId="3" fillId="0" borderId="0" xfId="0" applyNumberFormat="1" applyFont="1" applyFill="1" applyAlignment="1">
      <alignment horizontal="justify" vertical="center"/>
    </xf>
    <xf numFmtId="0" fontId="3" fillId="0" borderId="0" xfId="0" applyFont="1" applyFill="1" applyAlignment="1">
      <alignment horizontal="justify"/>
    </xf>
    <xf numFmtId="169" fontId="3" fillId="0" borderId="0" xfId="0" applyNumberFormat="1" applyFont="1" applyFill="1" applyBorder="1" applyAlignment="1">
      <alignment horizontal="justify" vertical="center"/>
    </xf>
    <xf numFmtId="164" fontId="3" fillId="0" borderId="0" xfId="0" applyNumberFormat="1" applyFont="1" applyFill="1" applyBorder="1" applyAlignment="1">
      <alignment horizontal="justify" vertical="center"/>
    </xf>
    <xf numFmtId="0" fontId="2" fillId="0" borderId="23" xfId="0" applyFont="1" applyBorder="1" applyAlignment="1"/>
    <xf numFmtId="0" fontId="2" fillId="0" borderId="0" xfId="0" applyFont="1" applyBorder="1" applyAlignment="1"/>
    <xf numFmtId="0" fontId="2" fillId="0" borderId="0" xfId="0" applyFont="1" applyAlignment="1"/>
    <xf numFmtId="1" fontId="3" fillId="0" borderId="0" xfId="0" applyNumberFormat="1" applyFont="1" applyAlignment="1">
      <alignment horizontal="justify"/>
    </xf>
    <xf numFmtId="169" fontId="3" fillId="2" borderId="0" xfId="0" applyNumberFormat="1" applyFont="1" applyFill="1" applyAlignment="1">
      <alignment horizontal="justify" vertical="center"/>
    </xf>
    <xf numFmtId="164" fontId="3" fillId="2" borderId="0" xfId="0" applyNumberFormat="1" applyFont="1" applyFill="1" applyAlignment="1">
      <alignment horizontal="justify" vertical="center"/>
    </xf>
    <xf numFmtId="41" fontId="3" fillId="2" borderId="0" xfId="6" applyFont="1" applyFill="1" applyAlignment="1">
      <alignment horizontal="center" vertical="center"/>
    </xf>
    <xf numFmtId="0" fontId="27" fillId="7" borderId="15" xfId="0" applyFont="1" applyFill="1" applyBorder="1" applyAlignment="1">
      <alignment horizontal="justify"/>
    </xf>
    <xf numFmtId="0" fontId="27" fillId="0" borderId="25" xfId="0" applyFont="1" applyFill="1" applyBorder="1" applyAlignment="1">
      <alignment horizontal="justify"/>
    </xf>
    <xf numFmtId="0" fontId="27" fillId="0" borderId="12" xfId="0" applyFont="1" applyFill="1" applyBorder="1" applyAlignment="1">
      <alignment horizontal="justify"/>
    </xf>
    <xf numFmtId="0" fontId="24" fillId="0" borderId="0" xfId="0" applyFont="1" applyAlignment="1">
      <alignment horizontal="center" vertical="center"/>
    </xf>
    <xf numFmtId="1" fontId="26" fillId="5" borderId="15" xfId="0" applyNumberFormat="1" applyFont="1" applyFill="1" applyBorder="1" applyAlignment="1">
      <alignment horizontal="left" vertical="center" wrapText="1"/>
    </xf>
    <xf numFmtId="164" fontId="26" fillId="5" borderId="15" xfId="0" applyNumberFormat="1" applyFont="1" applyFill="1" applyBorder="1" applyAlignment="1">
      <alignment vertical="center"/>
    </xf>
    <xf numFmtId="1" fontId="26" fillId="6" borderId="28" xfId="0" applyNumberFormat="1" applyFont="1" applyFill="1" applyBorder="1" applyAlignment="1">
      <alignment horizontal="center" vertical="center"/>
    </xf>
    <xf numFmtId="164" fontId="26" fillId="6" borderId="11" xfId="0" applyNumberFormat="1" applyFont="1" applyFill="1" applyBorder="1" applyAlignment="1">
      <alignment vertical="center"/>
    </xf>
    <xf numFmtId="1" fontId="26" fillId="7" borderId="14" xfId="0" applyNumberFormat="1" applyFont="1" applyFill="1" applyBorder="1" applyAlignment="1">
      <alignment horizontal="center" vertical="center" wrapText="1"/>
    </xf>
    <xf numFmtId="0" fontId="34" fillId="0" borderId="8" xfId="0" applyFont="1" applyFill="1" applyBorder="1" applyAlignment="1">
      <alignment horizontal="left" vertical="center" wrapText="1"/>
    </xf>
    <xf numFmtId="179" fontId="17" fillId="0" borderId="31" xfId="21" applyNumberFormat="1" applyFont="1" applyFill="1" applyBorder="1" applyAlignment="1">
      <alignment vertical="center"/>
    </xf>
    <xf numFmtId="0" fontId="27" fillId="2" borderId="0" xfId="0" applyFont="1" applyFill="1" applyBorder="1" applyAlignment="1">
      <alignment vertical="center" wrapText="1"/>
    </xf>
    <xf numFmtId="0" fontId="34" fillId="0" borderId="14" xfId="0" applyFont="1" applyFill="1" applyBorder="1" applyAlignment="1">
      <alignment horizontal="left" vertical="center" wrapText="1"/>
    </xf>
    <xf numFmtId="179" fontId="17" fillId="0" borderId="14" xfId="21" applyNumberFormat="1" applyFont="1" applyFill="1" applyBorder="1" applyAlignment="1">
      <alignment vertical="center"/>
    </xf>
    <xf numFmtId="0" fontId="27" fillId="0" borderId="8" xfId="0" applyFont="1" applyFill="1" applyBorder="1" applyAlignment="1">
      <alignment vertical="center" wrapText="1"/>
    </xf>
    <xf numFmtId="179" fontId="17" fillId="0" borderId="25" xfId="21" applyNumberFormat="1" applyFont="1" applyFill="1" applyBorder="1" applyAlignment="1">
      <alignment horizontal="right" vertical="center"/>
    </xf>
    <xf numFmtId="0" fontId="34" fillId="0" borderId="8" xfId="0" applyFont="1" applyFill="1" applyBorder="1" applyAlignment="1">
      <alignment horizontal="justify" vertical="center"/>
    </xf>
    <xf numFmtId="179" fontId="17" fillId="0" borderId="14" xfId="21" applyNumberFormat="1" applyFont="1" applyFill="1" applyBorder="1" applyAlignment="1">
      <alignment horizontal="right" vertical="center"/>
    </xf>
    <xf numFmtId="179" fontId="27" fillId="0" borderId="14" xfId="0" applyNumberFormat="1" applyFont="1" applyFill="1" applyBorder="1" applyAlignment="1">
      <alignment horizontal="right" vertical="center" wrapText="1"/>
    </xf>
    <xf numFmtId="1" fontId="26" fillId="2" borderId="25" xfId="0" applyNumberFormat="1" applyFont="1" applyFill="1" applyBorder="1" applyAlignment="1">
      <alignment horizontal="center" vertical="center" wrapText="1"/>
    </xf>
    <xf numFmtId="1" fontId="27" fillId="2" borderId="0" xfId="0" applyNumberFormat="1" applyFont="1" applyFill="1"/>
    <xf numFmtId="187" fontId="24" fillId="0" borderId="14" xfId="0" applyNumberFormat="1" applyFont="1" applyFill="1" applyBorder="1" applyAlignment="1">
      <alignment horizontal="center" vertical="center"/>
    </xf>
    <xf numFmtId="1" fontId="27" fillId="2" borderId="14" xfId="0" applyNumberFormat="1" applyFont="1" applyFill="1" applyBorder="1" applyAlignment="1">
      <alignment horizontal="center" vertical="center" wrapText="1"/>
    </xf>
    <xf numFmtId="187" fontId="27" fillId="0" borderId="14" xfId="0" applyNumberFormat="1" applyFont="1" applyFill="1" applyBorder="1" applyAlignment="1">
      <alignment horizontal="center" vertical="center"/>
    </xf>
    <xf numFmtId="0" fontId="28" fillId="0" borderId="8" xfId="0" applyFont="1" applyFill="1" applyBorder="1" applyAlignment="1">
      <alignment horizontal="left" vertical="center" wrapText="1" readingOrder="2"/>
    </xf>
    <xf numFmtId="170" fontId="27" fillId="0" borderId="14" xfId="0" applyNumberFormat="1" applyFont="1" applyFill="1" applyBorder="1" applyAlignment="1">
      <alignment horizontal="right" vertical="center"/>
    </xf>
    <xf numFmtId="1" fontId="27" fillId="2" borderId="25" xfId="0" applyNumberFormat="1" applyFont="1" applyFill="1" applyBorder="1" applyAlignment="1">
      <alignment horizontal="center" vertical="center" wrapText="1"/>
    </xf>
    <xf numFmtId="0" fontId="28" fillId="0" borderId="19" xfId="0" applyFont="1" applyFill="1" applyBorder="1" applyAlignment="1">
      <alignment vertical="center" wrapText="1"/>
    </xf>
    <xf numFmtId="170" fontId="27" fillId="0" borderId="14" xfId="0" applyNumberFormat="1" applyFont="1" applyFill="1" applyBorder="1" applyAlignment="1">
      <alignment vertical="center"/>
    </xf>
    <xf numFmtId="0" fontId="27" fillId="0" borderId="19" xfId="0" applyFont="1" applyFill="1" applyBorder="1" applyAlignment="1">
      <alignment vertical="center" wrapText="1" readingOrder="2"/>
    </xf>
    <xf numFmtId="3" fontId="27" fillId="2" borderId="8" xfId="0" applyNumberFormat="1" applyFont="1" applyFill="1" applyBorder="1" applyAlignment="1">
      <alignment horizontal="left" vertical="center" wrapText="1"/>
    </xf>
    <xf numFmtId="0" fontId="27" fillId="0" borderId="8" xfId="0" applyFont="1" applyFill="1" applyBorder="1" applyAlignment="1">
      <alignment vertical="center" wrapText="1" readingOrder="2"/>
    </xf>
    <xf numFmtId="1" fontId="26" fillId="5" borderId="11" xfId="0" applyNumberFormat="1" applyFont="1" applyFill="1" applyBorder="1" applyAlignment="1">
      <alignment horizontal="center" vertical="center"/>
    </xf>
    <xf numFmtId="0" fontId="26" fillId="5" borderId="11" xfId="0" applyFont="1" applyFill="1" applyBorder="1" applyAlignment="1">
      <alignment horizontal="center" vertical="center"/>
    </xf>
    <xf numFmtId="1" fontId="26" fillId="6" borderId="7" xfId="0" applyNumberFormat="1" applyFont="1" applyFill="1" applyBorder="1" applyAlignment="1">
      <alignment horizontal="center" vertical="center"/>
    </xf>
    <xf numFmtId="1" fontId="27" fillId="2" borderId="27" xfId="0" applyNumberFormat="1" applyFont="1" applyFill="1" applyBorder="1"/>
    <xf numFmtId="170" fontId="18" fillId="0" borderId="14" xfId="0" applyNumberFormat="1" applyFont="1" applyFill="1" applyBorder="1" applyAlignment="1">
      <alignment horizontal="center" vertical="center"/>
    </xf>
    <xf numFmtId="0" fontId="28" fillId="0" borderId="19" xfId="0" applyFont="1" applyFill="1" applyBorder="1" applyAlignment="1">
      <alignment horizontal="justify" vertical="center" wrapText="1"/>
    </xf>
    <xf numFmtId="170" fontId="24" fillId="0" borderId="14" xfId="0" applyNumberFormat="1" applyFont="1" applyFill="1" applyBorder="1" applyAlignment="1">
      <alignment horizontal="center" vertical="center"/>
    </xf>
    <xf numFmtId="0" fontId="27" fillId="2" borderId="11" xfId="0" applyFont="1" applyFill="1" applyBorder="1"/>
    <xf numFmtId="170" fontId="27" fillId="0" borderId="14" xfId="0" applyNumberFormat="1" applyFont="1" applyFill="1" applyBorder="1" applyAlignment="1">
      <alignment horizontal="center" vertical="center"/>
    </xf>
    <xf numFmtId="1" fontId="26" fillId="7" borderId="23" xfId="0" applyNumberFormat="1" applyFont="1" applyFill="1" applyBorder="1" applyAlignment="1">
      <alignment horizontal="center" vertical="center" wrapText="1"/>
    </xf>
    <xf numFmtId="1" fontId="26" fillId="7" borderId="11" xfId="0" applyNumberFormat="1" applyFont="1" applyFill="1" applyBorder="1" applyAlignment="1">
      <alignment horizontal="center" vertical="center"/>
    </xf>
    <xf numFmtId="0" fontId="26" fillId="7" borderId="11" xfId="0" applyFont="1" applyFill="1" applyBorder="1" applyAlignment="1">
      <alignment horizontal="center" vertical="center"/>
    </xf>
    <xf numFmtId="170" fontId="27" fillId="2" borderId="8" xfId="0" applyNumberFormat="1" applyFont="1" applyFill="1" applyBorder="1" applyAlignment="1">
      <alignment horizontal="center" vertical="center"/>
    </xf>
    <xf numFmtId="0" fontId="17" fillId="2" borderId="12" xfId="0" applyFont="1" applyFill="1" applyBorder="1" applyAlignment="1">
      <alignment horizontal="center" vertical="center" wrapText="1"/>
    </xf>
    <xf numFmtId="0" fontId="27" fillId="2" borderId="19" xfId="0" applyFont="1" applyFill="1" applyBorder="1" applyAlignment="1">
      <alignment horizontal="left" vertical="center" wrapText="1"/>
    </xf>
    <xf numFmtId="0" fontId="27" fillId="2" borderId="8" xfId="0" applyFont="1" applyFill="1" applyBorder="1" applyAlignment="1">
      <alignment horizontal="left" wrapText="1"/>
    </xf>
    <xf numFmtId="0" fontId="27" fillId="2" borderId="28" xfId="0" applyFont="1" applyFill="1" applyBorder="1" applyAlignment="1">
      <alignment horizontal="left" vertical="center" wrapText="1"/>
    </xf>
    <xf numFmtId="0" fontId="28" fillId="2" borderId="8" xfId="0" applyFont="1" applyFill="1" applyBorder="1" applyAlignment="1">
      <alignment horizontal="left" vertical="center" wrapText="1"/>
    </xf>
    <xf numFmtId="170" fontId="27" fillId="2" borderId="8" xfId="0" applyNumberFormat="1" applyFont="1" applyFill="1" applyBorder="1" applyAlignment="1">
      <alignment vertical="center"/>
    </xf>
    <xf numFmtId="166" fontId="18" fillId="0" borderId="8" xfId="0" applyNumberFormat="1" applyFont="1" applyBorder="1" applyAlignment="1">
      <alignment horizontal="center" vertical="center"/>
    </xf>
    <xf numFmtId="165" fontId="27" fillId="0" borderId="28" xfId="0" applyNumberFormat="1" applyFont="1" applyFill="1" applyBorder="1" applyAlignment="1">
      <alignment vertical="center" wrapText="1"/>
    </xf>
    <xf numFmtId="165" fontId="27" fillId="0" borderId="28" xfId="0" applyNumberFormat="1" applyFont="1" applyBorder="1" applyAlignment="1">
      <alignment vertical="center" wrapText="1"/>
    </xf>
    <xf numFmtId="0" fontId="27" fillId="0" borderId="28" xfId="0" applyFont="1" applyBorder="1" applyAlignment="1">
      <alignment vertical="center" wrapText="1"/>
    </xf>
    <xf numFmtId="0" fontId="27" fillId="2" borderId="8" xfId="0" applyFont="1" applyFill="1" applyBorder="1" applyAlignment="1">
      <alignment horizontal="justify" vertical="center"/>
    </xf>
    <xf numFmtId="170" fontId="27" fillId="0" borderId="8" xfId="0" applyNumberFormat="1" applyFont="1" applyFill="1" applyBorder="1" applyAlignment="1">
      <alignment horizontal="center" vertical="center"/>
    </xf>
    <xf numFmtId="1" fontId="26" fillId="7" borderId="11"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1" fontId="27" fillId="2" borderId="25" xfId="0" applyNumberFormat="1" applyFont="1" applyFill="1" applyBorder="1"/>
    <xf numFmtId="0" fontId="26" fillId="5" borderId="11" xfId="0" applyFont="1" applyFill="1" applyBorder="1" applyAlignment="1">
      <alignment vertical="center"/>
    </xf>
    <xf numFmtId="1" fontId="26" fillId="6" borderId="12" xfId="0" applyNumberFormat="1" applyFont="1" applyFill="1" applyBorder="1" applyAlignment="1">
      <alignment horizontal="center" vertical="center"/>
    </xf>
    <xf numFmtId="0" fontId="17" fillId="2" borderId="8" xfId="0" applyFont="1" applyFill="1" applyBorder="1" applyAlignment="1">
      <alignment horizontal="left" vertical="center" wrapText="1"/>
    </xf>
    <xf numFmtId="170" fontId="27" fillId="2" borderId="28" xfId="0" applyNumberFormat="1" applyFont="1" applyFill="1" applyBorder="1" applyAlignment="1">
      <alignment horizontal="center" vertical="center"/>
    </xf>
    <xf numFmtId="0" fontId="24" fillId="0" borderId="32" xfId="0" applyFont="1" applyBorder="1"/>
    <xf numFmtId="0" fontId="24" fillId="0" borderId="33" xfId="0" applyFont="1" applyBorder="1"/>
    <xf numFmtId="0" fontId="24" fillId="0" borderId="34" xfId="0" applyFont="1" applyBorder="1"/>
    <xf numFmtId="170" fontId="24" fillId="0" borderId="35" xfId="0" applyNumberFormat="1" applyFont="1" applyBorder="1"/>
    <xf numFmtId="4" fontId="24" fillId="0" borderId="35" xfId="0" applyNumberFormat="1" applyFont="1" applyBorder="1"/>
    <xf numFmtId="3" fontId="27" fillId="0" borderId="19" xfId="0" applyNumberFormat="1" applyFont="1" applyBorder="1" applyAlignment="1">
      <alignment horizontal="center" vertical="center"/>
    </xf>
    <xf numFmtId="0" fontId="17" fillId="0" borderId="8" xfId="0" applyFont="1" applyFill="1" applyBorder="1" applyAlignment="1">
      <alignment horizontal="justify" vertical="center" wrapText="1"/>
    </xf>
    <xf numFmtId="0" fontId="27" fillId="0" borderId="8" xfId="0" applyFont="1" applyFill="1" applyBorder="1" applyAlignment="1">
      <alignment horizontal="justify" vertical="center" wrapText="1"/>
    </xf>
    <xf numFmtId="0" fontId="27" fillId="2" borderId="19" xfId="0" applyFont="1" applyFill="1" applyBorder="1" applyAlignment="1">
      <alignment horizontal="justify" vertical="center" wrapText="1"/>
    </xf>
    <xf numFmtId="3" fontId="27" fillId="0" borderId="8" xfId="0" applyNumberFormat="1" applyFont="1" applyFill="1" applyBorder="1" applyAlignment="1">
      <alignment horizontal="center" vertical="center"/>
    </xf>
    <xf numFmtId="3" fontId="27" fillId="0" borderId="28" xfId="0" applyNumberFormat="1" applyFont="1" applyBorder="1" applyAlignment="1">
      <alignment horizontal="center" vertical="center"/>
    </xf>
    <xf numFmtId="1" fontId="26" fillId="2" borderId="23" xfId="0" applyNumberFormat="1" applyFont="1" applyFill="1" applyBorder="1" applyAlignment="1">
      <alignment horizontal="center" vertical="center" wrapText="1"/>
    </xf>
    <xf numFmtId="1" fontId="26" fillId="2" borderId="20" xfId="0" applyNumberFormat="1" applyFont="1" applyFill="1" applyBorder="1" applyAlignment="1">
      <alignment horizontal="center" vertical="center" wrapText="1"/>
    </xf>
    <xf numFmtId="1" fontId="26" fillId="2" borderId="0" xfId="0" applyNumberFormat="1"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9" xfId="0" applyFont="1" applyFill="1" applyBorder="1" applyAlignment="1">
      <alignment horizontal="justify" vertical="center" wrapText="1"/>
    </xf>
    <xf numFmtId="0" fontId="26" fillId="3" borderId="19" xfId="0" applyFont="1" applyFill="1" applyBorder="1" applyAlignment="1">
      <alignment horizontal="center" vertical="center" textRotation="90" wrapText="1"/>
    </xf>
    <xf numFmtId="49" fontId="26" fillId="3" borderId="19" xfId="0" applyNumberFormat="1" applyFont="1" applyFill="1" applyBorder="1" applyAlignment="1">
      <alignment horizontal="center" vertical="center" textRotation="90" wrapText="1"/>
    </xf>
    <xf numFmtId="1" fontId="26" fillId="3" borderId="29" xfId="0" applyNumberFormat="1" applyFont="1" applyFill="1" applyBorder="1" applyAlignment="1">
      <alignment horizontal="center" vertical="center" wrapText="1"/>
    </xf>
    <xf numFmtId="0" fontId="26" fillId="6" borderId="15" xfId="0" applyFont="1" applyFill="1" applyBorder="1" applyAlignment="1">
      <alignment horizontal="left" vertical="center"/>
    </xf>
    <xf numFmtId="0" fontId="26" fillId="7" borderId="15" xfId="0" applyFont="1" applyFill="1" applyBorder="1" applyAlignment="1">
      <alignment horizontal="left" vertical="center"/>
    </xf>
    <xf numFmtId="0" fontId="27" fillId="0" borderId="8" xfId="0" applyFont="1" applyFill="1" applyBorder="1" applyAlignment="1">
      <alignment horizontal="center" vertical="center"/>
    </xf>
    <xf numFmtId="0" fontId="27" fillId="0" borderId="8" xfId="0" applyFont="1" applyFill="1" applyBorder="1" applyAlignment="1">
      <alignment horizontal="justify" vertical="center"/>
    </xf>
    <xf numFmtId="1" fontId="27" fillId="0" borderId="19" xfId="0" applyNumberFormat="1" applyFont="1" applyFill="1" applyBorder="1" applyAlignment="1">
      <alignment horizontal="center" vertical="center"/>
    </xf>
    <xf numFmtId="0" fontId="27" fillId="0" borderId="19" xfId="0" applyFont="1" applyFill="1" applyBorder="1" applyAlignment="1">
      <alignment horizontal="center" vertical="center"/>
    </xf>
    <xf numFmtId="0" fontId="27" fillId="0" borderId="0" xfId="0" applyFont="1" applyFill="1" applyBorder="1" applyAlignment="1">
      <alignment horizontal="justify"/>
    </xf>
    <xf numFmtId="0" fontId="27" fillId="0" borderId="19" xfId="0" applyFont="1" applyFill="1" applyBorder="1" applyAlignment="1">
      <alignment horizontal="justify" vertical="center"/>
    </xf>
    <xf numFmtId="0" fontId="27" fillId="0" borderId="0" xfId="0" applyFont="1" applyFill="1" applyAlignment="1">
      <alignment horizontal="justify"/>
    </xf>
    <xf numFmtId="0" fontId="27" fillId="0" borderId="29" xfId="0" applyFont="1" applyFill="1" applyBorder="1" applyAlignment="1">
      <alignment horizontal="center" vertical="center" wrapText="1"/>
    </xf>
    <xf numFmtId="0" fontId="17" fillId="2" borderId="29" xfId="0" applyFont="1" applyFill="1" applyBorder="1" applyAlignment="1">
      <alignment horizontal="center" vertical="center"/>
    </xf>
    <xf numFmtId="9" fontId="27" fillId="2" borderId="29" xfId="2" applyFont="1" applyFill="1" applyBorder="1" applyAlignment="1">
      <alignment horizontal="center" vertical="center"/>
    </xf>
    <xf numFmtId="43" fontId="27" fillId="2" borderId="29" xfId="1" applyFont="1" applyFill="1" applyBorder="1" applyAlignment="1">
      <alignment horizontal="center" vertical="center"/>
    </xf>
    <xf numFmtId="9" fontId="27" fillId="2" borderId="8" xfId="2" applyFont="1" applyFill="1" applyBorder="1" applyAlignment="1">
      <alignment horizontal="center" vertical="center"/>
    </xf>
    <xf numFmtId="43" fontId="27" fillId="0" borderId="8" xfId="1" applyFont="1" applyFill="1" applyBorder="1" applyAlignment="1">
      <alignment horizontal="center" vertical="center"/>
    </xf>
    <xf numFmtId="3" fontId="27" fillId="0" borderId="29" xfId="0" applyNumberFormat="1" applyFont="1" applyBorder="1" applyAlignment="1">
      <alignment horizontal="center" vertical="center"/>
    </xf>
    <xf numFmtId="0" fontId="27" fillId="2" borderId="0" xfId="0" applyFont="1" applyFill="1" applyAlignment="1">
      <alignment horizontal="center"/>
    </xf>
    <xf numFmtId="0" fontId="27" fillId="2" borderId="19"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29" xfId="0" applyFont="1" applyFill="1" applyBorder="1" applyAlignment="1">
      <alignment horizontal="justify" vertical="center" wrapText="1"/>
    </xf>
    <xf numFmtId="0" fontId="27" fillId="2" borderId="28" xfId="0" applyFont="1" applyFill="1" applyBorder="1" applyAlignment="1">
      <alignment horizontal="center" vertical="center" wrapText="1"/>
    </xf>
    <xf numFmtId="0" fontId="27" fillId="2" borderId="28" xfId="0" applyFont="1" applyFill="1" applyBorder="1" applyAlignment="1">
      <alignment horizontal="justify" vertical="center" wrapText="1"/>
    </xf>
    <xf numFmtId="1" fontId="27" fillId="2" borderId="29" xfId="0" applyNumberFormat="1" applyFont="1" applyFill="1" applyBorder="1" applyAlignment="1">
      <alignment horizontal="center" vertical="center" wrapText="1"/>
    </xf>
    <xf numFmtId="1" fontId="27" fillId="2" borderId="28" xfId="0" applyNumberFormat="1" applyFont="1" applyFill="1" applyBorder="1" applyAlignment="1">
      <alignment horizontal="center" vertical="center" wrapText="1"/>
    </xf>
    <xf numFmtId="43" fontId="27" fillId="0" borderId="29" xfId="1" applyFont="1" applyFill="1" applyBorder="1" applyAlignment="1">
      <alignment horizontal="center" vertical="center" wrapText="1"/>
    </xf>
    <xf numFmtId="0" fontId="27" fillId="2" borderId="23" xfId="0" applyFont="1" applyFill="1" applyBorder="1" applyAlignment="1">
      <alignment horizontal="center"/>
    </xf>
    <xf numFmtId="0" fontId="27" fillId="2" borderId="0" xfId="0" applyFont="1" applyFill="1" applyBorder="1" applyAlignment="1">
      <alignment horizontal="center"/>
    </xf>
    <xf numFmtId="0" fontId="27" fillId="2" borderId="7" xfId="0" applyFont="1" applyFill="1" applyBorder="1" applyAlignment="1">
      <alignment horizontal="center"/>
    </xf>
    <xf numFmtId="1" fontId="26" fillId="2" borderId="22" xfId="0" applyNumberFormat="1" applyFont="1" applyFill="1" applyBorder="1" applyAlignment="1">
      <alignment horizontal="center" vertical="center" wrapText="1"/>
    </xf>
    <xf numFmtId="1" fontId="26" fillId="2" borderId="6" xfId="0" applyNumberFormat="1" applyFont="1" applyFill="1" applyBorder="1" applyAlignment="1">
      <alignment horizontal="center" vertical="center" wrapText="1"/>
    </xf>
    <xf numFmtId="0" fontId="24" fillId="0" borderId="0" xfId="0" applyFont="1" applyAlignment="1">
      <alignment horizontal="center"/>
    </xf>
    <xf numFmtId="9" fontId="27" fillId="2" borderId="19" xfId="2" applyFont="1" applyFill="1" applyBorder="1" applyAlignment="1">
      <alignment horizontal="center" vertical="center"/>
    </xf>
    <xf numFmtId="9" fontId="27" fillId="2" borderId="28" xfId="2" applyFont="1" applyFill="1" applyBorder="1" applyAlignment="1">
      <alignment horizontal="center" vertical="center"/>
    </xf>
    <xf numFmtId="0" fontId="24" fillId="0" borderId="19" xfId="0" applyFont="1" applyBorder="1" applyAlignment="1">
      <alignment horizontal="center" vertical="center"/>
    </xf>
    <xf numFmtId="0" fontId="24" fillId="0" borderId="29" xfId="0" applyFont="1" applyBorder="1" applyAlignment="1">
      <alignment horizontal="center" vertical="center"/>
    </xf>
    <xf numFmtId="0" fontId="27" fillId="2" borderId="8" xfId="0" applyFont="1" applyFill="1" applyBorder="1" applyAlignment="1">
      <alignment horizontal="center" vertical="center"/>
    </xf>
    <xf numFmtId="0" fontId="26" fillId="0" borderId="0" xfId="0" applyFont="1" applyBorder="1" applyAlignment="1">
      <alignment horizontal="center" vertical="center"/>
    </xf>
    <xf numFmtId="43" fontId="27" fillId="2" borderId="28" xfId="1" applyFont="1" applyFill="1" applyBorder="1" applyAlignment="1">
      <alignment horizontal="center" vertical="center"/>
    </xf>
    <xf numFmtId="43" fontId="27" fillId="2" borderId="19" xfId="1" applyFont="1" applyFill="1" applyBorder="1" applyAlignment="1">
      <alignment horizontal="center" vertical="center"/>
    </xf>
    <xf numFmtId="0" fontId="27" fillId="2" borderId="19"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28" xfId="0" applyFont="1" applyFill="1" applyBorder="1" applyAlignment="1">
      <alignment horizontal="center" vertical="center"/>
    </xf>
    <xf numFmtId="1" fontId="27" fillId="2" borderId="8" xfId="0" applyNumberFormat="1" applyFont="1" applyFill="1" applyBorder="1" applyAlignment="1">
      <alignment horizontal="center" vertical="center"/>
    </xf>
    <xf numFmtId="0" fontId="27" fillId="0" borderId="29" xfId="0" applyFont="1" applyFill="1" applyBorder="1" applyAlignment="1">
      <alignment horizontal="center" vertical="center"/>
    </xf>
    <xf numFmtId="1" fontId="27" fillId="2" borderId="19" xfId="0" applyNumberFormat="1" applyFont="1" applyFill="1" applyBorder="1" applyAlignment="1">
      <alignment horizontal="center" vertical="center"/>
    </xf>
    <xf numFmtId="1" fontId="27" fillId="2" borderId="29" xfId="0" applyNumberFormat="1" applyFont="1" applyFill="1" applyBorder="1" applyAlignment="1">
      <alignment horizontal="center" vertical="center"/>
    </xf>
    <xf numFmtId="1" fontId="27" fillId="2" borderId="28" xfId="0" applyNumberFormat="1" applyFont="1" applyFill="1" applyBorder="1" applyAlignment="1">
      <alignment horizontal="center" vertical="center"/>
    </xf>
    <xf numFmtId="43" fontId="17" fillId="0" borderId="28" xfId="1" applyFont="1" applyFill="1" applyBorder="1" applyAlignment="1">
      <alignment horizontal="center" vertical="center"/>
    </xf>
    <xf numFmtId="3" fontId="27" fillId="0" borderId="19" xfId="0" applyNumberFormat="1" applyFont="1" applyFill="1" applyBorder="1" applyAlignment="1">
      <alignment horizontal="center" vertical="center"/>
    </xf>
    <xf numFmtId="3" fontId="27" fillId="0" borderId="28" xfId="0" applyNumberFormat="1" applyFont="1" applyFill="1" applyBorder="1" applyAlignment="1">
      <alignment horizontal="center" vertical="center"/>
    </xf>
    <xf numFmtId="43" fontId="27" fillId="0" borderId="19" xfId="1" applyFont="1" applyFill="1" applyBorder="1" applyAlignment="1">
      <alignment horizontal="center" vertical="center"/>
    </xf>
    <xf numFmtId="43" fontId="27" fillId="0" borderId="29" xfId="1" applyFont="1" applyFill="1" applyBorder="1" applyAlignment="1">
      <alignment horizontal="center" vertical="center"/>
    </xf>
    <xf numFmtId="0" fontId="23" fillId="0" borderId="5" xfId="0" applyFont="1" applyFill="1" applyBorder="1" applyAlignment="1">
      <alignment horizontal="justify" vertical="center"/>
    </xf>
    <xf numFmtId="0" fontId="23" fillId="0" borderId="9" xfId="0" applyFont="1" applyFill="1" applyBorder="1" applyAlignment="1">
      <alignment horizontal="justify" vertical="center"/>
    </xf>
    <xf numFmtId="0" fontId="23" fillId="0" borderId="9" xfId="0" applyFont="1" applyFill="1" applyBorder="1" applyAlignment="1">
      <alignment horizontal="justify" vertical="center" wrapText="1"/>
    </xf>
    <xf numFmtId="3" fontId="25" fillId="0" borderId="9" xfId="0" applyNumberFormat="1" applyFont="1" applyFill="1" applyBorder="1" applyAlignment="1">
      <alignment horizontal="justify" vertical="center" wrapText="1"/>
    </xf>
    <xf numFmtId="0" fontId="26" fillId="2" borderId="27" xfId="0" applyFont="1" applyFill="1" applyBorder="1" applyAlignment="1">
      <alignment horizontal="center" vertical="center"/>
    </xf>
    <xf numFmtId="0" fontId="26" fillId="2" borderId="0" xfId="0" applyFont="1" applyFill="1" applyBorder="1" applyAlignment="1">
      <alignment vertical="center"/>
    </xf>
    <xf numFmtId="0" fontId="26" fillId="2" borderId="0" xfId="0" applyFont="1" applyFill="1" applyBorder="1" applyAlignment="1">
      <alignment horizontal="justify" vertical="center"/>
    </xf>
    <xf numFmtId="0" fontId="26" fillId="0" borderId="38" xfId="0" applyFont="1" applyBorder="1" applyAlignment="1">
      <alignment horizontal="justify" vertical="center"/>
    </xf>
    <xf numFmtId="1" fontId="26" fillId="5" borderId="22" xfId="0" applyNumberFormat="1" applyFont="1" applyFill="1" applyBorder="1" applyAlignment="1">
      <alignment horizontal="left" vertical="center"/>
    </xf>
    <xf numFmtId="0" fontId="26" fillId="5" borderId="23" xfId="0" applyFont="1" applyFill="1" applyBorder="1" applyAlignment="1">
      <alignment horizontal="left" vertical="center"/>
    </xf>
    <xf numFmtId="0" fontId="26" fillId="5" borderId="23" xfId="0" applyFont="1" applyFill="1" applyBorder="1" applyAlignment="1">
      <alignment horizontal="center" vertical="center"/>
    </xf>
    <xf numFmtId="169" fontId="26" fillId="5" borderId="23" xfId="0" applyNumberFormat="1" applyFont="1" applyFill="1" applyBorder="1" applyAlignment="1">
      <alignment horizontal="left" vertical="center"/>
    </xf>
    <xf numFmtId="164" fontId="26" fillId="5" borderId="23" xfId="0" applyNumberFormat="1" applyFont="1" applyFill="1" applyBorder="1" applyAlignment="1">
      <alignment horizontal="left" vertical="center"/>
    </xf>
    <xf numFmtId="165" fontId="26" fillId="5" borderId="23" xfId="0" applyNumberFormat="1" applyFont="1" applyFill="1" applyBorder="1" applyAlignment="1">
      <alignment horizontal="left" vertical="center"/>
    </xf>
    <xf numFmtId="0" fontId="24" fillId="5" borderId="23" xfId="0" applyFont="1" applyFill="1" applyBorder="1"/>
    <xf numFmtId="0" fontId="24" fillId="5" borderId="24" xfId="0" applyFont="1" applyFill="1" applyBorder="1" applyAlignment="1">
      <alignment horizontal="justify"/>
    </xf>
    <xf numFmtId="1" fontId="26" fillId="6" borderId="23" xfId="0" applyNumberFormat="1" applyFont="1" applyFill="1" applyBorder="1" applyAlignment="1">
      <alignment horizontal="left" vertical="center"/>
    </xf>
    <xf numFmtId="0" fontId="26" fillId="6" borderId="23" xfId="0" applyFont="1" applyFill="1" applyBorder="1" applyAlignment="1">
      <alignment horizontal="left" vertical="center"/>
    </xf>
    <xf numFmtId="169" fontId="26" fillId="6" borderId="23" xfId="0" applyNumberFormat="1" applyFont="1" applyFill="1" applyBorder="1" applyAlignment="1">
      <alignment horizontal="left" vertical="center"/>
    </xf>
    <xf numFmtId="164" fontId="26" fillId="6" borderId="23" xfId="0" applyNumberFormat="1" applyFont="1" applyFill="1" applyBorder="1" applyAlignment="1">
      <alignment horizontal="left" vertical="center"/>
    </xf>
    <xf numFmtId="165" fontId="26" fillId="6" borderId="23" xfId="0" applyNumberFormat="1" applyFont="1" applyFill="1" applyBorder="1" applyAlignment="1">
      <alignment horizontal="left" vertical="center"/>
    </xf>
    <xf numFmtId="0" fontId="24" fillId="6" borderId="23" xfId="0" applyFont="1" applyFill="1" applyBorder="1"/>
    <xf numFmtId="0" fontId="24" fillId="6" borderId="24" xfId="0" applyFont="1" applyFill="1" applyBorder="1" applyAlignment="1">
      <alignment horizontal="justify"/>
    </xf>
    <xf numFmtId="0" fontId="26" fillId="2" borderId="31"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0" xfId="0" applyFont="1" applyFill="1" applyBorder="1" applyAlignment="1">
      <alignment horizontal="center" vertical="center"/>
    </xf>
    <xf numFmtId="1" fontId="26" fillId="7" borderId="15" xfId="0" applyNumberFormat="1" applyFont="1" applyFill="1" applyBorder="1" applyAlignment="1">
      <alignment horizontal="left" vertical="center"/>
    </xf>
    <xf numFmtId="169" fontId="26" fillId="7" borderId="15" xfId="0" applyNumberFormat="1" applyFont="1" applyFill="1" applyBorder="1" applyAlignment="1">
      <alignment horizontal="left" vertical="center"/>
    </xf>
    <xf numFmtId="164" fontId="26" fillId="7" borderId="15" xfId="0" applyNumberFormat="1" applyFont="1" applyFill="1" applyBorder="1" applyAlignment="1">
      <alignment horizontal="left" vertical="center"/>
    </xf>
    <xf numFmtId="165" fontId="26" fillId="7" borderId="15" xfId="0" applyNumberFormat="1" applyFont="1" applyFill="1" applyBorder="1" applyAlignment="1">
      <alignment horizontal="left" vertical="center"/>
    </xf>
    <xf numFmtId="0" fontId="24" fillId="7" borderId="15" xfId="0" applyFont="1" applyFill="1" applyBorder="1"/>
    <xf numFmtId="0" fontId="24" fillId="7" borderId="17" xfId="0" applyFont="1" applyFill="1" applyBorder="1" applyAlignment="1">
      <alignment horizontal="justify"/>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27" fillId="2" borderId="7" xfId="0" applyFont="1" applyFill="1" applyBorder="1" applyAlignment="1">
      <alignment horizontal="center" vertical="center"/>
    </xf>
    <xf numFmtId="172" fontId="27" fillId="2" borderId="29" xfId="0" applyNumberFormat="1" applyFont="1" applyFill="1" applyBorder="1" applyAlignment="1">
      <alignment horizontal="center" vertical="center"/>
    </xf>
    <xf numFmtId="0" fontId="27" fillId="0" borderId="29" xfId="0" applyNumberFormat="1" applyFont="1" applyFill="1" applyBorder="1" applyAlignment="1">
      <alignment horizontal="justify" vertical="center"/>
    </xf>
    <xf numFmtId="0" fontId="27" fillId="0" borderId="19" xfId="0" applyNumberFormat="1" applyFont="1" applyFill="1" applyBorder="1" applyAlignment="1">
      <alignment horizontal="justify" vertical="center" wrapText="1"/>
    </xf>
    <xf numFmtId="0" fontId="27" fillId="0" borderId="31" xfId="0" applyNumberFormat="1" applyFont="1" applyFill="1" applyBorder="1" applyAlignment="1">
      <alignment horizontal="justify" vertical="center"/>
    </xf>
    <xf numFmtId="0" fontId="24" fillId="0" borderId="0" xfId="0" applyFont="1" applyAlignment="1">
      <alignment wrapText="1"/>
    </xf>
    <xf numFmtId="0" fontId="27" fillId="2" borderId="28" xfId="0" applyFont="1" applyFill="1" applyBorder="1" applyAlignment="1">
      <alignment horizontal="center" vertical="top" wrapText="1"/>
    </xf>
    <xf numFmtId="1" fontId="26" fillId="2" borderId="6" xfId="0" applyNumberFormat="1" applyFont="1" applyFill="1" applyBorder="1" applyAlignment="1">
      <alignment horizontal="justify" vertical="center"/>
    </xf>
    <xf numFmtId="1" fontId="26" fillId="2" borderId="0" xfId="0" applyNumberFormat="1" applyFont="1" applyFill="1" applyBorder="1" applyAlignment="1">
      <alignment horizontal="justify" vertical="center"/>
    </xf>
    <xf numFmtId="1" fontId="26" fillId="2" borderId="27" xfId="0" applyNumberFormat="1" applyFont="1" applyFill="1" applyBorder="1" applyAlignment="1">
      <alignment horizontal="justify" vertical="center"/>
    </xf>
    <xf numFmtId="1" fontId="26" fillId="2" borderId="7" xfId="0" applyNumberFormat="1" applyFont="1" applyFill="1" applyBorder="1" applyAlignment="1">
      <alignment horizontal="justify" vertical="center"/>
    </xf>
    <xf numFmtId="1" fontId="26" fillId="7" borderId="23" xfId="0" applyNumberFormat="1" applyFont="1" applyFill="1" applyBorder="1" applyAlignment="1">
      <alignment horizontal="justify" vertical="center"/>
    </xf>
    <xf numFmtId="43" fontId="26" fillId="7" borderId="15" xfId="1" applyFont="1" applyFill="1" applyBorder="1" applyAlignment="1">
      <alignment vertical="center"/>
    </xf>
    <xf numFmtId="1" fontId="27" fillId="2" borderId="6" xfId="0" applyNumberFormat="1" applyFont="1" applyFill="1" applyBorder="1" applyAlignment="1">
      <alignment horizontal="justify" vertical="center"/>
    </xf>
    <xf numFmtId="1" fontId="27" fillId="2" borderId="0" xfId="0" applyNumberFormat="1" applyFont="1" applyFill="1" applyBorder="1" applyAlignment="1">
      <alignment horizontal="justify" vertical="center"/>
    </xf>
    <xf numFmtId="0" fontId="27" fillId="2" borderId="27" xfId="0" applyFont="1" applyFill="1" applyBorder="1" applyAlignment="1">
      <alignment horizontal="justify" vertical="center"/>
    </xf>
    <xf numFmtId="0" fontId="27" fillId="2" borderId="31" xfId="0" applyFont="1" applyFill="1" applyBorder="1" applyAlignment="1">
      <alignment horizontal="justify" vertical="center"/>
    </xf>
    <xf numFmtId="0" fontId="27" fillId="2" borderId="23" xfId="0" applyFont="1" applyFill="1" applyBorder="1" applyAlignment="1">
      <alignment horizontal="justify" vertical="center"/>
    </xf>
    <xf numFmtId="0" fontId="27" fillId="2" borderId="20" xfId="0" applyFont="1" applyFill="1" applyBorder="1" applyAlignment="1">
      <alignment horizontal="justify" vertical="center"/>
    </xf>
    <xf numFmtId="0" fontId="27" fillId="2" borderId="12" xfId="0" applyFont="1" applyFill="1" applyBorder="1" applyAlignment="1">
      <alignment horizontal="center" vertical="center"/>
    </xf>
    <xf numFmtId="0" fontId="27" fillId="2" borderId="28" xfId="0" applyFont="1" applyFill="1" applyBorder="1" applyAlignment="1">
      <alignment horizontal="justify" vertical="center"/>
    </xf>
    <xf numFmtId="0" fontId="27" fillId="0" borderId="28" xfId="0" applyFont="1" applyFill="1" applyBorder="1" applyAlignment="1">
      <alignment horizontal="justify" vertical="center"/>
    </xf>
    <xf numFmtId="0" fontId="27" fillId="2" borderId="7" xfId="0" applyFont="1" applyFill="1" applyBorder="1" applyAlignment="1">
      <alignment horizontal="justify" vertical="center"/>
    </xf>
    <xf numFmtId="0" fontId="27" fillId="2" borderId="16" xfId="0" applyFont="1" applyFill="1" applyBorder="1" applyAlignment="1">
      <alignment horizontal="center" vertical="center"/>
    </xf>
    <xf numFmtId="1" fontId="33" fillId="2" borderId="6" xfId="0" applyNumberFormat="1" applyFont="1" applyFill="1" applyBorder="1" applyAlignment="1">
      <alignment horizontal="justify" vertical="center"/>
    </xf>
    <xf numFmtId="1" fontId="33" fillId="2" borderId="0" xfId="0" applyNumberFormat="1" applyFont="1" applyFill="1" applyBorder="1" applyAlignment="1">
      <alignment horizontal="justify" vertical="center"/>
    </xf>
    <xf numFmtId="0" fontId="33" fillId="2" borderId="27" xfId="0" applyFont="1" applyFill="1" applyBorder="1" applyAlignment="1">
      <alignment horizontal="justify" vertical="center"/>
    </xf>
    <xf numFmtId="0" fontId="33" fillId="2" borderId="0" xfId="0" applyFont="1" applyFill="1" applyBorder="1" applyAlignment="1">
      <alignment horizontal="justify" vertical="center"/>
    </xf>
    <xf numFmtId="0" fontId="33" fillId="2" borderId="7" xfId="0" applyFont="1" applyFill="1" applyBorder="1" applyAlignment="1">
      <alignment horizontal="justify" vertical="center"/>
    </xf>
    <xf numFmtId="172" fontId="17" fillId="2" borderId="19" xfId="2" applyNumberFormat="1" applyFont="1" applyFill="1" applyBorder="1" applyAlignment="1">
      <alignment horizontal="center" vertical="center"/>
    </xf>
    <xf numFmtId="1" fontId="17" fillId="2" borderId="29" xfId="0" applyNumberFormat="1" applyFont="1" applyFill="1" applyBorder="1" applyAlignment="1">
      <alignment horizontal="center" vertical="center"/>
    </xf>
    <xf numFmtId="0" fontId="41" fillId="0" borderId="0" xfId="0" applyFont="1"/>
    <xf numFmtId="172" fontId="17" fillId="2" borderId="29" xfId="2" applyNumberFormat="1" applyFont="1" applyFill="1" applyBorder="1" applyAlignment="1">
      <alignment horizontal="center" vertical="center"/>
    </xf>
    <xf numFmtId="0" fontId="27" fillId="2" borderId="20" xfId="0" applyFont="1" applyFill="1" applyBorder="1" applyAlignment="1">
      <alignment horizontal="center" vertical="center"/>
    </xf>
    <xf numFmtId="0" fontId="27" fillId="2" borderId="19" xfId="0" applyFont="1" applyFill="1" applyBorder="1" applyAlignment="1">
      <alignment horizontal="justify" vertical="center"/>
    </xf>
    <xf numFmtId="0" fontId="27" fillId="2" borderId="25" xfId="0" applyFont="1" applyFill="1" applyBorder="1" applyAlignment="1">
      <alignment horizontal="justify" vertical="center"/>
    </xf>
    <xf numFmtId="0" fontId="27" fillId="2" borderId="11" xfId="0" applyFont="1" applyFill="1" applyBorder="1" applyAlignment="1">
      <alignment horizontal="justify" vertical="center"/>
    </xf>
    <xf numFmtId="0" fontId="27" fillId="2" borderId="12" xfId="0" applyFont="1" applyFill="1" applyBorder="1" applyAlignment="1">
      <alignment horizontal="justify" vertical="center"/>
    </xf>
    <xf numFmtId="1" fontId="27" fillId="2" borderId="31" xfId="0" applyNumberFormat="1" applyFont="1" applyFill="1" applyBorder="1" applyAlignment="1">
      <alignment horizontal="center" vertical="center"/>
    </xf>
    <xf numFmtId="1" fontId="24" fillId="0" borderId="19" xfId="0" applyNumberFormat="1" applyFont="1" applyBorder="1" applyAlignment="1">
      <alignment horizontal="center" vertical="center"/>
    </xf>
    <xf numFmtId="14" fontId="24" fillId="0" borderId="19" xfId="0" applyNumberFormat="1" applyFont="1" applyBorder="1" applyAlignment="1">
      <alignment vertical="center" wrapText="1"/>
    </xf>
    <xf numFmtId="0" fontId="26" fillId="6" borderId="0" xfId="0" applyFont="1" applyFill="1" applyBorder="1" applyAlignment="1">
      <alignment horizontal="left" vertical="center"/>
    </xf>
    <xf numFmtId="169" fontId="26" fillId="6" borderId="23" xfId="0" applyNumberFormat="1" applyFont="1" applyFill="1" applyBorder="1" applyAlignment="1">
      <alignment horizontal="center" vertical="center"/>
    </xf>
    <xf numFmtId="43" fontId="26" fillId="6" borderId="23" xfId="1" applyFont="1" applyFill="1" applyBorder="1" applyAlignment="1">
      <alignment vertical="center"/>
    </xf>
    <xf numFmtId="43" fontId="26" fillId="6" borderId="23" xfId="1" applyFont="1" applyFill="1" applyBorder="1" applyAlignment="1">
      <alignment horizontal="center" vertical="center"/>
    </xf>
    <xf numFmtId="166" fontId="26" fillId="6" borderId="23" xfId="0" applyNumberFormat="1" applyFont="1" applyFill="1" applyBorder="1" applyAlignment="1">
      <alignment horizontal="center" vertical="center"/>
    </xf>
    <xf numFmtId="165" fontId="26" fillId="6" borderId="23" xfId="0" applyNumberFormat="1" applyFont="1" applyFill="1" applyBorder="1" applyAlignment="1">
      <alignment horizontal="center" vertical="center"/>
    </xf>
    <xf numFmtId="0" fontId="26" fillId="2" borderId="31" xfId="0" applyFont="1" applyFill="1" applyBorder="1" applyAlignment="1">
      <alignment horizontal="justify" vertical="center"/>
    </xf>
    <xf numFmtId="0" fontId="26" fillId="2" borderId="23" xfId="0" applyFont="1" applyFill="1" applyBorder="1" applyAlignment="1">
      <alignment horizontal="justify" vertical="center"/>
    </xf>
    <xf numFmtId="0" fontId="26" fillId="2" borderId="20" xfId="0" applyFont="1" applyFill="1" applyBorder="1" applyAlignment="1">
      <alignment horizontal="justify" vertical="center"/>
    </xf>
    <xf numFmtId="1" fontId="26" fillId="7" borderId="15" xfId="0" applyNumberFormat="1" applyFont="1" applyFill="1" applyBorder="1" applyAlignment="1">
      <alignment horizontal="justify" vertical="center"/>
    </xf>
    <xf numFmtId="0" fontId="27" fillId="2" borderId="6" xfId="0" applyFont="1" applyFill="1" applyBorder="1" applyAlignment="1">
      <alignment horizontal="justify"/>
    </xf>
    <xf numFmtId="0" fontId="26" fillId="2" borderId="27" xfId="0" applyFont="1" applyFill="1" applyBorder="1" applyAlignment="1">
      <alignment horizontal="justify" vertical="center"/>
    </xf>
    <xf numFmtId="0" fontId="26" fillId="2" borderId="7" xfId="0" applyFont="1" applyFill="1" applyBorder="1" applyAlignment="1">
      <alignment horizontal="justify" vertical="center"/>
    </xf>
    <xf numFmtId="0" fontId="27" fillId="2" borderId="29" xfId="0" applyFont="1" applyFill="1" applyBorder="1" applyAlignment="1">
      <alignment horizontal="center"/>
    </xf>
    <xf numFmtId="0" fontId="27" fillId="0" borderId="29" xfId="0" applyFont="1" applyFill="1" applyBorder="1" applyAlignment="1">
      <alignment horizontal="justify" vertical="center"/>
    </xf>
    <xf numFmtId="0" fontId="27" fillId="2" borderId="6" xfId="0" applyFont="1" applyFill="1" applyBorder="1" applyAlignment="1">
      <alignment horizontal="justify" vertical="center"/>
    </xf>
    <xf numFmtId="0" fontId="27" fillId="2" borderId="29" xfId="0" applyFont="1" applyFill="1" applyBorder="1" applyAlignment="1">
      <alignment horizontal="center" vertical="top"/>
    </xf>
    <xf numFmtId="164" fontId="27" fillId="0" borderId="8" xfId="0" applyNumberFormat="1" applyFont="1" applyFill="1" applyBorder="1" applyAlignment="1">
      <alignment horizontal="center" vertical="center"/>
    </xf>
    <xf numFmtId="0" fontId="27" fillId="2" borderId="6" xfId="0" applyFont="1" applyFill="1" applyBorder="1" applyAlignment="1"/>
    <xf numFmtId="0" fontId="26" fillId="2" borderId="27" xfId="0" applyFont="1" applyFill="1" applyBorder="1" applyAlignment="1">
      <alignment vertical="center"/>
    </xf>
    <xf numFmtId="0" fontId="26" fillId="2" borderId="7" xfId="0" applyFont="1" applyFill="1" applyBorder="1" applyAlignment="1">
      <alignment vertical="center"/>
    </xf>
    <xf numFmtId="10" fontId="27" fillId="0" borderId="27" xfId="2" applyNumberFormat="1" applyFont="1" applyFill="1" applyBorder="1" applyAlignment="1">
      <alignment horizontal="center" vertical="center"/>
    </xf>
    <xf numFmtId="10" fontId="27" fillId="0" borderId="14" xfId="2" applyNumberFormat="1" applyFont="1" applyFill="1" applyBorder="1" applyAlignment="1">
      <alignment horizontal="center" vertical="center"/>
    </xf>
    <xf numFmtId="10" fontId="27" fillId="0" borderId="31" xfId="2" applyNumberFormat="1" applyFont="1" applyFill="1" applyBorder="1" applyAlignment="1">
      <alignment horizontal="center" vertical="center"/>
    </xf>
    <xf numFmtId="0" fontId="27" fillId="2" borderId="19" xfId="0" applyFont="1" applyFill="1" applyBorder="1" applyAlignment="1">
      <alignment horizontal="center"/>
    </xf>
    <xf numFmtId="9" fontId="27" fillId="2" borderId="25" xfId="2" applyFont="1" applyFill="1" applyBorder="1" applyAlignment="1">
      <alignment horizontal="center" vertical="center"/>
    </xf>
    <xf numFmtId="9" fontId="27" fillId="2" borderId="14" xfId="2" applyFont="1" applyFill="1" applyBorder="1" applyAlignment="1">
      <alignment horizontal="center" vertical="center"/>
    </xf>
    <xf numFmtId="9" fontId="27" fillId="2" borderId="31" xfId="2" applyFont="1" applyFill="1" applyBorder="1" applyAlignment="1">
      <alignment horizontal="center" vertical="center"/>
    </xf>
    <xf numFmtId="3" fontId="27" fillId="0" borderId="25" xfId="0" applyNumberFormat="1" applyFont="1" applyFill="1" applyBorder="1" applyAlignment="1">
      <alignment horizontal="center" vertical="center"/>
    </xf>
    <xf numFmtId="3" fontId="27" fillId="0" borderId="31" xfId="0" applyNumberFormat="1" applyFont="1" applyFill="1" applyBorder="1" applyAlignment="1">
      <alignment horizontal="center" vertical="center"/>
    </xf>
    <xf numFmtId="0" fontId="27" fillId="2" borderId="28" xfId="0" applyFont="1" applyFill="1" applyBorder="1" applyAlignment="1">
      <alignment horizontal="center"/>
    </xf>
    <xf numFmtId="0" fontId="27" fillId="2" borderId="6" xfId="0" applyFont="1" applyFill="1" applyBorder="1" applyAlignment="1">
      <alignment vertical="center"/>
    </xf>
    <xf numFmtId="0" fontId="27" fillId="2" borderId="0" xfId="0" applyFont="1" applyFill="1" applyBorder="1" applyAlignment="1">
      <alignment vertical="center"/>
    </xf>
    <xf numFmtId="0" fontId="27" fillId="2" borderId="27" xfId="0" applyFont="1" applyFill="1" applyBorder="1" applyAlignment="1">
      <alignment vertical="center"/>
    </xf>
    <xf numFmtId="0" fontId="27" fillId="2" borderId="7" xfId="0" applyFont="1" applyFill="1" applyBorder="1" applyAlignment="1">
      <alignment vertical="center"/>
    </xf>
    <xf numFmtId="0" fontId="24" fillId="0" borderId="0" xfId="0" applyFont="1" applyBorder="1" applyAlignment="1">
      <alignment horizontal="center" vertical="top"/>
    </xf>
    <xf numFmtId="0" fontId="27" fillId="2" borderId="25" xfId="0" applyFont="1" applyFill="1" applyBorder="1" applyAlignment="1">
      <alignment vertical="center"/>
    </xf>
    <xf numFmtId="0" fontId="27" fillId="2" borderId="11" xfId="0" applyFont="1" applyFill="1" applyBorder="1" applyAlignment="1">
      <alignment vertical="center"/>
    </xf>
    <xf numFmtId="0" fontId="27" fillId="2" borderId="12" xfId="0" applyFont="1" applyFill="1" applyBorder="1" applyAlignment="1">
      <alignment vertical="center"/>
    </xf>
    <xf numFmtId="1" fontId="26" fillId="2" borderId="6" xfId="0" applyNumberFormat="1" applyFont="1" applyFill="1" applyBorder="1" applyAlignment="1">
      <alignment vertical="center" wrapText="1"/>
    </xf>
    <xf numFmtId="1" fontId="26" fillId="2" borderId="0" xfId="0" applyNumberFormat="1" applyFont="1" applyFill="1" applyBorder="1" applyAlignment="1">
      <alignment vertical="center" wrapText="1"/>
    </xf>
    <xf numFmtId="1" fontId="26" fillId="2" borderId="7" xfId="0" applyNumberFormat="1" applyFont="1" applyFill="1" applyBorder="1" applyAlignment="1">
      <alignment vertical="center" wrapText="1"/>
    </xf>
    <xf numFmtId="169" fontId="26" fillId="6" borderId="15" xfId="0" applyNumberFormat="1" applyFont="1" applyFill="1" applyBorder="1" applyAlignment="1">
      <alignment horizontal="center" vertical="center"/>
    </xf>
    <xf numFmtId="165" fontId="26" fillId="6" borderId="15" xfId="0" applyNumberFormat="1" applyFont="1" applyFill="1" applyBorder="1" applyAlignment="1">
      <alignment horizontal="center" vertical="center"/>
    </xf>
    <xf numFmtId="0" fontId="24" fillId="6" borderId="15" xfId="0" applyFont="1" applyFill="1" applyBorder="1"/>
    <xf numFmtId="0" fontId="24" fillId="4" borderId="15" xfId="0" applyFont="1" applyFill="1" applyBorder="1"/>
    <xf numFmtId="0" fontId="24" fillId="4" borderId="17" xfId="0" applyFont="1" applyFill="1" applyBorder="1" applyAlignment="1">
      <alignment horizontal="justify"/>
    </xf>
    <xf numFmtId="1" fontId="26" fillId="7" borderId="11" xfId="0" applyNumberFormat="1" applyFont="1" applyFill="1" applyBorder="1" applyAlignment="1">
      <alignment horizontal="justify" vertical="center"/>
    </xf>
    <xf numFmtId="0" fontId="26" fillId="7" borderId="25" xfId="0" applyFont="1" applyFill="1" applyBorder="1" applyAlignment="1">
      <alignment horizontal="left" vertical="center"/>
    </xf>
    <xf numFmtId="0" fontId="26" fillId="7" borderId="11" xfId="0" applyFont="1" applyFill="1" applyBorder="1" applyAlignment="1">
      <alignment horizontal="left" vertical="center"/>
    </xf>
    <xf numFmtId="43" fontId="26" fillId="7" borderId="11" xfId="1" applyFont="1" applyFill="1" applyBorder="1" applyAlignment="1">
      <alignment vertical="center"/>
    </xf>
    <xf numFmtId="0" fontId="24" fillId="7" borderId="11" xfId="0" applyFont="1" applyFill="1" applyBorder="1"/>
    <xf numFmtId="0" fontId="24" fillId="7" borderId="26" xfId="0" applyFont="1" applyFill="1" applyBorder="1" applyAlignment="1">
      <alignment horizontal="justify"/>
    </xf>
    <xf numFmtId="164" fontId="27" fillId="0" borderId="8" xfId="0" applyNumberFormat="1" applyFont="1" applyFill="1" applyBorder="1" applyAlignment="1">
      <alignment horizontal="justify" vertical="center"/>
    </xf>
    <xf numFmtId="164" fontId="27" fillId="2" borderId="28" xfId="0" applyNumberFormat="1" applyFont="1" applyFill="1" applyBorder="1" applyAlignment="1">
      <alignment horizontal="center" vertical="center"/>
    </xf>
    <xf numFmtId="0" fontId="24" fillId="0" borderId="21" xfId="0" applyFont="1" applyBorder="1" applyAlignment="1">
      <alignment horizontal="justify" vertical="center" wrapText="1"/>
    </xf>
    <xf numFmtId="1" fontId="26" fillId="2" borderId="6" xfId="0" applyNumberFormat="1" applyFont="1" applyFill="1" applyBorder="1" applyAlignment="1">
      <alignment vertical="center"/>
    </xf>
    <xf numFmtId="1" fontId="26" fillId="2" borderId="0" xfId="0" applyNumberFormat="1" applyFont="1" applyFill="1" applyBorder="1" applyAlignment="1">
      <alignment vertical="center"/>
    </xf>
    <xf numFmtId="1" fontId="26" fillId="2" borderId="27" xfId="0" applyNumberFormat="1" applyFont="1" applyFill="1" applyBorder="1" applyAlignment="1">
      <alignment vertical="center"/>
    </xf>
    <xf numFmtId="1" fontId="26" fillId="2" borderId="7" xfId="0" applyNumberFormat="1" applyFont="1" applyFill="1" applyBorder="1" applyAlignment="1">
      <alignment vertical="center"/>
    </xf>
    <xf numFmtId="43" fontId="26" fillId="7" borderId="15" xfId="1" applyFont="1" applyFill="1" applyBorder="1" applyAlignment="1">
      <alignment horizontal="left" vertical="center"/>
    </xf>
    <xf numFmtId="43" fontId="26" fillId="7" borderId="15" xfId="1" applyFont="1" applyFill="1" applyBorder="1" applyAlignment="1">
      <alignment horizontal="justify" vertical="center"/>
    </xf>
    <xf numFmtId="0" fontId="27" fillId="2" borderId="27" xfId="0" applyFont="1" applyFill="1" applyBorder="1" applyAlignment="1"/>
    <xf numFmtId="0" fontId="27" fillId="2" borderId="7" xfId="0" applyFont="1" applyFill="1" applyBorder="1" applyAlignment="1"/>
    <xf numFmtId="43" fontId="27" fillId="0" borderId="28" xfId="1" applyFont="1" applyFill="1" applyBorder="1" applyAlignment="1">
      <alignment horizontal="center" vertical="center"/>
    </xf>
    <xf numFmtId="0" fontId="27" fillId="2" borderId="25" xfId="0" applyFont="1" applyFill="1" applyBorder="1" applyAlignment="1"/>
    <xf numFmtId="0" fontId="27" fillId="2" borderId="11" xfId="0" applyFont="1" applyFill="1" applyBorder="1" applyAlignment="1"/>
    <xf numFmtId="0" fontId="27" fillId="2" borderId="12" xfId="0" applyFont="1" applyFill="1" applyBorder="1" applyAlignment="1"/>
    <xf numFmtId="9" fontId="27" fillId="0" borderId="31" xfId="2" applyFont="1" applyFill="1" applyBorder="1" applyAlignment="1">
      <alignment horizontal="center" vertical="center"/>
    </xf>
    <xf numFmtId="14" fontId="24" fillId="0" borderId="19" xfId="0" applyNumberFormat="1" applyFont="1" applyBorder="1" applyAlignment="1">
      <alignment vertical="center"/>
    </xf>
    <xf numFmtId="1" fontId="26" fillId="6" borderId="23" xfId="0" applyNumberFormat="1" applyFont="1" applyFill="1" applyBorder="1" applyAlignment="1">
      <alignment horizontal="center" vertical="center"/>
    </xf>
    <xf numFmtId="1" fontId="24" fillId="6" borderId="23" xfId="0" applyNumberFormat="1" applyFont="1" applyFill="1" applyBorder="1"/>
    <xf numFmtId="0" fontId="24" fillId="4" borderId="23" xfId="0" applyFont="1" applyFill="1" applyBorder="1"/>
    <xf numFmtId="0" fontId="24" fillId="4" borderId="24" xfId="0" applyFont="1" applyFill="1" applyBorder="1" applyAlignment="1">
      <alignment horizontal="justify"/>
    </xf>
    <xf numFmtId="0" fontId="26" fillId="2" borderId="31" xfId="0" applyFont="1" applyFill="1" applyBorder="1" applyAlignment="1">
      <alignment vertical="center" wrapText="1"/>
    </xf>
    <xf numFmtId="0" fontId="26" fillId="2" borderId="23" xfId="0" applyFont="1" applyFill="1" applyBorder="1" applyAlignment="1">
      <alignment vertical="center" wrapText="1"/>
    </xf>
    <xf numFmtId="0" fontId="26" fillId="2" borderId="20" xfId="0" applyFont="1" applyFill="1" applyBorder="1" applyAlignment="1">
      <alignment vertical="center" wrapText="1"/>
    </xf>
    <xf numFmtId="0" fontId="26" fillId="2" borderId="0" xfId="0" applyFont="1" applyFill="1" applyBorder="1" applyAlignment="1">
      <alignment vertical="center" wrapText="1"/>
    </xf>
    <xf numFmtId="1" fontId="26" fillId="2" borderId="27" xfId="0" applyNumberFormat="1" applyFont="1" applyFill="1" applyBorder="1" applyAlignment="1">
      <alignment vertical="center" wrapText="1"/>
    </xf>
    <xf numFmtId="0" fontId="27" fillId="2" borderId="29" xfId="0" applyFont="1" applyFill="1" applyBorder="1" applyAlignment="1">
      <alignment horizontal="justify" vertical="center"/>
    </xf>
    <xf numFmtId="0" fontId="27" fillId="2" borderId="29" xfId="0" applyFont="1" applyFill="1" applyBorder="1" applyAlignment="1">
      <alignment horizontal="justify"/>
    </xf>
    <xf numFmtId="1" fontId="27" fillId="2" borderId="27" xfId="0" applyNumberFormat="1" applyFont="1" applyFill="1" applyBorder="1" applyAlignment="1">
      <alignment horizontal="center" vertical="center"/>
    </xf>
    <xf numFmtId="1" fontId="24" fillId="0" borderId="29" xfId="0" applyNumberFormat="1" applyFont="1" applyBorder="1" applyAlignment="1">
      <alignment horizontal="center" vertical="center"/>
    </xf>
    <xf numFmtId="14" fontId="24" fillId="0" borderId="29" xfId="0" applyNumberFormat="1" applyFont="1" applyBorder="1" applyAlignment="1">
      <alignment vertical="center"/>
    </xf>
    <xf numFmtId="0" fontId="24" fillId="0" borderId="37" xfId="0" applyFont="1" applyBorder="1" applyAlignment="1">
      <alignment horizontal="justify" vertical="center" wrapText="1"/>
    </xf>
    <xf numFmtId="9" fontId="27" fillId="0" borderId="29" xfId="22" applyNumberFormat="1" applyFont="1" applyFill="1" applyBorder="1" applyAlignment="1">
      <alignment horizontal="center" vertical="center"/>
    </xf>
    <xf numFmtId="43" fontId="26" fillId="7" borderId="15" xfId="1" applyFont="1" applyFill="1" applyBorder="1" applyAlignment="1">
      <alignment horizontal="center" vertical="center"/>
    </xf>
    <xf numFmtId="166" fontId="26" fillId="7" borderId="15" xfId="0" applyNumberFormat="1" applyFont="1" applyFill="1" applyBorder="1" applyAlignment="1">
      <alignment horizontal="center" vertical="center"/>
    </xf>
    <xf numFmtId="0" fontId="26" fillId="2" borderId="11" xfId="0" applyFont="1" applyFill="1" applyBorder="1" applyAlignment="1">
      <alignment vertical="center" wrapText="1"/>
    </xf>
    <xf numFmtId="0" fontId="26" fillId="2" borderId="23" xfId="0" applyFont="1" applyFill="1" applyBorder="1" applyAlignment="1">
      <alignment vertical="center"/>
    </xf>
    <xf numFmtId="0" fontId="26" fillId="2" borderId="20" xfId="0" applyFont="1" applyFill="1" applyBorder="1" applyAlignment="1">
      <alignment vertical="center"/>
    </xf>
    <xf numFmtId="0" fontId="27" fillId="0" borderId="33" xfId="0" applyFont="1" applyFill="1" applyBorder="1" applyAlignment="1">
      <alignment horizontal="center"/>
    </xf>
    <xf numFmtId="169" fontId="27" fillId="0" borderId="34" xfId="0" applyNumberFormat="1" applyFont="1" applyFill="1" applyBorder="1" applyAlignment="1">
      <alignment horizontal="center" vertical="center"/>
    </xf>
    <xf numFmtId="0" fontId="27" fillId="0" borderId="32" xfId="0" applyFont="1" applyFill="1" applyBorder="1"/>
    <xf numFmtId="0" fontId="24" fillId="0" borderId="33" xfId="0" applyFont="1" applyFill="1" applyBorder="1"/>
    <xf numFmtId="0" fontId="24" fillId="0" borderId="34" xfId="0" applyFont="1" applyFill="1" applyBorder="1" applyAlignment="1">
      <alignment horizontal="justify"/>
    </xf>
    <xf numFmtId="0" fontId="27" fillId="0" borderId="0" xfId="0" applyFont="1" applyFill="1" applyAlignment="1">
      <alignment horizontal="center"/>
    </xf>
    <xf numFmtId="169" fontId="27" fillId="0" borderId="0" xfId="0" applyNumberFormat="1" applyFont="1" applyFill="1" applyAlignment="1">
      <alignment horizontal="center" vertical="center"/>
    </xf>
    <xf numFmtId="164" fontId="17" fillId="0" borderId="0" xfId="23" applyNumberFormat="1" applyFont="1" applyFill="1" applyBorder="1" applyAlignment="1">
      <alignment horizontal="center" vertical="center"/>
    </xf>
    <xf numFmtId="0" fontId="24" fillId="0" borderId="0" xfId="0" applyFont="1" applyFill="1" applyAlignment="1">
      <alignment horizontal="justify"/>
    </xf>
    <xf numFmtId="4" fontId="15" fillId="2" borderId="0" xfId="17" applyNumberFormat="1" applyFont="1" applyFill="1" applyBorder="1" applyAlignment="1">
      <alignment horizontal="right" vertical="center"/>
    </xf>
    <xf numFmtId="0" fontId="33" fillId="0" borderId="0" xfId="0" applyFont="1" applyAlignment="1">
      <alignment horizontal="justify"/>
    </xf>
    <xf numFmtId="164" fontId="27" fillId="0" borderId="0" xfId="0" applyNumberFormat="1" applyFont="1" applyAlignment="1">
      <alignment horizontal="right"/>
    </xf>
    <xf numFmtId="42" fontId="33" fillId="0" borderId="0" xfId="23" applyFont="1" applyFill="1" applyBorder="1" applyAlignment="1">
      <alignment horizontal="justify"/>
    </xf>
    <xf numFmtId="42" fontId="33" fillId="0" borderId="0" xfId="23" applyFont="1" applyFill="1" applyBorder="1"/>
    <xf numFmtId="164" fontId="27" fillId="0" borderId="0" xfId="0" applyNumberFormat="1" applyFont="1" applyAlignment="1">
      <alignment horizontal="justify"/>
    </xf>
    <xf numFmtId="42" fontId="27" fillId="0" borderId="0" xfId="23" applyFont="1" applyAlignment="1">
      <alignment horizontal="justify"/>
    </xf>
    <xf numFmtId="42" fontId="33" fillId="0" borderId="0" xfId="23" applyFont="1" applyAlignment="1">
      <alignment horizontal="justify"/>
    </xf>
    <xf numFmtId="42" fontId="33" fillId="0" borderId="0" xfId="23" applyFont="1"/>
    <xf numFmtId="164" fontId="27" fillId="0" borderId="0" xfId="0" applyNumberFormat="1" applyFont="1" applyFill="1" applyBorder="1" applyAlignment="1">
      <alignment vertical="center"/>
    </xf>
    <xf numFmtId="43" fontId="27" fillId="0" borderId="28" xfId="1"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0" xfId="0" applyFont="1" applyFill="1" applyBorder="1" applyAlignment="1">
      <alignment horizontal="center" vertical="center" wrapText="1"/>
    </xf>
    <xf numFmtId="3" fontId="27" fillId="2" borderId="21" xfId="0" applyNumberFormat="1" applyFont="1" applyFill="1" applyBorder="1" applyAlignment="1">
      <alignment horizontal="center" vertical="center" wrapText="1"/>
    </xf>
    <xf numFmtId="0" fontId="27" fillId="2" borderId="8" xfId="0" applyFont="1" applyFill="1" applyBorder="1" applyAlignment="1">
      <alignment horizontal="justify" vertical="center" wrapText="1"/>
    </xf>
    <xf numFmtId="0" fontId="27" fillId="0" borderId="8" xfId="0" applyFont="1" applyFill="1" applyBorder="1" applyAlignment="1">
      <alignment horizontal="justify" vertical="center"/>
    </xf>
    <xf numFmtId="0" fontId="26" fillId="5" borderId="15" xfId="0" applyFont="1" applyFill="1" applyBorder="1" applyAlignment="1">
      <alignment horizontal="left" vertical="center"/>
    </xf>
    <xf numFmtId="1" fontId="27" fillId="2" borderId="8" xfId="0" applyNumberFormat="1" applyFont="1" applyFill="1" applyBorder="1" applyAlignment="1">
      <alignment horizontal="center" vertical="center" wrapText="1"/>
    </xf>
    <xf numFmtId="43" fontId="27" fillId="2" borderId="8" xfId="1"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0" xfId="0" applyFont="1" applyFill="1" applyAlignment="1">
      <alignment horizontal="center"/>
    </xf>
    <xf numFmtId="1" fontId="27" fillId="2" borderId="28" xfId="0" applyNumberFormat="1" applyFont="1" applyFill="1" applyBorder="1" applyAlignment="1">
      <alignment horizontal="center" vertical="center" wrapText="1"/>
    </xf>
    <xf numFmtId="3" fontId="27" fillId="2" borderId="37" xfId="0" applyNumberFormat="1" applyFont="1" applyFill="1" applyBorder="1" applyAlignment="1">
      <alignment horizontal="justify" vertical="center" wrapText="1"/>
    </xf>
    <xf numFmtId="0" fontId="27" fillId="2" borderId="8" xfId="0" applyFont="1" applyFill="1" applyBorder="1" applyAlignment="1">
      <alignment horizontal="center" vertical="center" wrapText="1"/>
    </xf>
    <xf numFmtId="9" fontId="27" fillId="2" borderId="8" xfId="0" applyNumberFormat="1" applyFont="1" applyFill="1" applyBorder="1" applyAlignment="1">
      <alignment horizontal="center" vertical="center" wrapText="1"/>
    </xf>
    <xf numFmtId="43" fontId="27" fillId="2" borderId="28" xfId="1" applyFont="1" applyFill="1" applyBorder="1" applyAlignment="1">
      <alignment horizontal="center" vertical="center" wrapText="1"/>
    </xf>
    <xf numFmtId="3" fontId="27" fillId="2" borderId="37" xfId="0" applyNumberFormat="1" applyFont="1" applyFill="1" applyBorder="1" applyAlignment="1">
      <alignment horizontal="center" vertical="center" wrapText="1"/>
    </xf>
    <xf numFmtId="0" fontId="42" fillId="3" borderId="8" xfId="0" applyFont="1" applyFill="1" applyBorder="1" applyAlignment="1">
      <alignment horizontal="center" vertical="center" textRotation="90" wrapText="1"/>
    </xf>
    <xf numFmtId="49" fontId="42" fillId="3" borderId="8" xfId="0" applyNumberFormat="1" applyFont="1" applyFill="1" applyBorder="1" applyAlignment="1">
      <alignment horizontal="center" vertical="center" textRotation="90" wrapText="1"/>
    </xf>
    <xf numFmtId="0" fontId="26" fillId="5" borderId="13" xfId="0" applyFont="1" applyFill="1" applyBorder="1" applyAlignment="1">
      <alignment horizontal="center" vertical="center" wrapText="1"/>
    </xf>
    <xf numFmtId="0" fontId="26" fillId="5" borderId="14" xfId="0" applyFont="1" applyFill="1" applyBorder="1" applyAlignment="1">
      <alignment horizontal="left" vertical="center"/>
    </xf>
    <xf numFmtId="0" fontId="26" fillId="5" borderId="17" xfId="0" applyFont="1" applyFill="1" applyBorder="1" applyAlignment="1">
      <alignment horizontal="justify" vertical="center" wrapText="1"/>
    </xf>
    <xf numFmtId="0" fontId="27" fillId="2" borderId="22" xfId="0" applyFont="1" applyFill="1" applyBorder="1" applyAlignment="1">
      <alignment vertical="center" wrapText="1"/>
    </xf>
    <xf numFmtId="0" fontId="27" fillId="2" borderId="23" xfId="0" applyFont="1" applyFill="1" applyBorder="1" applyAlignment="1">
      <alignment vertical="center" wrapText="1"/>
    </xf>
    <xf numFmtId="1" fontId="26" fillId="15" borderId="25" xfId="0" applyNumberFormat="1" applyFont="1" applyFill="1" applyBorder="1" applyAlignment="1">
      <alignment horizontal="center" vertical="center"/>
    </xf>
    <xf numFmtId="0" fontId="26" fillId="15" borderId="11" xfId="0" applyFont="1" applyFill="1" applyBorder="1" applyAlignment="1">
      <alignment vertical="center"/>
    </xf>
    <xf numFmtId="0" fontId="26" fillId="15" borderId="11" xfId="0" applyFont="1" applyFill="1" applyBorder="1" applyAlignment="1">
      <alignment horizontal="justify" vertical="center"/>
    </xf>
    <xf numFmtId="0" fontId="26" fillId="15" borderId="11" xfId="0" applyFont="1" applyFill="1" applyBorder="1" applyAlignment="1">
      <alignment horizontal="center" vertical="center"/>
    </xf>
    <xf numFmtId="169" fontId="26" fillId="15" borderId="11" xfId="0" applyNumberFormat="1" applyFont="1" applyFill="1" applyBorder="1" applyAlignment="1">
      <alignment horizontal="center" vertical="center"/>
    </xf>
    <xf numFmtId="164" fontId="26" fillId="15" borderId="11" xfId="0" applyNumberFormat="1" applyFont="1" applyFill="1" applyBorder="1" applyAlignment="1">
      <alignment vertical="center"/>
    </xf>
    <xf numFmtId="164" fontId="26" fillId="15" borderId="11" xfId="0" applyNumberFormat="1" applyFont="1" applyFill="1" applyBorder="1" applyAlignment="1">
      <alignment horizontal="center" vertical="center"/>
    </xf>
    <xf numFmtId="1" fontId="26" fillId="15" borderId="11" xfId="0" applyNumberFormat="1" applyFont="1" applyFill="1" applyBorder="1" applyAlignment="1">
      <alignment horizontal="center" vertical="center"/>
    </xf>
    <xf numFmtId="165" fontId="26" fillId="15" borderId="11" xfId="0" applyNumberFormat="1" applyFont="1" applyFill="1" applyBorder="1" applyAlignment="1">
      <alignment vertical="center"/>
    </xf>
    <xf numFmtId="0" fontId="26" fillId="15" borderId="26" xfId="0" applyFont="1" applyFill="1" applyBorder="1" applyAlignment="1">
      <alignment horizontal="justify" vertical="center"/>
    </xf>
    <xf numFmtId="0" fontId="27" fillId="2" borderId="6" xfId="0" applyFont="1" applyFill="1" applyBorder="1" applyAlignment="1">
      <alignment vertical="center" wrapText="1"/>
    </xf>
    <xf numFmtId="1" fontId="26" fillId="13" borderId="14" xfId="0" applyNumberFormat="1" applyFont="1" applyFill="1" applyBorder="1" applyAlignment="1">
      <alignment horizontal="left" vertical="center" wrapText="1" indent="1"/>
    </xf>
    <xf numFmtId="0" fontId="26" fillId="13" borderId="15" xfId="0" applyFont="1" applyFill="1" applyBorder="1" applyAlignment="1">
      <alignment vertical="center"/>
    </xf>
    <xf numFmtId="0" fontId="26" fillId="13" borderId="15" xfId="0" applyFont="1" applyFill="1" applyBorder="1" applyAlignment="1">
      <alignment horizontal="justify" vertical="center"/>
    </xf>
    <xf numFmtId="0" fontId="26" fillId="13" borderId="15" xfId="0" applyFont="1" applyFill="1" applyBorder="1" applyAlignment="1">
      <alignment horizontal="center" vertical="center"/>
    </xf>
    <xf numFmtId="169" fontId="26" fillId="13" borderId="15" xfId="0" applyNumberFormat="1" applyFont="1" applyFill="1" applyBorder="1" applyAlignment="1">
      <alignment horizontal="center" vertical="center"/>
    </xf>
    <xf numFmtId="164" fontId="26" fillId="13" borderId="15" xfId="0" applyNumberFormat="1" applyFont="1" applyFill="1" applyBorder="1" applyAlignment="1">
      <alignment vertical="center"/>
    </xf>
    <xf numFmtId="164" fontId="26" fillId="13" borderId="15" xfId="0" applyNumberFormat="1" applyFont="1" applyFill="1" applyBorder="1" applyAlignment="1">
      <alignment horizontal="center" vertical="center"/>
    </xf>
    <xf numFmtId="1" fontId="26" fillId="13" borderId="15" xfId="0" applyNumberFormat="1" applyFont="1" applyFill="1" applyBorder="1" applyAlignment="1">
      <alignment horizontal="center" vertical="center"/>
    </xf>
    <xf numFmtId="165" fontId="26" fillId="13" borderId="15" xfId="0" applyNumberFormat="1" applyFont="1" applyFill="1" applyBorder="1" applyAlignment="1">
      <alignment vertical="center"/>
    </xf>
    <xf numFmtId="0" fontId="26" fillId="13" borderId="17" xfId="0" applyFont="1" applyFill="1" applyBorder="1" applyAlignment="1">
      <alignment horizontal="justify" vertical="center"/>
    </xf>
    <xf numFmtId="0" fontId="27" fillId="2" borderId="25" xfId="0" applyFont="1" applyFill="1" applyBorder="1" applyAlignment="1">
      <alignment horizontal="justify" vertical="center" wrapText="1"/>
    </xf>
    <xf numFmtId="43" fontId="26" fillId="13" borderId="15" xfId="1" applyFont="1" applyFill="1" applyBorder="1" applyAlignment="1">
      <alignment vertical="center"/>
    </xf>
    <xf numFmtId="43" fontId="26" fillId="13" borderId="15" xfId="1" applyFont="1" applyFill="1" applyBorder="1" applyAlignment="1">
      <alignment horizontal="center" vertical="center"/>
    </xf>
    <xf numFmtId="0" fontId="27" fillId="13" borderId="15" xfId="0" applyFont="1" applyFill="1" applyBorder="1" applyAlignment="1">
      <alignment vertical="center"/>
    </xf>
    <xf numFmtId="0" fontId="27" fillId="13" borderId="17" xfId="0" applyFont="1" applyFill="1" applyBorder="1" applyAlignment="1">
      <alignment horizontal="center" vertical="center"/>
    </xf>
    <xf numFmtId="43" fontId="26" fillId="15" borderId="11" xfId="1" applyFont="1" applyFill="1" applyBorder="1" applyAlignment="1">
      <alignment vertical="center"/>
    </xf>
    <xf numFmtId="43" fontId="26" fillId="15" borderId="11" xfId="1" applyFont="1" applyFill="1" applyBorder="1" applyAlignment="1">
      <alignment horizontal="center" vertical="center"/>
    </xf>
    <xf numFmtId="0" fontId="26" fillId="15" borderId="26" xfId="0" applyFont="1" applyFill="1" applyBorder="1" applyAlignment="1">
      <alignment horizontal="center" vertical="center"/>
    </xf>
    <xf numFmtId="0" fontId="27" fillId="13" borderId="17" xfId="0" applyFont="1" applyFill="1" applyBorder="1" applyAlignment="1">
      <alignment horizontal="justify" vertical="center"/>
    </xf>
    <xf numFmtId="0" fontId="26" fillId="2" borderId="33" xfId="0" applyFont="1" applyFill="1" applyBorder="1" applyAlignment="1">
      <alignment horizontal="justify" vertical="center"/>
    </xf>
    <xf numFmtId="43" fontId="26" fillId="2" borderId="33" xfId="1" applyFont="1" applyFill="1" applyBorder="1" applyAlignment="1">
      <alignment horizontal="center" vertical="center"/>
    </xf>
    <xf numFmtId="0" fontId="27" fillId="0" borderId="34" xfId="0" applyFont="1" applyBorder="1" applyAlignment="1">
      <alignment horizontal="justify"/>
    </xf>
    <xf numFmtId="0" fontId="23" fillId="0" borderId="5" xfId="0" applyFont="1" applyBorder="1" applyAlignment="1">
      <alignment horizontal="justify"/>
    </xf>
    <xf numFmtId="173" fontId="23" fillId="0" borderId="9" xfId="0" applyNumberFormat="1" applyFont="1" applyBorder="1" applyAlignment="1">
      <alignment horizontal="justify"/>
    </xf>
    <xf numFmtId="17" fontId="23" fillId="0" borderId="9" xfId="0" applyNumberFormat="1" applyFont="1" applyBorder="1" applyAlignment="1">
      <alignment horizontal="justify"/>
    </xf>
    <xf numFmtId="3" fontId="25" fillId="9" borderId="9" xfId="0" applyNumberFormat="1" applyFont="1" applyFill="1" applyBorder="1" applyAlignment="1">
      <alignment horizontal="justify" vertical="center" wrapText="1"/>
    </xf>
    <xf numFmtId="3" fontId="27" fillId="0" borderId="9" xfId="0" applyNumberFormat="1" applyFont="1" applyFill="1" applyBorder="1" applyAlignment="1">
      <alignment horizontal="center" vertical="center" wrapText="1"/>
    </xf>
    <xf numFmtId="3" fontId="27" fillId="0" borderId="8" xfId="0" applyNumberFormat="1" applyFont="1" applyBorder="1" applyAlignment="1">
      <alignment horizontal="center" vertical="center"/>
    </xf>
    <xf numFmtId="3" fontId="27" fillId="0" borderId="19" xfId="0" applyNumberFormat="1" applyFont="1" applyBorder="1" applyAlignment="1">
      <alignment horizontal="center" vertical="center"/>
    </xf>
    <xf numFmtId="168" fontId="27" fillId="2" borderId="8" xfId="0" applyNumberFormat="1" applyFont="1" applyFill="1" applyBorder="1" applyAlignment="1">
      <alignment horizontal="center" vertical="center" wrapText="1"/>
    </xf>
    <xf numFmtId="168" fontId="27" fillId="2" borderId="19"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horizontal="justify" vertical="center" wrapText="1"/>
    </xf>
    <xf numFmtId="0" fontId="27" fillId="0" borderId="8" xfId="0" applyFont="1" applyFill="1" applyBorder="1" applyAlignment="1">
      <alignment horizontal="justify" vertical="center" wrapText="1"/>
    </xf>
    <xf numFmtId="0" fontId="27" fillId="0" borderId="14" xfId="0" applyFont="1" applyFill="1" applyBorder="1" applyAlignment="1">
      <alignment horizontal="center" vertical="center" wrapText="1"/>
    </xf>
    <xf numFmtId="9" fontId="17" fillId="2" borderId="19" xfId="2" applyFont="1" applyFill="1" applyBorder="1" applyAlignment="1">
      <alignment horizontal="center" vertical="center" wrapText="1"/>
    </xf>
    <xf numFmtId="9" fontId="17" fillId="2" borderId="28" xfId="2" applyFont="1" applyFill="1" applyBorder="1" applyAlignment="1">
      <alignment horizontal="center" vertical="center" wrapText="1"/>
    </xf>
    <xf numFmtId="168" fontId="27" fillId="0" borderId="8" xfId="0" applyNumberFormat="1"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8" xfId="0" applyFont="1" applyFill="1" applyBorder="1" applyAlignment="1">
      <alignment horizontal="justify" vertical="center" wrapText="1"/>
    </xf>
    <xf numFmtId="0" fontId="27" fillId="2" borderId="19" xfId="0" applyFont="1" applyFill="1" applyBorder="1" applyAlignment="1">
      <alignment horizontal="justify" vertical="center" wrapText="1"/>
    </xf>
    <xf numFmtId="43" fontId="27" fillId="2" borderId="8" xfId="1" applyFont="1" applyFill="1" applyBorder="1" applyAlignment="1">
      <alignment horizontal="justify" vertical="center" wrapText="1"/>
    </xf>
    <xf numFmtId="43" fontId="27" fillId="2" borderId="19" xfId="1" applyFont="1" applyFill="1" applyBorder="1" applyAlignment="1">
      <alignment horizontal="justify" vertical="center" wrapText="1"/>
    </xf>
    <xf numFmtId="3" fontId="27" fillId="0" borderId="16" xfId="0" applyNumberFormat="1" applyFont="1" applyBorder="1" applyAlignment="1">
      <alignment horizontal="center" vertical="center"/>
    </xf>
    <xf numFmtId="3" fontId="27" fillId="0" borderId="20" xfId="0" applyNumberFormat="1" applyFont="1" applyBorder="1" applyAlignment="1">
      <alignment horizontal="center" vertical="center"/>
    </xf>
    <xf numFmtId="3" fontId="27" fillId="0" borderId="8" xfId="0" applyNumberFormat="1" applyFont="1" applyFill="1" applyBorder="1" applyAlignment="1">
      <alignment horizontal="center" vertical="center"/>
    </xf>
    <xf numFmtId="43" fontId="27" fillId="0" borderId="8" xfId="1" applyFont="1" applyFill="1" applyBorder="1" applyAlignment="1">
      <alignment horizontal="justify" vertical="center" wrapText="1"/>
    </xf>
    <xf numFmtId="3" fontId="27" fillId="0" borderId="16" xfId="0" applyNumberFormat="1" applyFont="1" applyFill="1" applyBorder="1" applyAlignment="1">
      <alignment horizontal="center" vertical="center"/>
    </xf>
    <xf numFmtId="0" fontId="27" fillId="0" borderId="8" xfId="0" applyFont="1" applyFill="1" applyBorder="1" applyAlignment="1">
      <alignment horizontal="center" vertical="center" wrapText="1"/>
    </xf>
    <xf numFmtId="9" fontId="17" fillId="0" borderId="8" xfId="2" applyFont="1" applyFill="1" applyBorder="1" applyAlignment="1">
      <alignment horizontal="center" vertical="center" wrapText="1"/>
    </xf>
    <xf numFmtId="168" fontId="27" fillId="2" borderId="28" xfId="0" applyNumberFormat="1" applyFont="1" applyFill="1" applyBorder="1" applyAlignment="1">
      <alignment horizontal="center" vertical="center" wrapText="1"/>
    </xf>
    <xf numFmtId="3" fontId="27" fillId="0" borderId="28" xfId="0" applyNumberFormat="1" applyFont="1" applyBorder="1" applyAlignment="1">
      <alignment horizontal="center" vertical="center"/>
    </xf>
    <xf numFmtId="1" fontId="26" fillId="2" borderId="31" xfId="0" applyNumberFormat="1" applyFont="1" applyFill="1" applyBorder="1" applyAlignment="1">
      <alignment horizontal="center" vertical="center" wrapText="1"/>
    </xf>
    <xf numFmtId="1" fontId="26" fillId="2" borderId="23" xfId="0" applyNumberFormat="1" applyFont="1" applyFill="1" applyBorder="1" applyAlignment="1">
      <alignment horizontal="center" vertical="center" wrapText="1"/>
    </xf>
    <xf numFmtId="1" fontId="26" fillId="2" borderId="20" xfId="0" applyNumberFormat="1" applyFont="1" applyFill="1" applyBorder="1" applyAlignment="1">
      <alignment horizontal="center" vertical="center" wrapText="1"/>
    </xf>
    <xf numFmtId="1" fontId="26" fillId="2" borderId="27" xfId="0" applyNumberFormat="1" applyFont="1" applyFill="1" applyBorder="1" applyAlignment="1">
      <alignment horizontal="center" vertical="center" wrapText="1"/>
    </xf>
    <xf numFmtId="1" fontId="26" fillId="2" borderId="0" xfId="0" applyNumberFormat="1" applyFont="1" applyFill="1" applyBorder="1" applyAlignment="1">
      <alignment horizontal="center" vertical="center" wrapText="1"/>
    </xf>
    <xf numFmtId="1" fontId="26" fillId="2" borderId="7" xfId="0" applyNumberFormat="1"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19" xfId="0" applyFont="1" applyFill="1" applyBorder="1" applyAlignment="1">
      <alignment horizontal="justify" vertical="center" wrapText="1"/>
    </xf>
    <xf numFmtId="0" fontId="27" fillId="0" borderId="28" xfId="0" applyFont="1" applyFill="1" applyBorder="1" applyAlignment="1">
      <alignment horizontal="justify" vertical="center" wrapText="1"/>
    </xf>
    <xf numFmtId="3" fontId="27" fillId="2" borderId="21" xfId="0" applyNumberFormat="1" applyFont="1" applyFill="1" applyBorder="1" applyAlignment="1">
      <alignment horizontal="center" vertical="center" wrapText="1"/>
    </xf>
    <xf numFmtId="3" fontId="27" fillId="2" borderId="30" xfId="0" applyNumberFormat="1" applyFont="1" applyFill="1" applyBorder="1" applyAlignment="1">
      <alignment horizontal="center" vertical="center" wrapText="1"/>
    </xf>
    <xf numFmtId="0" fontId="16" fillId="4" borderId="19" xfId="0" applyFont="1" applyFill="1" applyBorder="1" applyAlignment="1">
      <alignment horizontal="center" vertical="center" textRotation="90" wrapText="1"/>
    </xf>
    <xf numFmtId="0" fontId="16" fillId="4" borderId="29" xfId="0" applyFont="1" applyFill="1" applyBorder="1" applyAlignment="1">
      <alignment horizontal="center" vertical="center" textRotation="90" wrapText="1"/>
    </xf>
    <xf numFmtId="0" fontId="16" fillId="4" borderId="28" xfId="0" applyFont="1" applyFill="1" applyBorder="1" applyAlignment="1">
      <alignment horizontal="center" vertical="center" textRotation="90" wrapText="1"/>
    </xf>
    <xf numFmtId="165" fontId="26" fillId="3" borderId="31" xfId="0" applyNumberFormat="1" applyFont="1" applyFill="1" applyBorder="1" applyAlignment="1">
      <alignment horizontal="center" vertical="center" wrapText="1"/>
    </xf>
    <xf numFmtId="165" fontId="26" fillId="3" borderId="27" xfId="0" applyNumberFormat="1" applyFont="1" applyFill="1" applyBorder="1" applyAlignment="1">
      <alignment horizontal="center" vertical="center" wrapText="1"/>
    </xf>
    <xf numFmtId="165" fontId="26" fillId="3" borderId="25" xfId="0" applyNumberFormat="1" applyFont="1" applyFill="1" applyBorder="1" applyAlignment="1">
      <alignment horizontal="center" vertical="center" wrapText="1"/>
    </xf>
    <xf numFmtId="0" fontId="17" fillId="0" borderId="19" xfId="0" applyFont="1" applyFill="1" applyBorder="1" applyAlignment="1">
      <alignment horizontal="justify" vertical="center" wrapText="1"/>
    </xf>
    <xf numFmtId="0" fontId="17" fillId="0" borderId="28" xfId="0" applyFont="1" applyFill="1" applyBorder="1" applyAlignment="1">
      <alignment horizontal="justify" vertical="center" wrapText="1"/>
    </xf>
    <xf numFmtId="9" fontId="17" fillId="0" borderId="19" xfId="2" applyFont="1" applyFill="1" applyBorder="1" applyAlignment="1">
      <alignment horizontal="center" vertical="center" wrapText="1"/>
    </xf>
    <xf numFmtId="9" fontId="17" fillId="0" borderId="28" xfId="2" applyFont="1" applyFill="1" applyBorder="1" applyAlignment="1">
      <alignment horizontal="center" vertical="center" wrapText="1"/>
    </xf>
    <xf numFmtId="43" fontId="27" fillId="0" borderId="19" xfId="1" applyFont="1" applyFill="1" applyBorder="1" applyAlignment="1">
      <alignment horizontal="center" vertical="center" wrapText="1"/>
    </xf>
    <xf numFmtId="43" fontId="27" fillId="0" borderId="28" xfId="1" applyFont="1" applyFill="1" applyBorder="1" applyAlignment="1">
      <alignment horizontal="center" vertical="center" wrapText="1"/>
    </xf>
    <xf numFmtId="3" fontId="27" fillId="0" borderId="19" xfId="0" applyNumberFormat="1" applyFont="1" applyFill="1" applyBorder="1" applyAlignment="1">
      <alignment horizontal="justify" vertical="center" wrapText="1"/>
    </xf>
    <xf numFmtId="3" fontId="27" fillId="0" borderId="28" xfId="0" applyNumberFormat="1" applyFont="1" applyFill="1" applyBorder="1" applyAlignment="1">
      <alignment horizontal="justify"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wrapText="1"/>
    </xf>
    <xf numFmtId="0" fontId="26" fillId="3" borderId="19" xfId="0" applyFont="1" applyFill="1" applyBorder="1" applyAlignment="1">
      <alignment horizontal="center" vertical="center" textRotation="90" wrapText="1"/>
    </xf>
    <xf numFmtId="0" fontId="26" fillId="3" borderId="29" xfId="0" applyFont="1" applyFill="1" applyBorder="1" applyAlignment="1">
      <alignment horizontal="center" vertical="center" textRotation="90" wrapText="1"/>
    </xf>
    <xf numFmtId="0" fontId="26" fillId="3" borderId="28" xfId="0" applyFont="1" applyFill="1" applyBorder="1" applyAlignment="1">
      <alignment horizontal="center" vertical="center" textRotation="90" wrapText="1"/>
    </xf>
    <xf numFmtId="49" fontId="26" fillId="3" borderId="19" xfId="0" applyNumberFormat="1" applyFont="1" applyFill="1" applyBorder="1" applyAlignment="1">
      <alignment horizontal="center" vertical="center" textRotation="90" wrapText="1"/>
    </xf>
    <xf numFmtId="49" fontId="26" fillId="3" borderId="29" xfId="0" applyNumberFormat="1" applyFont="1" applyFill="1" applyBorder="1" applyAlignment="1">
      <alignment horizontal="center" vertical="center" textRotation="90" wrapText="1"/>
    </xf>
    <xf numFmtId="49" fontId="26" fillId="3" borderId="28" xfId="0" applyNumberFormat="1" applyFont="1" applyFill="1" applyBorder="1" applyAlignment="1">
      <alignment horizontal="center" vertical="center" textRotation="90" wrapText="1"/>
    </xf>
    <xf numFmtId="164" fontId="26" fillId="3" borderId="19" xfId="0" applyNumberFormat="1" applyFont="1" applyFill="1" applyBorder="1" applyAlignment="1">
      <alignment horizontal="center" vertical="center" wrapText="1"/>
    </xf>
    <xf numFmtId="164" fontId="26" fillId="3" borderId="29" xfId="0" applyNumberFormat="1" applyFont="1" applyFill="1" applyBorder="1" applyAlignment="1">
      <alignment horizontal="center" vertical="center" wrapText="1"/>
    </xf>
    <xf numFmtId="164" fontId="26" fillId="3" borderId="28" xfId="0" applyNumberFormat="1"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26" fillId="3" borderId="28" xfId="0" applyFont="1" applyFill="1" applyBorder="1" applyAlignment="1">
      <alignment horizontal="center" vertical="center" wrapText="1"/>
    </xf>
    <xf numFmtId="3" fontId="16" fillId="4" borderId="8"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6" fillId="0" borderId="23" xfId="0" applyFont="1" applyBorder="1" applyAlignment="1">
      <alignment horizontal="center" vertical="center"/>
    </xf>
    <xf numFmtId="0" fontId="26" fillId="0" borderId="11" xfId="0" applyFont="1" applyBorder="1" applyAlignment="1">
      <alignment horizontal="center" vertical="center"/>
    </xf>
    <xf numFmtId="0" fontId="26" fillId="0" borderId="8" xfId="0" applyFont="1" applyBorder="1" applyAlignment="1">
      <alignment horizontal="center" vertical="center"/>
    </xf>
    <xf numFmtId="0" fontId="26" fillId="0" borderId="25" xfId="0" applyFont="1" applyBorder="1" applyAlignment="1">
      <alignment horizontal="center" vertical="center"/>
    </xf>
    <xf numFmtId="0" fontId="26" fillId="0" borderId="12" xfId="0" applyFont="1" applyBorder="1" applyAlignment="1">
      <alignment horizontal="center" vertical="center"/>
    </xf>
    <xf numFmtId="1" fontId="26" fillId="3" borderId="20" xfId="0" applyNumberFormat="1" applyFont="1" applyFill="1" applyBorder="1" applyAlignment="1">
      <alignment horizontal="center" vertical="center" wrapText="1"/>
    </xf>
    <xf numFmtId="1" fontId="26" fillId="3" borderId="7" xfId="0" applyNumberFormat="1" applyFont="1" applyFill="1" applyBorder="1" applyAlignment="1">
      <alignment horizontal="center" vertical="center" wrapText="1"/>
    </xf>
    <xf numFmtId="1" fontId="26" fillId="3" borderId="12" xfId="0" applyNumberFormat="1" applyFont="1" applyFill="1" applyBorder="1" applyAlignment="1">
      <alignment horizontal="center" vertical="center" wrapText="1"/>
    </xf>
    <xf numFmtId="0" fontId="26" fillId="3" borderId="31"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25" xfId="0" applyFont="1" applyFill="1" applyBorder="1" applyAlignment="1">
      <alignment horizontal="center" vertical="center" wrapText="1"/>
    </xf>
    <xf numFmtId="0" fontId="26" fillId="3" borderId="12" xfId="0" applyFont="1" applyFill="1" applyBorder="1" applyAlignment="1">
      <alignment horizontal="center" vertical="center" wrapText="1"/>
    </xf>
    <xf numFmtId="169" fontId="15" fillId="3" borderId="31" xfId="0" applyNumberFormat="1" applyFont="1" applyFill="1" applyBorder="1" applyAlignment="1">
      <alignment horizontal="center" vertical="center" wrapText="1"/>
    </xf>
    <xf numFmtId="169" fontId="15" fillId="3" borderId="27" xfId="0" applyNumberFormat="1" applyFont="1" applyFill="1" applyBorder="1" applyAlignment="1">
      <alignment horizontal="center" vertical="center" wrapText="1"/>
    </xf>
    <xf numFmtId="169" fontId="15" fillId="3" borderId="25" xfId="0" applyNumberFormat="1" applyFont="1" applyFill="1" applyBorder="1" applyAlignment="1">
      <alignment horizontal="center" vertical="center" wrapText="1"/>
    </xf>
    <xf numFmtId="164" fontId="26" fillId="3" borderId="31" xfId="0" applyNumberFormat="1" applyFont="1" applyFill="1" applyBorder="1" applyAlignment="1">
      <alignment horizontal="center" vertical="center" wrapText="1"/>
    </xf>
    <xf numFmtId="164" fontId="26" fillId="3" borderId="27" xfId="0" applyNumberFormat="1" applyFont="1" applyFill="1" applyBorder="1" applyAlignment="1">
      <alignment horizontal="center" vertical="center" wrapText="1"/>
    </xf>
    <xf numFmtId="164" fontId="26" fillId="3" borderId="25" xfId="0" applyNumberFormat="1" applyFont="1" applyFill="1" applyBorder="1" applyAlignment="1">
      <alignment horizontal="center" vertical="center" wrapText="1"/>
    </xf>
    <xf numFmtId="3" fontId="26" fillId="3" borderId="19" xfId="0" applyNumberFormat="1" applyFont="1" applyFill="1" applyBorder="1" applyAlignment="1">
      <alignment horizontal="center" vertical="center" wrapText="1"/>
    </xf>
    <xf numFmtId="3" fontId="26" fillId="3" borderId="29" xfId="0" applyNumberFormat="1" applyFont="1" applyFill="1" applyBorder="1" applyAlignment="1">
      <alignment horizontal="center" vertical="center" wrapText="1"/>
    </xf>
    <xf numFmtId="3" fontId="26" fillId="3" borderId="28" xfId="0" applyNumberFormat="1" applyFont="1" applyFill="1" applyBorder="1" applyAlignment="1">
      <alignment horizontal="center" vertical="center" wrapText="1"/>
    </xf>
    <xf numFmtId="1" fontId="26" fillId="3" borderId="29" xfId="0" applyNumberFormat="1" applyFont="1" applyFill="1" applyBorder="1" applyAlignment="1">
      <alignment horizontal="center" vertical="center" wrapText="1"/>
    </xf>
    <xf numFmtId="1" fontId="26" fillId="3" borderId="28"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26" fillId="0" borderId="22" xfId="0" applyFont="1" applyBorder="1" applyAlignment="1">
      <alignment horizontal="justify" vertical="center"/>
    </xf>
    <xf numFmtId="0" fontId="26" fillId="0" borderId="23" xfId="0" applyFont="1" applyBorder="1" applyAlignment="1">
      <alignment horizontal="justify" vertical="center"/>
    </xf>
    <xf numFmtId="0" fontId="26" fillId="0" borderId="10" xfId="0" applyFont="1" applyBorder="1" applyAlignment="1">
      <alignment horizontal="justify" vertical="center"/>
    </xf>
    <xf numFmtId="0" fontId="26" fillId="0" borderId="11" xfId="0" applyFont="1" applyBorder="1" applyAlignment="1">
      <alignment horizontal="justify" vertical="center"/>
    </xf>
    <xf numFmtId="0" fontId="26" fillId="0" borderId="9"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1" fontId="2" fillId="3" borderId="18" xfId="0" applyNumberFormat="1" applyFont="1" applyFill="1" applyBorder="1" applyAlignment="1">
      <alignment horizontal="center" vertical="center" wrapText="1"/>
    </xf>
    <xf numFmtId="1" fontId="2" fillId="3" borderId="36" xfId="0" applyNumberFormat="1" applyFont="1" applyFill="1" applyBorder="1" applyAlignment="1">
      <alignment horizontal="center" vertical="center" wrapText="1"/>
    </xf>
    <xf numFmtId="3" fontId="26" fillId="3" borderId="21" xfId="0" applyNumberFormat="1" applyFont="1" applyFill="1" applyBorder="1" applyAlignment="1">
      <alignment horizontal="center" vertical="center" wrapText="1"/>
    </xf>
    <xf numFmtId="3" fontId="26" fillId="3" borderId="37" xfId="0" applyNumberFormat="1" applyFont="1" applyFill="1" applyBorder="1" applyAlignment="1">
      <alignment horizontal="center" vertical="center" wrapText="1"/>
    </xf>
    <xf numFmtId="165" fontId="26" fillId="4" borderId="31" xfId="0" applyNumberFormat="1" applyFont="1" applyFill="1" applyBorder="1" applyAlignment="1">
      <alignment horizontal="center" vertical="center" textRotation="90" wrapText="1"/>
    </xf>
    <xf numFmtId="165" fontId="26" fillId="4" borderId="27" xfId="0" applyNumberFormat="1" applyFont="1" applyFill="1" applyBorder="1" applyAlignment="1">
      <alignment horizontal="center" vertical="center" textRotation="90" wrapText="1"/>
    </xf>
    <xf numFmtId="0" fontId="26" fillId="5" borderId="15" xfId="0" applyFont="1" applyFill="1" applyBorder="1" applyAlignment="1">
      <alignment horizontal="left" vertical="center"/>
    </xf>
    <xf numFmtId="0" fontId="26" fillId="6" borderId="15" xfId="0" applyFont="1" applyFill="1" applyBorder="1" applyAlignment="1">
      <alignment horizontal="left" vertical="center"/>
    </xf>
    <xf numFmtId="41" fontId="26" fillId="3" borderId="19" xfId="6" applyFont="1" applyFill="1" applyBorder="1" applyAlignment="1">
      <alignment horizontal="center" vertical="center" wrapText="1"/>
    </xf>
    <xf numFmtId="41" fontId="26" fillId="3" borderId="29" xfId="6" applyFont="1" applyFill="1" applyBorder="1" applyAlignment="1">
      <alignment horizontal="center" vertical="center" wrapText="1"/>
    </xf>
    <xf numFmtId="3" fontId="15" fillId="4" borderId="8" xfId="0" applyNumberFormat="1"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169" fontId="26" fillId="3" borderId="31" xfId="0" applyNumberFormat="1" applyFont="1" applyFill="1" applyBorder="1" applyAlignment="1">
      <alignment horizontal="center" vertical="center" wrapText="1"/>
    </xf>
    <xf numFmtId="169" fontId="26" fillId="3" borderId="27" xfId="0" applyNumberFormat="1" applyFont="1" applyFill="1" applyBorder="1" applyAlignment="1">
      <alignment horizontal="center" vertical="center" wrapText="1"/>
    </xf>
    <xf numFmtId="9" fontId="27" fillId="0" borderId="14" xfId="2" applyFont="1" applyFill="1" applyBorder="1" applyAlignment="1">
      <alignment horizontal="justify" vertical="center" wrapText="1"/>
    </xf>
    <xf numFmtId="0" fontId="26" fillId="7" borderId="15" xfId="0" applyFont="1" applyFill="1" applyBorder="1" applyAlignment="1">
      <alignment horizontal="left" vertical="center"/>
    </xf>
    <xf numFmtId="43" fontId="27" fillId="0" borderId="8" xfId="1" applyFont="1" applyFill="1" applyBorder="1" applyAlignment="1">
      <alignment horizontal="right" vertical="center" wrapText="1"/>
    </xf>
    <xf numFmtId="0" fontId="27" fillId="0" borderId="29" xfId="0" applyFont="1" applyFill="1" applyBorder="1" applyAlignment="1">
      <alignment horizontal="justify" vertical="center" wrapText="1"/>
    </xf>
    <xf numFmtId="1" fontId="27" fillId="0" borderId="8" xfId="0" applyNumberFormat="1" applyFont="1" applyFill="1" applyBorder="1" applyAlignment="1">
      <alignment horizontal="center" vertical="center"/>
    </xf>
    <xf numFmtId="171" fontId="27" fillId="0" borderId="8" xfId="0" applyNumberFormat="1" applyFont="1" applyFill="1" applyBorder="1" applyAlignment="1">
      <alignment horizontal="center" vertical="center"/>
    </xf>
    <xf numFmtId="1" fontId="27" fillId="0" borderId="9" xfId="0" applyNumberFormat="1" applyFont="1" applyFill="1" applyBorder="1" applyAlignment="1">
      <alignment horizontal="center" vertical="center" wrapText="1"/>
    </xf>
    <xf numFmtId="0" fontId="27" fillId="0" borderId="8" xfId="0" applyFont="1" applyFill="1" applyBorder="1" applyAlignment="1">
      <alignment horizontal="center" vertical="center"/>
    </xf>
    <xf numFmtId="0" fontId="27" fillId="0" borderId="8" xfId="0" applyFont="1" applyFill="1" applyBorder="1" applyAlignment="1">
      <alignment horizontal="left" vertical="center" wrapText="1"/>
    </xf>
    <xf numFmtId="1" fontId="27" fillId="0" borderId="8" xfId="0" applyNumberFormat="1" applyFont="1" applyFill="1" applyBorder="1" applyAlignment="1">
      <alignment horizontal="center" vertical="center" wrapText="1"/>
    </xf>
    <xf numFmtId="1" fontId="27" fillId="0" borderId="8" xfId="0" applyNumberFormat="1" applyFont="1" applyFill="1" applyBorder="1" applyAlignment="1">
      <alignment horizontal="justify" vertical="center" wrapText="1"/>
    </xf>
    <xf numFmtId="1" fontId="27" fillId="0" borderId="8" xfId="0" applyNumberFormat="1" applyFont="1" applyFill="1" applyBorder="1" applyAlignment="1">
      <alignment vertical="center" wrapText="1"/>
    </xf>
    <xf numFmtId="0" fontId="26" fillId="20" borderId="15" xfId="0" applyFont="1" applyFill="1" applyBorder="1" applyAlignment="1">
      <alignment horizontal="left" vertical="center"/>
    </xf>
    <xf numFmtId="9" fontId="27" fillId="0" borderId="8" xfId="2" applyFont="1" applyFill="1" applyBorder="1" applyAlignment="1">
      <alignment horizontal="center" vertical="center"/>
    </xf>
    <xf numFmtId="43" fontId="27" fillId="0" borderId="8" xfId="1" applyFont="1" applyFill="1" applyBorder="1" applyAlignment="1">
      <alignment horizontal="right" vertical="center"/>
    </xf>
    <xf numFmtId="0" fontId="27" fillId="0" borderId="9" xfId="0" applyFont="1" applyFill="1" applyBorder="1" applyAlignment="1">
      <alignment vertical="center" wrapText="1"/>
    </xf>
    <xf numFmtId="0" fontId="26" fillId="15" borderId="15" xfId="0" applyFont="1" applyFill="1" applyBorder="1" applyAlignment="1">
      <alignment horizontal="left" vertical="center"/>
    </xf>
    <xf numFmtId="0" fontId="27" fillId="0" borderId="8" xfId="0" applyFont="1" applyFill="1" applyBorder="1" applyAlignment="1">
      <alignment vertical="center"/>
    </xf>
    <xf numFmtId="0" fontId="27" fillId="0" borderId="16" xfId="0" applyFont="1" applyFill="1" applyBorder="1" applyAlignment="1">
      <alignment horizontal="justify" vertical="center"/>
    </xf>
    <xf numFmtId="0" fontId="27" fillId="0" borderId="20" xfId="0" applyFont="1" applyFill="1" applyBorder="1" applyAlignment="1">
      <alignment horizontal="justify" vertical="center"/>
    </xf>
    <xf numFmtId="0" fontId="27" fillId="0" borderId="8" xfId="0" applyFont="1" applyFill="1" applyBorder="1" applyAlignment="1">
      <alignment horizontal="justify" vertical="center"/>
    </xf>
    <xf numFmtId="1" fontId="27" fillId="0" borderId="19" xfId="0" applyNumberFormat="1" applyFont="1" applyFill="1" applyBorder="1" applyAlignment="1">
      <alignment horizontal="center" vertical="center"/>
    </xf>
    <xf numFmtId="1" fontId="27" fillId="0" borderId="14" xfId="0" applyNumberFormat="1" applyFont="1" applyFill="1" applyBorder="1" applyAlignment="1">
      <alignment horizontal="center" vertical="center" wrapText="1"/>
    </xf>
    <xf numFmtId="1" fontId="27" fillId="0" borderId="19" xfId="0" applyNumberFormat="1" applyFont="1" applyFill="1" applyBorder="1" applyAlignment="1">
      <alignment horizontal="center" vertical="center" wrapText="1"/>
    </xf>
    <xf numFmtId="0" fontId="27" fillId="0" borderId="19" xfId="0" applyFont="1" applyFill="1" applyBorder="1" applyAlignment="1">
      <alignment horizontal="center" vertical="center"/>
    </xf>
    <xf numFmtId="1" fontId="27" fillId="0" borderId="19" xfId="0" applyNumberFormat="1" applyFont="1" applyFill="1" applyBorder="1" applyAlignment="1">
      <alignment vertical="center" wrapText="1"/>
    </xf>
    <xf numFmtId="0" fontId="27" fillId="0" borderId="0" xfId="0" applyFont="1" applyFill="1" applyBorder="1" applyAlignment="1">
      <alignment horizontal="justify" vertical="center" wrapText="1"/>
    </xf>
    <xf numFmtId="0" fontId="27" fillId="0" borderId="27" xfId="0" applyFont="1" applyFill="1" applyBorder="1" applyAlignment="1">
      <alignment horizontal="justify" vertical="center" wrapText="1"/>
    </xf>
    <xf numFmtId="1" fontId="27" fillId="0" borderId="14" xfId="0" applyNumberFormat="1" applyFont="1" applyFill="1" applyBorder="1" applyAlignment="1">
      <alignment horizontal="center" vertical="center"/>
    </xf>
    <xf numFmtId="0" fontId="27" fillId="0" borderId="16" xfId="0" applyFont="1" applyFill="1" applyBorder="1" applyAlignment="1">
      <alignment horizontal="justify" vertical="center" wrapText="1"/>
    </xf>
    <xf numFmtId="3" fontId="27" fillId="0" borderId="8" xfId="0" applyNumberFormat="1" applyFont="1" applyFill="1" applyBorder="1" applyAlignment="1">
      <alignment horizontal="justify" vertical="center" wrapText="1"/>
    </xf>
    <xf numFmtId="0" fontId="27" fillId="0" borderId="25" xfId="0" applyFont="1" applyFill="1" applyBorder="1" applyAlignment="1">
      <alignment horizontal="justify" vertical="center" wrapText="1"/>
    </xf>
    <xf numFmtId="0" fontId="27" fillId="0" borderId="14" xfId="0" applyFont="1" applyFill="1" applyBorder="1" applyAlignment="1">
      <alignment horizontal="justify" vertical="center" wrapText="1"/>
    </xf>
    <xf numFmtId="9" fontId="27" fillId="0" borderId="15" xfId="2" applyFont="1" applyFill="1" applyBorder="1" applyAlignment="1">
      <alignment horizontal="center" vertical="center" wrapText="1"/>
    </xf>
    <xf numFmtId="1" fontId="27" fillId="0" borderId="16" xfId="0" applyNumberFormat="1" applyFont="1" applyFill="1" applyBorder="1" applyAlignment="1">
      <alignment horizontal="center" vertical="center"/>
    </xf>
    <xf numFmtId="9" fontId="27" fillId="0" borderId="8" xfId="2" applyFont="1" applyFill="1" applyBorder="1" applyAlignment="1">
      <alignment horizontal="center" vertical="center" wrapText="1"/>
    </xf>
    <xf numFmtId="43" fontId="27" fillId="0" borderId="28" xfId="1" applyFont="1" applyFill="1" applyBorder="1" applyAlignment="1">
      <alignment horizontal="right" vertical="center" wrapText="1"/>
    </xf>
    <xf numFmtId="43" fontId="27" fillId="0" borderId="19" xfId="1" applyFont="1" applyFill="1" applyBorder="1" applyAlignment="1">
      <alignment horizontal="right" vertical="center" wrapText="1"/>
    </xf>
    <xf numFmtId="1" fontId="27" fillId="0" borderId="28" xfId="0" applyNumberFormat="1" applyFont="1" applyFill="1" applyBorder="1" applyAlignment="1">
      <alignment horizontal="center" vertical="center" wrapText="1"/>
    </xf>
    <xf numFmtId="2" fontId="27" fillId="0" borderId="8" xfId="0" applyNumberFormat="1" applyFont="1" applyFill="1" applyBorder="1" applyAlignment="1">
      <alignment horizontal="justify" vertical="center" wrapText="1"/>
    </xf>
    <xf numFmtId="1" fontId="27" fillId="0" borderId="28" xfId="0" applyNumberFormat="1" applyFont="1" applyFill="1" applyBorder="1" applyAlignment="1">
      <alignment horizontal="center" vertical="center"/>
    </xf>
    <xf numFmtId="1" fontId="27" fillId="0" borderId="28" xfId="0" applyNumberFormat="1" applyFont="1" applyFill="1" applyBorder="1" applyAlignment="1">
      <alignment vertical="center" wrapText="1"/>
    </xf>
    <xf numFmtId="169" fontId="27" fillId="0" borderId="14" xfId="0" applyNumberFormat="1" applyFont="1" applyFill="1" applyBorder="1" applyAlignment="1">
      <alignment horizontal="center" vertical="center"/>
    </xf>
    <xf numFmtId="1" fontId="3" fillId="0" borderId="6" xfId="0" applyNumberFormat="1" applyFont="1" applyFill="1" applyBorder="1" applyAlignment="1">
      <alignment horizontal="justify"/>
    </xf>
    <xf numFmtId="0" fontId="26" fillId="0" borderId="0" xfId="0" applyFont="1" applyFill="1" applyBorder="1" applyAlignment="1">
      <alignment horizontal="justify" vertical="center" wrapText="1"/>
    </xf>
    <xf numFmtId="0" fontId="27" fillId="0" borderId="27" xfId="0" applyFont="1" applyFill="1" applyBorder="1" applyAlignment="1">
      <alignment horizontal="justify"/>
    </xf>
    <xf numFmtId="0" fontId="27" fillId="0" borderId="0" xfId="0" applyFont="1" applyFill="1" applyBorder="1" applyAlignment="1">
      <alignment horizontal="justify"/>
    </xf>
    <xf numFmtId="1" fontId="27" fillId="0" borderId="8" xfId="0" applyNumberFormat="1" applyFont="1" applyFill="1" applyBorder="1" applyAlignment="1">
      <alignment horizontal="left" vertical="center"/>
    </xf>
    <xf numFmtId="43" fontId="27" fillId="0" borderId="28" xfId="1" applyFont="1" applyFill="1" applyBorder="1" applyAlignment="1">
      <alignment horizontal="right" vertical="center"/>
    </xf>
    <xf numFmtId="0" fontId="27" fillId="0" borderId="19" xfId="0" applyFont="1" applyFill="1" applyBorder="1" applyAlignment="1">
      <alignment horizontal="justify" vertical="center"/>
    </xf>
    <xf numFmtId="43" fontId="27" fillId="0" borderId="19" xfId="1" applyFont="1" applyFill="1" applyBorder="1" applyAlignment="1">
      <alignment horizontal="right" vertical="center"/>
    </xf>
    <xf numFmtId="171" fontId="27" fillId="0" borderId="19" xfId="0" applyNumberFormat="1" applyFont="1" applyFill="1" applyBorder="1" applyAlignment="1">
      <alignment horizontal="center" vertical="center"/>
    </xf>
    <xf numFmtId="1" fontId="27" fillId="0" borderId="21" xfId="0" applyNumberFormat="1" applyFont="1" applyFill="1" applyBorder="1" applyAlignment="1">
      <alignment horizontal="center" vertical="center" wrapText="1"/>
    </xf>
    <xf numFmtId="0" fontId="27" fillId="0" borderId="0" xfId="0" applyFont="1" applyFill="1" applyAlignment="1">
      <alignment horizontal="justify"/>
    </xf>
    <xf numFmtId="0" fontId="26" fillId="0" borderId="0" xfId="0" applyFont="1" applyFill="1" applyBorder="1" applyAlignment="1">
      <alignment horizontal="center" vertical="center"/>
    </xf>
    <xf numFmtId="164" fontId="26" fillId="0" borderId="0" xfId="0" applyNumberFormat="1" applyFont="1" applyFill="1" applyBorder="1" applyAlignment="1">
      <alignment horizontal="justify" vertical="center"/>
    </xf>
    <xf numFmtId="0" fontId="26" fillId="0" borderId="0" xfId="0" applyFont="1" applyFill="1" applyAlignment="1">
      <alignment horizontal="justify"/>
    </xf>
    <xf numFmtId="168" fontId="27" fillId="0" borderId="19" xfId="0" applyNumberFormat="1" applyFont="1" applyFill="1" applyBorder="1" applyAlignment="1">
      <alignment horizontal="center" vertical="center" wrapText="1"/>
    </xf>
    <xf numFmtId="168" fontId="27" fillId="0" borderId="8" xfId="0" applyNumberFormat="1" applyFont="1" applyFill="1" applyBorder="1" applyAlignment="1" applyProtection="1">
      <alignment horizontal="center" vertical="center" wrapText="1"/>
      <protection locked="0"/>
    </xf>
    <xf numFmtId="168" fontId="27" fillId="0" borderId="19" xfId="0" applyNumberFormat="1" applyFont="1" applyFill="1" applyBorder="1" applyAlignment="1" applyProtection="1">
      <alignment horizontal="center" vertical="center" wrapText="1"/>
      <protection locked="0"/>
    </xf>
    <xf numFmtId="1" fontId="27" fillId="2" borderId="8" xfId="0" applyNumberFormat="1" applyFont="1" applyFill="1" applyBorder="1" applyAlignment="1">
      <alignment horizontal="center" vertical="center" wrapText="1"/>
    </xf>
    <xf numFmtId="1" fontId="27" fillId="2" borderId="19" xfId="0" applyNumberFormat="1" applyFont="1" applyFill="1" applyBorder="1" applyAlignment="1">
      <alignment horizontal="center" vertical="center" wrapText="1"/>
    </xf>
    <xf numFmtId="0" fontId="27" fillId="0" borderId="16" xfId="0" applyFont="1" applyFill="1" applyBorder="1" applyAlignment="1">
      <alignment horizontal="center" vertical="center" wrapText="1"/>
    </xf>
    <xf numFmtId="43" fontId="27" fillId="0" borderId="19" xfId="1" applyFont="1" applyFill="1" applyBorder="1" applyAlignment="1">
      <alignment horizontal="justify" vertical="center" wrapText="1"/>
    </xf>
    <xf numFmtId="3" fontId="27" fillId="0" borderId="21" xfId="0" applyNumberFormat="1" applyFont="1" applyFill="1" applyBorder="1" applyAlignment="1">
      <alignment horizontal="center" vertical="center" wrapText="1"/>
    </xf>
    <xf numFmtId="0" fontId="27" fillId="0" borderId="29" xfId="0" applyFont="1" applyFill="1" applyBorder="1" applyAlignment="1">
      <alignment horizontal="center" vertical="center" wrapText="1"/>
    </xf>
    <xf numFmtId="9" fontId="27" fillId="0" borderId="19" xfId="2" applyFont="1" applyFill="1" applyBorder="1" applyAlignment="1">
      <alignment horizontal="center" vertical="center" wrapText="1"/>
    </xf>
    <xf numFmtId="0" fontId="29" fillId="0" borderId="8" xfId="0" applyFont="1" applyFill="1" applyBorder="1" applyAlignment="1">
      <alignment horizontal="justify" vertical="center" wrapText="1"/>
    </xf>
    <xf numFmtId="0" fontId="29" fillId="0" borderId="19" xfId="0" applyFont="1" applyFill="1" applyBorder="1" applyAlignment="1">
      <alignment horizontal="justify" vertical="center" wrapText="1"/>
    </xf>
    <xf numFmtId="178" fontId="27" fillId="0" borderId="19" xfId="5" applyNumberFormat="1" applyFont="1" applyFill="1" applyBorder="1" applyAlignment="1">
      <alignment horizontal="center" vertical="center" wrapText="1"/>
    </xf>
    <xf numFmtId="178" fontId="27" fillId="0" borderId="29" xfId="5" applyNumberFormat="1" applyFont="1" applyFill="1" applyBorder="1" applyAlignment="1">
      <alignment horizontal="center" vertical="center" wrapText="1"/>
    </xf>
    <xf numFmtId="178" fontId="27" fillId="0" borderId="8" xfId="5" applyNumberFormat="1" applyFont="1" applyFill="1" applyBorder="1" applyAlignment="1">
      <alignment horizontal="center" vertical="center" wrapText="1"/>
    </xf>
    <xf numFmtId="0" fontId="26" fillId="0" borderId="22" xfId="0" applyFont="1" applyBorder="1" applyAlignment="1">
      <alignment horizontal="center" vertical="center"/>
    </xf>
    <xf numFmtId="0" fontId="26" fillId="0" borderId="10" xfId="0" applyFont="1" applyBorder="1" applyAlignment="1">
      <alignment horizontal="center" vertical="center"/>
    </xf>
    <xf numFmtId="1" fontId="26" fillId="3" borderId="18" xfId="0" applyNumberFormat="1" applyFont="1" applyFill="1" applyBorder="1" applyAlignment="1">
      <alignment horizontal="center" vertical="center" wrapText="1"/>
    </xf>
    <xf numFmtId="1" fontId="26" fillId="3" borderId="36" xfId="0" applyNumberFormat="1"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1" fontId="14" fillId="3" borderId="18" xfId="0" applyNumberFormat="1" applyFont="1" applyFill="1" applyBorder="1" applyAlignment="1">
      <alignment horizontal="center" vertical="center" wrapText="1"/>
    </xf>
    <xf numFmtId="1" fontId="14" fillId="3" borderId="36" xfId="0" applyNumberFormat="1"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4" borderId="19" xfId="0" applyFont="1" applyFill="1" applyBorder="1" applyAlignment="1">
      <alignment horizontal="center" vertical="center" textRotation="90" wrapText="1"/>
    </xf>
    <xf numFmtId="0" fontId="15" fillId="4" borderId="28" xfId="0" applyFont="1" applyFill="1" applyBorder="1" applyAlignment="1">
      <alignment horizontal="center" vertical="center" textRotation="90" wrapText="1"/>
    </xf>
    <xf numFmtId="165" fontId="15" fillId="3" borderId="31" xfId="0" applyNumberFormat="1" applyFont="1" applyFill="1" applyBorder="1" applyAlignment="1">
      <alignment horizontal="center" vertical="center" wrapText="1"/>
    </xf>
    <xf numFmtId="165" fontId="15" fillId="3" borderId="27" xfId="0" applyNumberFormat="1" applyFont="1" applyFill="1" applyBorder="1" applyAlignment="1">
      <alignment horizontal="center" vertical="center" wrapText="1"/>
    </xf>
    <xf numFmtId="3" fontId="15" fillId="3" borderId="21" xfId="0" applyNumberFormat="1" applyFont="1" applyFill="1" applyBorder="1" applyAlignment="1">
      <alignment horizontal="center" vertical="center" wrapText="1"/>
    </xf>
    <xf numFmtId="3" fontId="15" fillId="3" borderId="37" xfId="0" applyNumberFormat="1" applyFont="1" applyFill="1" applyBorder="1" applyAlignment="1">
      <alignment horizontal="center" vertical="center" wrapText="1"/>
    </xf>
    <xf numFmtId="43" fontId="15" fillId="3" borderId="19" xfId="1" applyFont="1" applyFill="1" applyBorder="1" applyAlignment="1">
      <alignment horizontal="center" vertical="center" wrapText="1"/>
    </xf>
    <xf numFmtId="43" fontId="15" fillId="3" borderId="29" xfId="1" applyFont="1" applyFill="1" applyBorder="1" applyAlignment="1">
      <alignment horizontal="center" vertical="center" wrapText="1"/>
    </xf>
    <xf numFmtId="164" fontId="15" fillId="3" borderId="31" xfId="0" applyNumberFormat="1" applyFont="1" applyFill="1" applyBorder="1" applyAlignment="1">
      <alignment horizontal="center" vertical="center" wrapText="1"/>
    </xf>
    <xf numFmtId="164" fontId="15" fillId="3" borderId="27" xfId="0" applyNumberFormat="1" applyFont="1" applyFill="1" applyBorder="1" applyAlignment="1">
      <alignment horizontal="center" vertical="center" wrapText="1"/>
    </xf>
    <xf numFmtId="3" fontId="17" fillId="2" borderId="21" xfId="0" applyNumberFormat="1" applyFont="1" applyFill="1" applyBorder="1" applyAlignment="1">
      <alignment horizontal="justify" vertical="center" wrapText="1"/>
    </xf>
    <xf numFmtId="3" fontId="17" fillId="2" borderId="37" xfId="0" applyNumberFormat="1" applyFont="1" applyFill="1" applyBorder="1" applyAlignment="1">
      <alignment horizontal="justify" vertical="center" wrapText="1"/>
    </xf>
    <xf numFmtId="0" fontId="18" fillId="0" borderId="31" xfId="0" applyFont="1" applyBorder="1" applyAlignment="1">
      <alignment horizontal="center" vertical="center"/>
    </xf>
    <xf numFmtId="0" fontId="18" fillId="0" borderId="27" xfId="0" applyFont="1" applyBorder="1" applyAlignment="1">
      <alignment horizontal="center" vertical="center"/>
    </xf>
    <xf numFmtId="0" fontId="18" fillId="0" borderId="19" xfId="0" applyNumberFormat="1" applyFont="1" applyBorder="1" applyAlignment="1">
      <alignment horizontal="center" vertical="center" wrapText="1"/>
    </xf>
    <xf numFmtId="0" fontId="18" fillId="0" borderId="29" xfId="0" applyNumberFormat="1" applyFont="1" applyBorder="1" applyAlignment="1">
      <alignment horizontal="center" vertical="center" wrapText="1"/>
    </xf>
    <xf numFmtId="0" fontId="8" fillId="2" borderId="0" xfId="0" applyFont="1" applyFill="1" applyBorder="1" applyAlignment="1">
      <alignment horizontal="center" vertical="center" wrapText="1"/>
    </xf>
    <xf numFmtId="0" fontId="17" fillId="2" borderId="0" xfId="0" applyFont="1" applyFill="1" applyBorder="1" applyAlignment="1">
      <alignment horizontal="justify" vertical="center" wrapText="1"/>
    </xf>
    <xf numFmtId="0" fontId="17" fillId="2" borderId="7" xfId="0" applyFont="1" applyFill="1" applyBorder="1" applyAlignment="1">
      <alignment horizontal="justify" vertical="center" wrapText="1"/>
    </xf>
    <xf numFmtId="0" fontId="17" fillId="0" borderId="29" xfId="0" applyFont="1" applyFill="1" applyBorder="1" applyAlignment="1">
      <alignment horizontal="left" vertical="center" wrapText="1"/>
    </xf>
    <xf numFmtId="0" fontId="17" fillId="2" borderId="29" xfId="0" applyFont="1" applyFill="1" applyBorder="1" applyAlignment="1">
      <alignment horizontal="center" vertical="center" wrapText="1"/>
    </xf>
    <xf numFmtId="0" fontId="17" fillId="2" borderId="19" xfId="0" applyFont="1" applyFill="1" applyBorder="1" applyAlignment="1">
      <alignment horizontal="justify" vertical="center" wrapText="1"/>
    </xf>
    <xf numFmtId="0" fontId="17" fillId="2" borderId="29" xfId="0" applyFont="1" applyFill="1" applyBorder="1" applyAlignment="1">
      <alignment horizontal="justify" vertical="center" wrapText="1"/>
    </xf>
    <xf numFmtId="0" fontId="17" fillId="2" borderId="28" xfId="0" applyFont="1" applyFill="1" applyBorder="1" applyAlignment="1">
      <alignment horizontal="justify" vertical="center" wrapText="1"/>
    </xf>
    <xf numFmtId="43" fontId="17" fillId="0" borderId="19" xfId="1" applyFont="1" applyFill="1" applyBorder="1" applyAlignment="1">
      <alignment horizontal="center" vertical="center" wrapText="1"/>
    </xf>
    <xf numFmtId="43" fontId="17" fillId="0" borderId="29" xfId="1" applyFont="1" applyFill="1" applyBorder="1" applyAlignment="1">
      <alignment horizontal="center" vertical="center" wrapText="1"/>
    </xf>
    <xf numFmtId="43" fontId="17" fillId="0" borderId="28" xfId="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7" fillId="2" borderId="28" xfId="0" applyFont="1" applyFill="1" applyBorder="1" applyAlignment="1">
      <alignment horizontal="center" vertical="center" wrapText="1"/>
    </xf>
    <xf numFmtId="165" fontId="17" fillId="2" borderId="19" xfId="0" applyNumberFormat="1" applyFont="1" applyFill="1" applyBorder="1" applyAlignment="1">
      <alignment horizontal="center" vertical="center" wrapText="1"/>
    </xf>
    <xf numFmtId="165" fontId="17" fillId="2" borderId="29" xfId="0" applyNumberFormat="1" applyFont="1" applyFill="1" applyBorder="1" applyAlignment="1">
      <alignment horizontal="center" vertical="center" wrapText="1"/>
    </xf>
    <xf numFmtId="9" fontId="17" fillId="2" borderId="29" xfId="2" applyFont="1" applyFill="1" applyBorder="1" applyAlignment="1">
      <alignment horizontal="center" vertical="center" wrapText="1"/>
    </xf>
    <xf numFmtId="43" fontId="17" fillId="2" borderId="19" xfId="1" applyFont="1" applyFill="1" applyBorder="1" applyAlignment="1">
      <alignment horizontal="justify" vertical="center" wrapText="1"/>
    </xf>
    <xf numFmtId="43" fontId="17" fillId="2" borderId="29" xfId="1" applyFont="1" applyFill="1" applyBorder="1" applyAlignment="1">
      <alignment horizontal="justify" vertical="center" wrapText="1"/>
    </xf>
    <xf numFmtId="43" fontId="17" fillId="2" borderId="28" xfId="1" applyFont="1" applyFill="1" applyBorder="1" applyAlignment="1">
      <alignment horizontal="justify" vertical="center" wrapText="1"/>
    </xf>
    <xf numFmtId="3" fontId="17" fillId="2" borderId="19" xfId="0" applyNumberFormat="1" applyFont="1" applyFill="1" applyBorder="1" applyAlignment="1">
      <alignment horizontal="justify" vertical="center" wrapText="1"/>
    </xf>
    <xf numFmtId="3" fontId="17" fillId="2" borderId="29" xfId="0" applyNumberFormat="1" applyFont="1" applyFill="1" applyBorder="1" applyAlignment="1">
      <alignment horizontal="justify" vertical="center" wrapText="1"/>
    </xf>
    <xf numFmtId="3" fontId="17" fillId="2" borderId="28" xfId="0" applyNumberFormat="1" applyFont="1" applyFill="1" applyBorder="1" applyAlignment="1">
      <alignment horizontal="justify" vertical="center" wrapText="1"/>
    </xf>
    <xf numFmtId="0" fontId="17" fillId="0" borderId="29" xfId="0" applyFont="1" applyFill="1" applyBorder="1" applyAlignment="1">
      <alignment horizontal="justify" vertical="center" wrapText="1"/>
    </xf>
    <xf numFmtId="0" fontId="17" fillId="2" borderId="23" xfId="0" applyFont="1" applyFill="1" applyBorder="1" applyAlignment="1">
      <alignment horizontal="justify" vertical="center" wrapText="1"/>
    </xf>
    <xf numFmtId="0" fontId="17" fillId="2" borderId="20" xfId="0" applyFont="1" applyFill="1" applyBorder="1" applyAlignment="1">
      <alignment horizontal="justify" vertical="center" wrapText="1"/>
    </xf>
    <xf numFmtId="0" fontId="17" fillId="2" borderId="16"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justify" vertical="center" wrapText="1"/>
    </xf>
    <xf numFmtId="0" fontId="17" fillId="0" borderId="14" xfId="0" applyFont="1" applyFill="1" applyBorder="1" applyAlignment="1">
      <alignment horizontal="center" vertical="center" wrapText="1"/>
    </xf>
    <xf numFmtId="0" fontId="18" fillId="0" borderId="25" xfId="0" applyFont="1" applyBorder="1" applyAlignment="1">
      <alignment horizontal="center" vertical="center"/>
    </xf>
    <xf numFmtId="0" fontId="18" fillId="0" borderId="28" xfId="0" applyNumberFormat="1" applyFont="1" applyBorder="1" applyAlignment="1">
      <alignment horizontal="center" vertical="center" wrapText="1"/>
    </xf>
    <xf numFmtId="165" fontId="17" fillId="2" borderId="28" xfId="0" applyNumberFormat="1" applyFont="1" applyFill="1" applyBorder="1" applyAlignment="1">
      <alignment horizontal="center" vertical="center" wrapText="1"/>
    </xf>
    <xf numFmtId="1" fontId="17" fillId="0" borderId="8" xfId="0" applyNumberFormat="1" applyFont="1" applyFill="1" applyBorder="1" applyAlignment="1">
      <alignment horizontal="center" vertical="center" wrapText="1"/>
    </xf>
    <xf numFmtId="0" fontId="17" fillId="0" borderId="16" xfId="0" applyFont="1" applyBorder="1" applyAlignment="1">
      <alignment horizontal="center" vertical="center" wrapText="1"/>
    </xf>
    <xf numFmtId="9" fontId="17" fillId="2" borderId="8" xfId="2" applyFont="1" applyFill="1" applyBorder="1" applyAlignment="1">
      <alignment horizontal="center" vertical="center" wrapText="1"/>
    </xf>
    <xf numFmtId="43" fontId="17" fillId="2" borderId="8" xfId="1" applyFont="1" applyFill="1" applyBorder="1" applyAlignment="1">
      <alignment horizontal="justify" vertical="center" wrapText="1"/>
    </xf>
    <xf numFmtId="0" fontId="17" fillId="0" borderId="31" xfId="0" applyFont="1" applyFill="1" applyBorder="1" applyAlignment="1">
      <alignment horizontal="justify" vertical="center" wrapText="1"/>
    </xf>
    <xf numFmtId="0" fontId="17" fillId="0" borderId="27" xfId="0" applyFont="1" applyFill="1" applyBorder="1" applyAlignment="1">
      <alignment horizontal="justify" vertical="center" wrapText="1"/>
    </xf>
    <xf numFmtId="0" fontId="17" fillId="0" borderId="25" xfId="0" applyFont="1" applyFill="1" applyBorder="1" applyAlignment="1">
      <alignment horizontal="justify" vertical="center" wrapText="1"/>
    </xf>
    <xf numFmtId="1" fontId="17" fillId="0" borderId="28" xfId="0" applyNumberFormat="1" applyFont="1" applyFill="1" applyBorder="1" applyAlignment="1">
      <alignment horizontal="center" vertical="center" wrapText="1"/>
    </xf>
    <xf numFmtId="0" fontId="17" fillId="0" borderId="12" xfId="0" applyFont="1" applyBorder="1" applyAlignment="1">
      <alignment horizontal="center" vertical="center" wrapText="1"/>
    </xf>
    <xf numFmtId="0" fontId="18" fillId="0" borderId="11" xfId="0" applyFont="1" applyBorder="1" applyAlignment="1">
      <alignment horizontal="center" vertical="center"/>
    </xf>
    <xf numFmtId="43" fontId="17" fillId="2" borderId="29" xfId="1" applyFont="1" applyFill="1" applyBorder="1" applyAlignment="1">
      <alignment horizontal="center" vertical="center" wrapText="1"/>
    </xf>
    <xf numFmtId="43" fontId="17" fillId="2" borderId="28" xfId="1" applyFont="1" applyFill="1" applyBorder="1" applyAlignment="1">
      <alignment horizontal="center" vertical="center" wrapText="1"/>
    </xf>
    <xf numFmtId="1" fontId="17" fillId="0" borderId="29" xfId="0" applyNumberFormat="1" applyFont="1" applyFill="1" applyBorder="1" applyAlignment="1">
      <alignment horizontal="center" vertical="center" wrapText="1"/>
    </xf>
    <xf numFmtId="43" fontId="17" fillId="2" borderId="19" xfId="1" applyFont="1" applyFill="1" applyBorder="1" applyAlignment="1">
      <alignment horizontal="center" vertical="center" wrapText="1"/>
    </xf>
    <xf numFmtId="1" fontId="17" fillId="0" borderId="19" xfId="0" applyNumberFormat="1" applyFont="1" applyFill="1" applyBorder="1" applyAlignment="1">
      <alignment horizontal="center" vertical="center" wrapText="1"/>
    </xf>
    <xf numFmtId="3" fontId="17" fillId="2" borderId="30" xfId="0" applyNumberFormat="1" applyFont="1" applyFill="1" applyBorder="1" applyAlignment="1">
      <alignment horizontal="justify" vertical="center" wrapText="1"/>
    </xf>
    <xf numFmtId="0" fontId="18" fillId="0" borderId="8" xfId="0" applyFont="1" applyBorder="1" applyAlignment="1">
      <alignment horizontal="center" vertical="center"/>
    </xf>
    <xf numFmtId="0" fontId="8" fillId="2" borderId="11" xfId="0" applyFont="1" applyFill="1" applyBorder="1" applyAlignment="1">
      <alignment horizontal="center" vertical="center" wrapText="1"/>
    </xf>
    <xf numFmtId="0" fontId="17" fillId="2" borderId="11" xfId="0" applyFont="1" applyFill="1" applyBorder="1" applyAlignment="1">
      <alignment horizontal="justify" vertical="center" wrapText="1"/>
    </xf>
    <xf numFmtId="0" fontId="17" fillId="2" borderId="12" xfId="0" applyFont="1" applyFill="1" applyBorder="1" applyAlignment="1">
      <alignment horizontal="justify" vertical="center" wrapText="1"/>
    </xf>
    <xf numFmtId="3" fontId="17" fillId="0" borderId="31" xfId="0" applyNumberFormat="1" applyFont="1" applyFill="1" applyBorder="1" applyAlignment="1">
      <alignment horizontal="justify" vertical="center" wrapText="1"/>
    </xf>
    <xf numFmtId="3" fontId="17" fillId="0" borderId="27" xfId="0" applyNumberFormat="1" applyFont="1" applyFill="1" applyBorder="1" applyAlignment="1">
      <alignment horizontal="justify" vertical="center" wrapText="1"/>
    </xf>
    <xf numFmtId="3" fontId="17" fillId="0" borderId="25" xfId="0" applyNumberFormat="1" applyFont="1" applyFill="1" applyBorder="1" applyAlignment="1">
      <alignment horizontal="justify" vertical="center" wrapText="1"/>
    </xf>
    <xf numFmtId="3" fontId="17" fillId="0" borderId="19" xfId="0" applyNumberFormat="1" applyFont="1" applyFill="1" applyBorder="1" applyAlignment="1">
      <alignment horizontal="justify" vertical="center" wrapText="1"/>
    </xf>
    <xf numFmtId="3" fontId="17" fillId="0" borderId="29" xfId="0" applyNumberFormat="1" applyFont="1" applyFill="1" applyBorder="1" applyAlignment="1">
      <alignment horizontal="justify" vertical="center" wrapText="1"/>
    </xf>
    <xf numFmtId="3" fontId="17" fillId="0" borderId="28" xfId="0" applyNumberFormat="1" applyFont="1" applyFill="1" applyBorder="1" applyAlignment="1">
      <alignment horizontal="justify" vertical="center" wrapText="1"/>
    </xf>
    <xf numFmtId="0" fontId="8" fillId="2" borderId="1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5" fillId="6" borderId="15" xfId="0" applyFont="1" applyFill="1" applyBorder="1" applyAlignment="1">
      <alignment horizontal="justify" vertical="center"/>
    </xf>
    <xf numFmtId="0" fontId="15" fillId="7" borderId="15" xfId="0" applyFont="1" applyFill="1" applyBorder="1" applyAlignment="1">
      <alignment horizontal="left" vertical="center"/>
    </xf>
    <xf numFmtId="0" fontId="17" fillId="2" borderId="31" xfId="0" applyFont="1" applyFill="1" applyBorder="1" applyAlignment="1">
      <alignment horizontal="justify" vertical="center" wrapText="1"/>
    </xf>
    <xf numFmtId="0" fontId="17" fillId="2" borderId="27" xfId="0" applyFont="1" applyFill="1" applyBorder="1" applyAlignment="1">
      <alignment horizontal="justify" vertical="center" wrapText="1"/>
    </xf>
    <xf numFmtId="0" fontId="17" fillId="2" borderId="25" xfId="0" applyFont="1" applyFill="1" applyBorder="1" applyAlignment="1">
      <alignment horizontal="justify" vertical="center" wrapText="1"/>
    </xf>
    <xf numFmtId="1" fontId="17" fillId="2" borderId="19" xfId="0" applyNumberFormat="1" applyFont="1" applyFill="1" applyBorder="1" applyAlignment="1">
      <alignment horizontal="center" vertical="center" wrapText="1"/>
    </xf>
    <xf numFmtId="1" fontId="17" fillId="2" borderId="29" xfId="0" applyNumberFormat="1" applyFont="1" applyFill="1" applyBorder="1" applyAlignment="1">
      <alignment horizontal="center" vertical="center" wrapText="1"/>
    </xf>
    <xf numFmtId="1" fontId="17" fillId="2" borderId="28" xfId="0" applyNumberFormat="1" applyFont="1" applyFill="1" applyBorder="1" applyAlignment="1">
      <alignment horizontal="center" vertical="center" wrapText="1"/>
    </xf>
    <xf numFmtId="3" fontId="17" fillId="0" borderId="20" xfId="4" applyNumberFormat="1" applyFont="1" applyBorder="1" applyAlignment="1">
      <alignment horizontal="center" vertical="center"/>
    </xf>
    <xf numFmtId="3" fontId="17" fillId="0" borderId="7" xfId="4" applyNumberFormat="1" applyFont="1" applyBorder="1" applyAlignment="1">
      <alignment horizontal="center" vertical="center"/>
    </xf>
    <xf numFmtId="3" fontId="17" fillId="0" borderId="12" xfId="4" applyNumberFormat="1" applyFont="1" applyBorder="1" applyAlignment="1">
      <alignment horizontal="center" vertical="center"/>
    </xf>
    <xf numFmtId="3" fontId="17" fillId="0" borderId="19" xfId="4" applyNumberFormat="1" applyFont="1" applyBorder="1" applyAlignment="1">
      <alignment horizontal="center" vertical="center"/>
    </xf>
    <xf numFmtId="3" fontId="17" fillId="0" borderId="29" xfId="4" applyNumberFormat="1" applyFont="1" applyBorder="1" applyAlignment="1">
      <alignment horizontal="center" vertical="center"/>
    </xf>
    <xf numFmtId="3" fontId="17" fillId="0" borderId="28" xfId="4" applyNumberFormat="1" applyFont="1" applyBorder="1" applyAlignment="1">
      <alignment horizontal="center" vertical="center"/>
    </xf>
    <xf numFmtId="170" fontId="17" fillId="2" borderId="29" xfId="0" applyNumberFormat="1" applyFont="1" applyFill="1" applyBorder="1" applyAlignment="1">
      <alignment horizontal="center" vertical="center" wrapText="1"/>
    </xf>
    <xf numFmtId="0" fontId="17" fillId="2" borderId="27" xfId="0" applyNumberFormat="1" applyFont="1" applyFill="1" applyBorder="1" applyAlignment="1">
      <alignment horizontal="center" vertical="center" wrapText="1"/>
    </xf>
    <xf numFmtId="49" fontId="17" fillId="2" borderId="29" xfId="0" applyNumberFormat="1" applyFont="1" applyFill="1" applyBorder="1" applyAlignment="1">
      <alignment horizontal="center" vertical="center" wrapText="1"/>
    </xf>
    <xf numFmtId="49" fontId="17" fillId="2" borderId="28" xfId="0" applyNumberFormat="1" applyFont="1" applyFill="1" applyBorder="1" applyAlignment="1">
      <alignment horizontal="center" vertical="center" wrapText="1"/>
    </xf>
    <xf numFmtId="0" fontId="17" fillId="2" borderId="25" xfId="0" applyNumberFormat="1" applyFont="1" applyFill="1" applyBorder="1" applyAlignment="1">
      <alignment horizontal="center" vertical="center" wrapText="1"/>
    </xf>
    <xf numFmtId="171" fontId="17" fillId="0" borderId="19" xfId="0" applyNumberFormat="1" applyFont="1" applyFill="1" applyBorder="1" applyAlignment="1">
      <alignment horizontal="center" vertical="center" wrapText="1"/>
    </xf>
    <xf numFmtId="171" fontId="17" fillId="0" borderId="29" xfId="0" applyNumberFormat="1" applyFont="1" applyFill="1" applyBorder="1" applyAlignment="1">
      <alignment horizontal="center" vertical="center" wrapText="1"/>
    </xf>
    <xf numFmtId="171" fontId="17" fillId="0" borderId="28" xfId="0" applyNumberFormat="1" applyFont="1" applyFill="1" applyBorder="1" applyAlignment="1">
      <alignment horizontal="center" vertical="center" wrapText="1"/>
    </xf>
    <xf numFmtId="0" fontId="17" fillId="2" borderId="31" xfId="0" applyNumberFormat="1" applyFont="1" applyFill="1" applyBorder="1" applyAlignment="1">
      <alignment horizontal="center" vertical="center" wrapText="1"/>
    </xf>
    <xf numFmtId="170" fontId="17" fillId="2" borderId="19" xfId="0"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17" fillId="0" borderId="31"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10" fontId="17" fillId="2" borderId="19" xfId="2" applyNumberFormat="1" applyFont="1" applyFill="1" applyBorder="1" applyAlignment="1">
      <alignment horizontal="center" vertical="center" wrapText="1"/>
    </xf>
    <xf numFmtId="10" fontId="17" fillId="2" borderId="29" xfId="2" applyNumberFormat="1" applyFont="1" applyFill="1" applyBorder="1" applyAlignment="1">
      <alignment horizontal="center" vertical="center" wrapText="1"/>
    </xf>
    <xf numFmtId="10" fontId="17" fillId="2" borderId="28" xfId="2" applyNumberFormat="1" applyFont="1" applyFill="1" applyBorder="1" applyAlignment="1">
      <alignment horizontal="center" vertical="center" wrapText="1"/>
    </xf>
    <xf numFmtId="0" fontId="17" fillId="0" borderId="8" xfId="0" applyFont="1" applyFill="1" applyBorder="1" applyAlignment="1">
      <alignment horizontal="left" vertical="center" wrapText="1"/>
    </xf>
    <xf numFmtId="1" fontId="17" fillId="0" borderId="9" xfId="0" applyNumberFormat="1" applyFont="1" applyFill="1" applyBorder="1" applyAlignment="1">
      <alignment horizontal="justify" vertical="center" wrapText="1"/>
    </xf>
    <xf numFmtId="1" fontId="17" fillId="0" borderId="21" xfId="0" applyNumberFormat="1" applyFont="1" applyFill="1" applyBorder="1" applyAlignment="1">
      <alignment horizontal="justify" vertical="center" wrapText="1"/>
    </xf>
    <xf numFmtId="0" fontId="17" fillId="0" borderId="8"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171" fontId="17" fillId="0" borderId="8" xfId="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3" fontId="17" fillId="0" borderId="23" xfId="0" applyNumberFormat="1" applyFont="1" applyFill="1" applyBorder="1" applyAlignment="1">
      <alignment horizontal="center" vertical="center" wrapText="1"/>
    </xf>
    <xf numFmtId="3" fontId="17" fillId="0" borderId="19" xfId="0" applyNumberFormat="1"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3" fontId="17" fillId="0" borderId="20" xfId="0" applyNumberFormat="1" applyFont="1" applyFill="1" applyBorder="1" applyAlignment="1">
      <alignment horizontal="center" vertical="center" wrapText="1"/>
    </xf>
    <xf numFmtId="3" fontId="17" fillId="2" borderId="29" xfId="0" applyNumberFormat="1"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8" xfId="0"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2" xfId="0" applyFont="1" applyFill="1" applyBorder="1" applyAlignment="1">
      <alignment horizontal="center" vertical="center" wrapText="1"/>
    </xf>
    <xf numFmtId="3" fontId="17" fillId="2" borderId="28" xfId="0" applyNumberFormat="1" applyFont="1" applyFill="1" applyBorder="1" applyAlignment="1">
      <alignment horizontal="center" vertical="center" wrapText="1"/>
    </xf>
    <xf numFmtId="9" fontId="17" fillId="2" borderId="19" xfId="2" applyNumberFormat="1" applyFont="1" applyFill="1" applyBorder="1" applyAlignment="1">
      <alignment horizontal="center" vertical="center" wrapText="1"/>
    </xf>
    <xf numFmtId="9" fontId="17" fillId="2" borderId="29" xfId="2" applyNumberFormat="1" applyFont="1" applyFill="1" applyBorder="1" applyAlignment="1">
      <alignment horizontal="center" vertical="center" wrapText="1"/>
    </xf>
    <xf numFmtId="9" fontId="17" fillId="2" borderId="28" xfId="2" applyNumberFormat="1" applyFont="1" applyFill="1" applyBorder="1" applyAlignment="1">
      <alignment horizontal="center" vertical="center" wrapText="1"/>
    </xf>
    <xf numFmtId="3" fontId="17" fillId="0" borderId="29" xfId="0" applyNumberFormat="1" applyFont="1" applyFill="1" applyBorder="1" applyAlignment="1">
      <alignment horizontal="center" vertical="center" wrapText="1"/>
    </xf>
    <xf numFmtId="3" fontId="17" fillId="0" borderId="28" xfId="0" applyNumberFormat="1" applyFont="1" applyFill="1" applyBorder="1" applyAlignment="1">
      <alignment horizontal="center" vertical="center" wrapText="1"/>
    </xf>
    <xf numFmtId="0" fontId="17" fillId="0" borderId="29" xfId="0" applyNumberFormat="1" applyFont="1" applyFill="1" applyBorder="1" applyAlignment="1">
      <alignment horizontal="center" vertical="center" wrapText="1"/>
    </xf>
    <xf numFmtId="0" fontId="17" fillId="0" borderId="28" xfId="0" applyNumberFormat="1" applyFont="1" applyFill="1" applyBorder="1" applyAlignment="1">
      <alignment horizontal="center" vertical="center" wrapText="1"/>
    </xf>
    <xf numFmtId="9" fontId="17" fillId="0" borderId="19" xfId="0" applyNumberFormat="1" applyFont="1" applyFill="1" applyBorder="1" applyAlignment="1">
      <alignment horizontal="center" vertical="center"/>
    </xf>
    <xf numFmtId="9" fontId="17" fillId="0" borderId="29" xfId="0" applyNumberFormat="1" applyFont="1" applyFill="1" applyBorder="1" applyAlignment="1">
      <alignment horizontal="center" vertical="center"/>
    </xf>
    <xf numFmtId="4" fontId="17" fillId="0" borderId="19" xfId="0" applyNumberFormat="1" applyFont="1" applyFill="1" applyBorder="1" applyAlignment="1">
      <alignment horizontal="center" vertical="center"/>
    </xf>
    <xf numFmtId="4" fontId="17" fillId="0" borderId="29" xfId="0" applyNumberFormat="1" applyFont="1" applyFill="1" applyBorder="1" applyAlignment="1">
      <alignment horizontal="center" vertical="center"/>
    </xf>
    <xf numFmtId="1" fontId="17" fillId="0" borderId="37" xfId="0" applyNumberFormat="1" applyFont="1" applyFill="1" applyBorder="1" applyAlignment="1">
      <alignment horizontal="justify" vertical="center" wrapText="1"/>
    </xf>
    <xf numFmtId="1" fontId="17" fillId="0" borderId="30" xfId="0" applyNumberFormat="1" applyFont="1" applyFill="1" applyBorder="1" applyAlignment="1">
      <alignment horizontal="justify"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5" fillId="6" borderId="14" xfId="0" applyFont="1" applyFill="1" applyBorder="1" applyAlignment="1">
      <alignment horizontal="justify" vertical="center"/>
    </xf>
    <xf numFmtId="0" fontId="17" fillId="2" borderId="31"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5" fillId="0" borderId="31"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9"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1"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1" xfId="0" applyNumberFormat="1" applyFont="1" applyFill="1" applyBorder="1" applyAlignment="1">
      <alignment horizontal="justify" vertical="center" wrapText="1"/>
    </xf>
    <xf numFmtId="0" fontId="17" fillId="0" borderId="37" xfId="0" applyNumberFormat="1" applyFont="1" applyFill="1" applyBorder="1" applyAlignment="1">
      <alignment horizontal="justify" vertical="center" wrapText="1"/>
    </xf>
    <xf numFmtId="165" fontId="27" fillId="0" borderId="8" xfId="0" applyNumberFormat="1" applyFont="1" applyFill="1" applyBorder="1" applyAlignment="1">
      <alignment horizontal="left" vertical="center" wrapText="1"/>
    </xf>
    <xf numFmtId="0" fontId="24" fillId="0" borderId="8" xfId="0" applyFont="1" applyBorder="1" applyAlignment="1">
      <alignment horizontal="left" vertical="center"/>
    </xf>
    <xf numFmtId="0" fontId="24" fillId="0" borderId="19" xfId="0" applyFont="1" applyBorder="1" applyAlignment="1">
      <alignment horizontal="left" vertical="center"/>
    </xf>
    <xf numFmtId="0" fontId="27" fillId="0" borderId="8" xfId="0" applyFont="1" applyBorder="1" applyAlignment="1">
      <alignment vertical="center"/>
    </xf>
    <xf numFmtId="0" fontId="24" fillId="0" borderId="8" xfId="0" applyFont="1" applyBorder="1" applyAlignment="1">
      <alignment vertical="center"/>
    </xf>
    <xf numFmtId="0" fontId="24" fillId="0" borderId="19" xfId="0" applyFont="1" applyBorder="1" applyAlignment="1">
      <alignment vertical="center"/>
    </xf>
    <xf numFmtId="165" fontId="27" fillId="0" borderId="19" xfId="0" applyNumberFormat="1" applyFont="1" applyFill="1" applyBorder="1" applyAlignment="1">
      <alignment horizontal="center" vertical="center"/>
    </xf>
    <xf numFmtId="165" fontId="27" fillId="0" borderId="29" xfId="0" applyNumberFormat="1" applyFont="1" applyFill="1" applyBorder="1" applyAlignment="1">
      <alignment horizontal="center" vertical="center"/>
    </xf>
    <xf numFmtId="165" fontId="27" fillId="0" borderId="39" xfId="0" applyNumberFormat="1" applyFont="1" applyFill="1" applyBorder="1" applyAlignment="1">
      <alignment horizontal="center" vertical="center"/>
    </xf>
    <xf numFmtId="9" fontId="27" fillId="2" borderId="29" xfId="2" applyFont="1" applyFill="1" applyBorder="1" applyAlignment="1">
      <alignment horizontal="center" vertical="center"/>
    </xf>
    <xf numFmtId="43" fontId="27" fillId="2" borderId="29" xfId="1" applyFont="1" applyFill="1" applyBorder="1" applyAlignment="1">
      <alignment horizontal="center" vertical="center"/>
    </xf>
    <xf numFmtId="167" fontId="27" fillId="2" borderId="29" xfId="3" applyFont="1" applyFill="1" applyBorder="1" applyAlignment="1">
      <alignment horizontal="justify" vertical="center" wrapText="1"/>
    </xf>
    <xf numFmtId="167" fontId="27" fillId="2" borderId="27" xfId="3" applyFont="1" applyFill="1" applyBorder="1" applyAlignment="1">
      <alignment horizontal="justify" vertical="center" wrapText="1"/>
    </xf>
    <xf numFmtId="1" fontId="27" fillId="0" borderId="29" xfId="3" applyNumberFormat="1" applyFont="1" applyFill="1" applyBorder="1" applyAlignment="1">
      <alignment horizontal="center" vertical="center"/>
    </xf>
    <xf numFmtId="3" fontId="27" fillId="2" borderId="27" xfId="3" applyNumberFormat="1" applyFont="1" applyFill="1" applyBorder="1" applyAlignment="1">
      <alignment horizontal="center" vertical="center" wrapText="1"/>
    </xf>
    <xf numFmtId="1" fontId="27" fillId="0" borderId="8" xfId="0" applyNumberFormat="1" applyFont="1" applyBorder="1" applyAlignment="1">
      <alignment horizontal="center"/>
    </xf>
    <xf numFmtId="0" fontId="24" fillId="0" borderId="8" xfId="0" applyFont="1" applyBorder="1" applyAlignment="1"/>
    <xf numFmtId="1" fontId="27" fillId="0" borderId="19" xfId="0" applyNumberFormat="1" applyFont="1" applyBorder="1" applyAlignment="1">
      <alignment horizontal="center"/>
    </xf>
    <xf numFmtId="0" fontId="24" fillId="0" borderId="19" xfId="0" applyFont="1" applyBorder="1" applyAlignment="1"/>
    <xf numFmtId="1" fontId="27" fillId="0" borderId="31" xfId="3" applyNumberFormat="1" applyFont="1" applyBorder="1" applyAlignment="1">
      <alignment horizontal="center" vertical="center"/>
    </xf>
    <xf numFmtId="1" fontId="27" fillId="0" borderId="23" xfId="3" applyNumberFormat="1" applyFont="1" applyBorder="1" applyAlignment="1">
      <alignment horizontal="center" vertical="center"/>
    </xf>
    <xf numFmtId="1" fontId="27" fillId="0" borderId="20" xfId="3" applyNumberFormat="1" applyFont="1" applyBorder="1" applyAlignment="1">
      <alignment horizontal="center" vertical="center"/>
    </xf>
    <xf numFmtId="1" fontId="27" fillId="0" borderId="27" xfId="3" applyNumberFormat="1" applyFont="1" applyBorder="1" applyAlignment="1">
      <alignment horizontal="center" vertical="center"/>
    </xf>
    <xf numFmtId="1" fontId="27" fillId="0" borderId="0" xfId="3" applyNumberFormat="1" applyFont="1" applyBorder="1" applyAlignment="1">
      <alignment horizontal="center" vertical="center"/>
    </xf>
    <xf numFmtId="3" fontId="27" fillId="0" borderId="29" xfId="3" applyNumberFormat="1" applyFont="1" applyBorder="1" applyAlignment="1">
      <alignment horizontal="center" vertical="center"/>
    </xf>
    <xf numFmtId="3" fontId="27" fillId="2" borderId="29" xfId="3" applyNumberFormat="1" applyFont="1" applyFill="1" applyBorder="1" applyAlignment="1">
      <alignment horizontal="center" vertical="center"/>
    </xf>
    <xf numFmtId="167" fontId="27" fillId="2" borderId="29" xfId="3" applyFont="1" applyFill="1" applyBorder="1" applyAlignment="1">
      <alignment horizontal="justify" vertical="center"/>
    </xf>
    <xf numFmtId="49" fontId="27" fillId="0" borderId="29" xfId="3" applyNumberFormat="1" applyFont="1" applyFill="1" applyBorder="1" applyAlignment="1">
      <alignment horizontal="center" vertical="center" wrapText="1"/>
    </xf>
    <xf numFmtId="3" fontId="27" fillId="0" borderId="8" xfId="0" applyNumberFormat="1" applyFont="1" applyBorder="1" applyAlignment="1">
      <alignment vertical="center"/>
    </xf>
    <xf numFmtId="3" fontId="24" fillId="0" borderId="8" xfId="0" applyNumberFormat="1" applyFont="1" applyBorder="1" applyAlignment="1">
      <alignment vertical="center"/>
    </xf>
    <xf numFmtId="165" fontId="27" fillId="0" borderId="28" xfId="0" applyNumberFormat="1" applyFont="1" applyFill="1" applyBorder="1" applyAlignment="1">
      <alignment horizontal="center" vertical="center"/>
    </xf>
    <xf numFmtId="9" fontId="27" fillId="2" borderId="8" xfId="2" applyFont="1" applyFill="1" applyBorder="1" applyAlignment="1">
      <alignment horizontal="center" vertical="center"/>
    </xf>
    <xf numFmtId="43" fontId="27" fillId="2" borderId="8" xfId="1" applyFont="1" applyFill="1" applyBorder="1" applyAlignment="1">
      <alignment horizontal="center" vertical="center"/>
    </xf>
    <xf numFmtId="167" fontId="27" fillId="2" borderId="8" xfId="3" applyFont="1" applyFill="1" applyBorder="1" applyAlignment="1">
      <alignment horizontal="justify" vertical="center" wrapText="1"/>
    </xf>
    <xf numFmtId="49" fontId="27" fillId="0" borderId="7" xfId="3" applyNumberFormat="1" applyFont="1" applyFill="1" applyBorder="1" applyAlignment="1">
      <alignment horizontal="center" vertical="center" wrapText="1"/>
    </xf>
    <xf numFmtId="49" fontId="27" fillId="0" borderId="7" xfId="3" applyNumberFormat="1" applyFont="1" applyFill="1" applyBorder="1" applyAlignment="1">
      <alignment horizontal="center" vertical="center"/>
    </xf>
    <xf numFmtId="3" fontId="27" fillId="2" borderId="8" xfId="3" applyNumberFormat="1" applyFont="1" applyFill="1" applyBorder="1" applyAlignment="1">
      <alignment horizontal="center" vertical="center"/>
    </xf>
    <xf numFmtId="167" fontId="27" fillId="2" borderId="7" xfId="3" applyFont="1" applyFill="1" applyBorder="1" applyAlignment="1">
      <alignment horizontal="justify" vertical="center" wrapText="1"/>
    </xf>
    <xf numFmtId="167" fontId="27" fillId="2" borderId="7" xfId="3" applyFont="1" applyFill="1" applyBorder="1" applyAlignment="1">
      <alignment horizontal="justify" vertical="center"/>
    </xf>
    <xf numFmtId="0" fontId="24" fillId="0" borderId="8" xfId="0" applyFont="1" applyBorder="1" applyAlignment="1">
      <alignment horizontal="left" vertical="center" wrapText="1"/>
    </xf>
    <xf numFmtId="1" fontId="27" fillId="0" borderId="7" xfId="3" applyNumberFormat="1" applyFont="1" applyFill="1" applyBorder="1" applyAlignment="1">
      <alignment horizontal="center" vertical="center" wrapText="1"/>
    </xf>
    <xf numFmtId="1" fontId="27" fillId="0" borderId="7" xfId="3" applyNumberFormat="1" applyFont="1" applyFill="1" applyBorder="1" applyAlignment="1">
      <alignment horizontal="center" vertical="center"/>
    </xf>
    <xf numFmtId="0" fontId="27" fillId="0" borderId="31" xfId="0" applyFont="1" applyBorder="1" applyAlignment="1">
      <alignment horizontal="center"/>
    </xf>
    <xf numFmtId="0" fontId="27" fillId="0" borderId="23" xfId="0" applyFont="1" applyBorder="1" applyAlignment="1">
      <alignment horizontal="center"/>
    </xf>
    <xf numFmtId="0" fontId="27" fillId="0" borderId="20" xfId="0" applyFont="1" applyBorder="1" applyAlignment="1">
      <alignment horizontal="center"/>
    </xf>
    <xf numFmtId="0" fontId="27" fillId="0" borderId="27" xfId="0" applyFont="1" applyBorder="1" applyAlignment="1">
      <alignment horizontal="center"/>
    </xf>
    <xf numFmtId="0" fontId="27" fillId="0" borderId="0" xfId="0" applyFont="1" applyBorder="1" applyAlignment="1">
      <alignment horizontal="center"/>
    </xf>
    <xf numFmtId="0" fontId="27" fillId="0" borderId="7" xfId="0" applyFont="1" applyBorder="1" applyAlignment="1">
      <alignment horizontal="center"/>
    </xf>
    <xf numFmtId="0" fontId="27" fillId="0" borderId="25" xfId="0" applyFont="1" applyBorder="1" applyAlignment="1">
      <alignment horizontal="center"/>
    </xf>
    <xf numFmtId="0" fontId="27" fillId="0" borderId="11" xfId="0" applyFont="1" applyBorder="1" applyAlignment="1">
      <alignment horizontal="center"/>
    </xf>
    <xf numFmtId="0" fontId="27" fillId="0" borderId="12" xfId="0" applyFont="1" applyBorder="1" applyAlignment="1">
      <alignment horizontal="center"/>
    </xf>
    <xf numFmtId="167" fontId="27" fillId="2" borderId="8" xfId="3" applyFont="1" applyFill="1" applyBorder="1" applyAlignment="1">
      <alignment horizontal="justify" vertical="center" wrapText="1" shrinkToFit="1"/>
    </xf>
    <xf numFmtId="167" fontId="27" fillId="0" borderId="8" xfId="3" applyFont="1" applyBorder="1" applyAlignment="1">
      <alignment horizontal="justify" vertical="center" wrapText="1"/>
    </xf>
    <xf numFmtId="3" fontId="27" fillId="0" borderId="8" xfId="3" applyNumberFormat="1" applyFont="1" applyBorder="1" applyAlignment="1">
      <alignment horizontal="center" vertical="center"/>
    </xf>
    <xf numFmtId="43" fontId="27" fillId="0" borderId="8" xfId="1" applyFont="1" applyFill="1" applyBorder="1" applyAlignment="1">
      <alignment horizontal="center" vertical="center"/>
    </xf>
    <xf numFmtId="3" fontId="27" fillId="0" borderId="19" xfId="0" applyNumberFormat="1" applyFont="1" applyBorder="1" applyAlignment="1">
      <alignment vertical="center"/>
    </xf>
    <xf numFmtId="3" fontId="27" fillId="0" borderId="29" xfId="0" applyNumberFormat="1" applyFont="1" applyBorder="1" applyAlignment="1">
      <alignment vertical="center"/>
    </xf>
    <xf numFmtId="3" fontId="27" fillId="0" borderId="28" xfId="0" applyNumberFormat="1" applyFont="1" applyBorder="1" applyAlignment="1">
      <alignment vertical="center"/>
    </xf>
    <xf numFmtId="0" fontId="27" fillId="0" borderId="8" xfId="0" applyFont="1" applyBorder="1" applyAlignment="1">
      <alignment horizontal="left" vertical="center" wrapText="1"/>
    </xf>
    <xf numFmtId="167" fontId="27" fillId="0" borderId="8" xfId="3" applyFont="1" applyFill="1" applyBorder="1" applyAlignment="1">
      <alignment horizontal="justify" vertical="center" wrapText="1"/>
    </xf>
    <xf numFmtId="3" fontId="27" fillId="0" borderId="8" xfId="3" applyNumberFormat="1" applyFont="1" applyFill="1" applyBorder="1" applyAlignment="1">
      <alignment horizontal="center" vertical="center"/>
    </xf>
    <xf numFmtId="1" fontId="26" fillId="2" borderId="31" xfId="3" applyNumberFormat="1" applyFont="1" applyFill="1" applyBorder="1" applyAlignment="1">
      <alignment horizontal="center" vertical="center" wrapText="1"/>
    </xf>
    <xf numFmtId="1" fontId="26" fillId="2" borderId="23" xfId="3" applyNumberFormat="1" applyFont="1" applyFill="1" applyBorder="1" applyAlignment="1">
      <alignment horizontal="center" vertical="center" wrapText="1"/>
    </xf>
    <xf numFmtId="1" fontId="26" fillId="2" borderId="20" xfId="3" applyNumberFormat="1" applyFont="1" applyFill="1" applyBorder="1" applyAlignment="1">
      <alignment horizontal="center" vertical="center" wrapText="1"/>
    </xf>
    <xf numFmtId="1" fontId="26" fillId="2" borderId="27" xfId="3" applyNumberFormat="1" applyFont="1" applyFill="1" applyBorder="1" applyAlignment="1">
      <alignment horizontal="center" vertical="center" wrapText="1"/>
    </xf>
    <xf numFmtId="1" fontId="26" fillId="2" borderId="0" xfId="3" applyNumberFormat="1" applyFont="1" applyFill="1" applyBorder="1" applyAlignment="1">
      <alignment horizontal="center" vertical="center" wrapText="1"/>
    </xf>
    <xf numFmtId="1" fontId="26" fillId="2" borderId="7" xfId="3" applyNumberFormat="1" applyFont="1" applyFill="1" applyBorder="1" applyAlignment="1">
      <alignment horizontal="center" vertical="center" wrapText="1"/>
    </xf>
    <xf numFmtId="1" fontId="26" fillId="2" borderId="25" xfId="3" applyNumberFormat="1" applyFont="1" applyFill="1" applyBorder="1" applyAlignment="1">
      <alignment horizontal="center" vertical="center" wrapText="1"/>
    </xf>
    <xf numFmtId="1" fontId="26" fillId="2" borderId="11" xfId="3" applyNumberFormat="1" applyFont="1" applyFill="1" applyBorder="1" applyAlignment="1">
      <alignment horizontal="center" vertical="center" wrapText="1"/>
    </xf>
    <xf numFmtId="1" fontId="26" fillId="2" borderId="12" xfId="3" applyNumberFormat="1" applyFont="1" applyFill="1" applyBorder="1" applyAlignment="1">
      <alignment horizontal="center" vertical="center" wrapText="1"/>
    </xf>
    <xf numFmtId="0" fontId="27" fillId="2" borderId="7" xfId="3" applyNumberFormat="1" applyFont="1" applyFill="1" applyBorder="1" applyAlignment="1">
      <alignment horizontal="justify" vertical="center" wrapText="1"/>
    </xf>
    <xf numFmtId="9" fontId="27" fillId="0" borderId="8" xfId="3" applyNumberFormat="1" applyFont="1" applyFill="1" applyBorder="1" applyAlignment="1">
      <alignment horizontal="justify" vertical="center" wrapText="1"/>
    </xf>
    <xf numFmtId="1" fontId="17" fillId="2" borderId="8" xfId="16" applyNumberFormat="1" applyFont="1" applyFill="1" applyBorder="1" applyAlignment="1">
      <alignment horizontal="center" vertical="center" wrapText="1"/>
    </xf>
    <xf numFmtId="3" fontId="27" fillId="0" borderId="31" xfId="0" applyNumberFormat="1" applyFont="1" applyBorder="1" applyAlignment="1">
      <alignment vertical="center"/>
    </xf>
    <xf numFmtId="3" fontId="24" fillId="0" borderId="27" xfId="0" applyNumberFormat="1" applyFont="1" applyBorder="1" applyAlignment="1">
      <alignment vertical="center"/>
    </xf>
    <xf numFmtId="167" fontId="27" fillId="2" borderId="19" xfId="3" applyFont="1" applyFill="1" applyBorder="1" applyAlignment="1">
      <alignment horizontal="center" vertical="center" wrapText="1"/>
    </xf>
    <xf numFmtId="167" fontId="27" fillId="2" borderId="29" xfId="3" applyFont="1" applyFill="1" applyBorder="1" applyAlignment="1">
      <alignment horizontal="center" vertical="center" wrapText="1"/>
    </xf>
    <xf numFmtId="3" fontId="27" fillId="0" borderId="31" xfId="0" applyNumberFormat="1" applyFont="1" applyBorder="1" applyAlignment="1">
      <alignment horizontal="center" vertical="center"/>
    </xf>
    <xf numFmtId="3" fontId="24" fillId="0" borderId="27" xfId="0" applyNumberFormat="1" applyFont="1" applyBorder="1" applyAlignment="1">
      <alignment horizontal="center" vertical="center"/>
    </xf>
    <xf numFmtId="167" fontId="27" fillId="2" borderId="31" xfId="3" applyFont="1" applyFill="1" applyBorder="1" applyAlignment="1">
      <alignment horizontal="justify" vertical="center" wrapText="1"/>
    </xf>
    <xf numFmtId="3" fontId="27" fillId="0" borderId="20" xfId="3" applyNumberFormat="1" applyFont="1" applyFill="1" applyBorder="1" applyAlignment="1">
      <alignment horizontal="center" vertical="center" wrapText="1"/>
    </xf>
    <xf numFmtId="3" fontId="27" fillId="0" borderId="7" xfId="3" applyNumberFormat="1" applyFont="1" applyFill="1" applyBorder="1" applyAlignment="1">
      <alignment horizontal="center" vertical="center"/>
    </xf>
    <xf numFmtId="49" fontId="27" fillId="0" borderId="19" xfId="3" applyNumberFormat="1" applyFont="1" applyFill="1" applyBorder="1" applyAlignment="1">
      <alignment horizontal="center" vertical="center" wrapText="1"/>
    </xf>
    <xf numFmtId="1" fontId="27" fillId="0" borderId="8" xfId="3" applyNumberFormat="1" applyFont="1" applyBorder="1" applyAlignment="1">
      <alignment horizontal="center" vertical="center"/>
    </xf>
    <xf numFmtId="9" fontId="27" fillId="2" borderId="8" xfId="2" applyFont="1" applyFill="1" applyBorder="1" applyAlignment="1">
      <alignment horizontal="center" vertical="center" wrapText="1"/>
    </xf>
    <xf numFmtId="43" fontId="27" fillId="2" borderId="8" xfId="1" applyFont="1" applyFill="1" applyBorder="1" applyAlignment="1">
      <alignment horizontal="center" vertical="center" wrapText="1"/>
    </xf>
    <xf numFmtId="3" fontId="24" fillId="0" borderId="25" xfId="0" applyNumberFormat="1" applyFont="1" applyBorder="1" applyAlignment="1">
      <alignment vertical="center"/>
    </xf>
    <xf numFmtId="49" fontId="27" fillId="0" borderId="12" xfId="3" applyNumberFormat="1" applyFont="1" applyFill="1" applyBorder="1" applyAlignment="1">
      <alignment horizontal="center" vertical="center" wrapText="1"/>
    </xf>
    <xf numFmtId="167" fontId="27" fillId="2" borderId="25" xfId="3" applyFont="1" applyFill="1" applyBorder="1" applyAlignment="1">
      <alignment horizontal="justify" vertical="center" wrapText="1"/>
    </xf>
    <xf numFmtId="9" fontId="24" fillId="0" borderId="8" xfId="2" applyFont="1" applyBorder="1" applyAlignment="1">
      <alignment horizontal="center" vertical="center" wrapText="1"/>
    </xf>
    <xf numFmtId="43" fontId="24" fillId="0" borderId="8" xfId="1" applyFont="1" applyBorder="1" applyAlignment="1">
      <alignment horizontal="center" vertical="center" wrapText="1"/>
    </xf>
    <xf numFmtId="3" fontId="27" fillId="2" borderId="8" xfId="3" applyNumberFormat="1" applyFont="1" applyFill="1" applyBorder="1" applyAlignment="1">
      <alignment horizontal="center" vertical="center" wrapText="1"/>
    </xf>
    <xf numFmtId="0" fontId="24" fillId="0" borderId="8" xfId="0" applyFont="1" applyBorder="1" applyAlignment="1">
      <alignment horizontal="center" vertical="center" wrapText="1"/>
    </xf>
    <xf numFmtId="0" fontId="24" fillId="0" borderId="8" xfId="0" applyFont="1" applyBorder="1" applyAlignment="1">
      <alignment horizontal="justify" vertical="center" wrapText="1"/>
    </xf>
    <xf numFmtId="0" fontId="24" fillId="0" borderId="8" xfId="0" applyFont="1" applyBorder="1" applyAlignment="1">
      <alignment horizontal="center" vertical="center"/>
    </xf>
    <xf numFmtId="43" fontId="27" fillId="0" borderId="8" xfId="1" applyFont="1" applyFill="1" applyBorder="1" applyAlignment="1">
      <alignment horizontal="center" vertical="center" wrapText="1"/>
    </xf>
    <xf numFmtId="3" fontId="27" fillId="0" borderId="8" xfId="3" applyNumberFormat="1" applyFont="1" applyFill="1" applyBorder="1" applyAlignment="1">
      <alignment horizontal="center" vertical="center" wrapText="1"/>
    </xf>
    <xf numFmtId="167" fontId="27" fillId="2" borderId="28" xfId="3" applyFont="1" applyFill="1" applyBorder="1" applyAlignment="1">
      <alignment horizontal="center" vertical="center" wrapText="1"/>
    </xf>
    <xf numFmtId="167" fontId="27" fillId="2" borderId="12" xfId="3" applyFont="1" applyFill="1" applyBorder="1" applyAlignment="1">
      <alignment horizontal="justify" vertical="center" wrapText="1"/>
    </xf>
    <xf numFmtId="1" fontId="27" fillId="2" borderId="8" xfId="3" applyNumberFormat="1" applyFont="1" applyFill="1" applyBorder="1" applyAlignment="1">
      <alignment horizontal="center" vertical="center"/>
    </xf>
    <xf numFmtId="165" fontId="27" fillId="0" borderId="19" xfId="0" applyNumberFormat="1" applyFont="1" applyFill="1" applyBorder="1" applyAlignment="1">
      <alignment horizontal="right" vertical="center" wrapText="1"/>
    </xf>
    <xf numFmtId="0" fontId="24" fillId="0" borderId="29" xfId="0" applyFont="1" applyBorder="1" applyAlignment="1">
      <alignment horizontal="right" vertical="center"/>
    </xf>
    <xf numFmtId="0" fontId="24" fillId="0" borderId="28" xfId="0" applyFont="1" applyBorder="1" applyAlignment="1">
      <alignment horizontal="right" vertical="center"/>
    </xf>
    <xf numFmtId="167" fontId="28" fillId="2" borderId="8" xfId="3" applyFont="1" applyFill="1" applyBorder="1" applyAlignment="1">
      <alignment horizontal="justify" vertical="center" wrapText="1"/>
    </xf>
    <xf numFmtId="3" fontId="27" fillId="0" borderId="31" xfId="0" applyNumberFormat="1" applyFont="1" applyBorder="1" applyAlignment="1">
      <alignment vertical="center" wrapText="1"/>
    </xf>
    <xf numFmtId="3" fontId="24" fillId="0" borderId="27" xfId="0" applyNumberFormat="1" applyFont="1" applyBorder="1" applyAlignment="1">
      <alignment vertical="center" wrapText="1"/>
    </xf>
    <xf numFmtId="3" fontId="24" fillId="0" borderId="25" xfId="0" applyNumberFormat="1" applyFont="1" applyBorder="1" applyAlignment="1">
      <alignment vertical="center" wrapText="1"/>
    </xf>
    <xf numFmtId="3" fontId="27" fillId="0" borderId="8" xfId="0" applyNumberFormat="1" applyFont="1" applyBorder="1" applyAlignment="1">
      <alignment vertical="center" wrapText="1"/>
    </xf>
    <xf numFmtId="3" fontId="24" fillId="0" borderId="8" xfId="0" applyNumberFormat="1" applyFont="1" applyBorder="1" applyAlignment="1">
      <alignment vertical="center" wrapText="1"/>
    </xf>
    <xf numFmtId="3" fontId="27" fillId="2" borderId="20" xfId="0" applyNumberFormat="1" applyFont="1" applyFill="1" applyBorder="1" applyAlignment="1">
      <alignment vertical="center" wrapText="1"/>
    </xf>
    <xf numFmtId="3" fontId="27" fillId="2" borderId="7" xfId="0" applyNumberFormat="1" applyFont="1" applyFill="1" applyBorder="1" applyAlignment="1">
      <alignment vertical="center" wrapText="1"/>
    </xf>
    <xf numFmtId="3" fontId="27" fillId="2" borderId="12" xfId="0" applyNumberFormat="1" applyFont="1" applyFill="1" applyBorder="1" applyAlignment="1">
      <alignment vertical="center" wrapText="1"/>
    </xf>
    <xf numFmtId="3" fontId="27" fillId="2" borderId="19" xfId="0" applyNumberFormat="1" applyFont="1" applyFill="1" applyBorder="1" applyAlignment="1">
      <alignment vertical="center" wrapText="1"/>
    </xf>
    <xf numFmtId="3" fontId="27" fillId="2" borderId="29" xfId="0" applyNumberFormat="1" applyFont="1" applyFill="1" applyBorder="1" applyAlignment="1">
      <alignment vertical="center" wrapText="1"/>
    </xf>
    <xf numFmtId="3" fontId="27" fillId="2" borderId="28" xfId="0" applyNumberFormat="1" applyFont="1" applyFill="1" applyBorder="1" applyAlignment="1">
      <alignment vertical="center" wrapText="1"/>
    </xf>
    <xf numFmtId="3" fontId="27" fillId="0" borderId="19" xfId="0" applyNumberFormat="1" applyFont="1" applyBorder="1" applyAlignment="1">
      <alignment vertical="center" wrapText="1"/>
    </xf>
    <xf numFmtId="3" fontId="27" fillId="0" borderId="29" xfId="0" applyNumberFormat="1" applyFont="1" applyBorder="1" applyAlignment="1">
      <alignment vertical="center" wrapText="1"/>
    </xf>
    <xf numFmtId="3" fontId="27" fillId="0" borderId="28" xfId="0" applyNumberFormat="1" applyFont="1" applyBorder="1" applyAlignment="1">
      <alignment vertical="center" wrapText="1"/>
    </xf>
    <xf numFmtId="49" fontId="27" fillId="0" borderId="20" xfId="3" applyNumberFormat="1" applyFont="1" applyFill="1" applyBorder="1" applyAlignment="1">
      <alignment horizontal="center" vertical="center" wrapText="1"/>
    </xf>
    <xf numFmtId="0" fontId="24" fillId="0" borderId="19"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8" xfId="0" applyFont="1" applyBorder="1" applyAlignment="1">
      <alignment horizontal="center" vertical="center" wrapText="1"/>
    </xf>
    <xf numFmtId="43" fontId="27" fillId="0" borderId="8" xfId="1" applyFont="1" applyFill="1" applyBorder="1" applyAlignment="1">
      <alignment vertical="center" wrapText="1"/>
    </xf>
    <xf numFmtId="43" fontId="24" fillId="0" borderId="8" xfId="1" applyFont="1" applyBorder="1" applyAlignment="1">
      <alignment vertical="center" wrapText="1"/>
    </xf>
    <xf numFmtId="9" fontId="17" fillId="2" borderId="8" xfId="2" applyNumberFormat="1" applyFont="1" applyFill="1" applyBorder="1" applyAlignment="1">
      <alignment horizontal="center" vertical="center" wrapText="1"/>
    </xf>
    <xf numFmtId="43" fontId="27" fillId="0" borderId="8" xfId="1" applyNumberFormat="1" applyFont="1" applyFill="1" applyBorder="1" applyAlignment="1">
      <alignment horizontal="justify" vertical="center" wrapText="1"/>
    </xf>
    <xf numFmtId="167" fontId="27" fillId="2" borderId="20" xfId="3" applyFont="1" applyFill="1" applyBorder="1" applyAlignment="1">
      <alignment horizontal="justify" vertical="center" wrapText="1"/>
    </xf>
    <xf numFmtId="43" fontId="27" fillId="2" borderId="8" xfId="1" applyNumberFormat="1" applyFont="1" applyFill="1" applyBorder="1" applyAlignment="1">
      <alignment horizontal="justify" vertical="center" wrapText="1"/>
    </xf>
    <xf numFmtId="3" fontId="34" fillId="0" borderId="8" xfId="0" applyNumberFormat="1" applyFont="1" applyBorder="1" applyAlignment="1">
      <alignment horizontal="center" vertical="center"/>
    </xf>
    <xf numFmtId="3" fontId="24" fillId="0" borderId="8" xfId="0" applyNumberFormat="1" applyFont="1" applyBorder="1" applyAlignment="1">
      <alignment horizontal="center" vertical="center"/>
    </xf>
    <xf numFmtId="3" fontId="34" fillId="0" borderId="8" xfId="0" applyNumberFormat="1" applyFont="1" applyBorder="1" applyAlignment="1">
      <alignment horizontal="center" vertical="center" wrapText="1"/>
    </xf>
    <xf numFmtId="3" fontId="27" fillId="0" borderId="19" xfId="3" applyNumberFormat="1" applyFont="1" applyFill="1" applyBorder="1" applyAlignment="1">
      <alignment horizontal="center" vertical="center" wrapText="1"/>
    </xf>
    <xf numFmtId="3" fontId="27" fillId="0" borderId="29" xfId="3" applyNumberFormat="1" applyFont="1" applyFill="1" applyBorder="1" applyAlignment="1">
      <alignment horizontal="center" vertical="center" wrapText="1"/>
    </xf>
    <xf numFmtId="3" fontId="27" fillId="0" borderId="28" xfId="3" applyNumberFormat="1" applyFont="1" applyFill="1" applyBorder="1" applyAlignment="1">
      <alignment horizontal="center" vertical="center" wrapText="1"/>
    </xf>
    <xf numFmtId="3" fontId="27" fillId="2" borderId="19" xfId="3" applyNumberFormat="1" applyFont="1" applyFill="1" applyBorder="1" applyAlignment="1">
      <alignment horizontal="center" vertical="center" wrapText="1"/>
    </xf>
    <xf numFmtId="3" fontId="27" fillId="2" borderId="29" xfId="3" applyNumberFormat="1" applyFont="1" applyFill="1" applyBorder="1" applyAlignment="1">
      <alignment horizontal="center" vertical="center" wrapText="1"/>
    </xf>
    <xf numFmtId="3" fontId="27" fillId="2" borderId="28" xfId="3" applyNumberFormat="1" applyFont="1" applyFill="1" applyBorder="1" applyAlignment="1">
      <alignment horizontal="center" vertical="center" wrapText="1"/>
    </xf>
    <xf numFmtId="3" fontId="34" fillId="0" borderId="19" xfId="0" applyNumberFormat="1" applyFont="1" applyBorder="1" applyAlignment="1">
      <alignment horizontal="center" vertical="center"/>
    </xf>
    <xf numFmtId="3" fontId="34" fillId="0" borderId="29" xfId="0" applyNumberFormat="1" applyFont="1" applyBorder="1" applyAlignment="1">
      <alignment horizontal="center" vertical="center"/>
    </xf>
    <xf numFmtId="3" fontId="34" fillId="0" borderId="28" xfId="0" applyNumberFormat="1" applyFont="1" applyBorder="1" applyAlignment="1">
      <alignment horizontal="center" vertical="center"/>
    </xf>
    <xf numFmtId="3" fontId="34" fillId="0" borderId="20" xfId="0" applyNumberFormat="1" applyFont="1" applyBorder="1" applyAlignment="1">
      <alignment horizontal="center" vertical="center"/>
    </xf>
    <xf numFmtId="3" fontId="34" fillId="0" borderId="7" xfId="0" applyNumberFormat="1" applyFont="1" applyBorder="1" applyAlignment="1">
      <alignment horizontal="center" vertical="center"/>
    </xf>
    <xf numFmtId="3" fontId="34" fillId="0" borderId="12" xfId="0" applyNumberFormat="1" applyFont="1" applyBorder="1" applyAlignment="1">
      <alignment horizontal="center" vertical="center"/>
    </xf>
    <xf numFmtId="3" fontId="27" fillId="0" borderId="29" xfId="0" applyNumberFormat="1" applyFont="1" applyBorder="1" applyAlignment="1">
      <alignment horizontal="center" vertical="center"/>
    </xf>
    <xf numFmtId="14" fontId="27" fillId="0" borderId="19" xfId="0" applyNumberFormat="1" applyFont="1" applyBorder="1" applyAlignment="1">
      <alignment horizontal="center" vertical="center"/>
    </xf>
    <xf numFmtId="14" fontId="27" fillId="0" borderId="29" xfId="0" applyNumberFormat="1" applyFont="1" applyBorder="1" applyAlignment="1">
      <alignment horizontal="center" vertical="center"/>
    </xf>
    <xf numFmtId="14" fontId="27" fillId="0" borderId="28" xfId="0" applyNumberFormat="1" applyFont="1" applyBorder="1" applyAlignment="1">
      <alignment horizontal="center" vertical="center"/>
    </xf>
    <xf numFmtId="0" fontId="27" fillId="0" borderId="8" xfId="0" applyFont="1" applyBorder="1" applyAlignment="1">
      <alignment vertical="center" wrapText="1"/>
    </xf>
    <xf numFmtId="0" fontId="24" fillId="0" borderId="8" xfId="0" applyFont="1" applyBorder="1" applyAlignment="1">
      <alignment vertical="center" wrapText="1"/>
    </xf>
    <xf numFmtId="3" fontId="24" fillId="0" borderId="29" xfId="0" applyNumberFormat="1" applyFont="1" applyBorder="1" applyAlignment="1">
      <alignment horizontal="center" vertical="center"/>
    </xf>
    <xf numFmtId="3" fontId="24" fillId="0" borderId="28" xfId="0" applyNumberFormat="1" applyFont="1" applyBorder="1" applyAlignment="1">
      <alignment horizontal="center" vertical="center"/>
    </xf>
    <xf numFmtId="1" fontId="26" fillId="2" borderId="19" xfId="3" applyNumberFormat="1" applyFont="1" applyFill="1" applyBorder="1" applyAlignment="1">
      <alignment horizontal="center" vertical="center" wrapText="1"/>
    </xf>
    <xf numFmtId="1" fontId="26" fillId="2" borderId="29" xfId="3" applyNumberFormat="1" applyFont="1" applyFill="1" applyBorder="1" applyAlignment="1">
      <alignment horizontal="center" vertical="center" wrapText="1"/>
    </xf>
    <xf numFmtId="1" fontId="26" fillId="2" borderId="28" xfId="3" applyNumberFormat="1"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0" xfId="0" applyFont="1" applyFill="1" applyAlignment="1">
      <alignment horizontal="center"/>
    </xf>
    <xf numFmtId="0" fontId="27" fillId="2" borderId="0" xfId="0" applyFont="1" applyFill="1" applyAlignment="1">
      <alignment horizontal="center"/>
    </xf>
    <xf numFmtId="0" fontId="27" fillId="2" borderId="21" xfId="0" applyFont="1" applyFill="1" applyBorder="1" applyAlignment="1">
      <alignment horizontal="center" vertical="center" wrapText="1"/>
    </xf>
    <xf numFmtId="0" fontId="27" fillId="2" borderId="37" xfId="0" applyFont="1" applyFill="1" applyBorder="1" applyAlignment="1">
      <alignment horizontal="center" vertical="center" wrapText="1"/>
    </xf>
    <xf numFmtId="181" fontId="27" fillId="2" borderId="19" xfId="0" applyNumberFormat="1" applyFont="1" applyFill="1" applyBorder="1" applyAlignment="1">
      <alignment horizontal="center" vertical="center" wrapText="1"/>
    </xf>
    <xf numFmtId="181" fontId="27" fillId="2" borderId="29" xfId="0" applyNumberFormat="1" applyFont="1" applyFill="1" applyBorder="1" applyAlignment="1">
      <alignment horizontal="center" vertical="center" wrapText="1"/>
    </xf>
    <xf numFmtId="181" fontId="17" fillId="2" borderId="19" xfId="0" applyNumberFormat="1" applyFont="1" applyFill="1" applyBorder="1" applyAlignment="1">
      <alignment horizontal="center" vertical="center" wrapText="1"/>
    </xf>
    <xf numFmtId="181" fontId="17" fillId="2" borderId="29" xfId="0" applyNumberFormat="1" applyFont="1" applyFill="1" applyBorder="1" applyAlignment="1">
      <alignment horizontal="center" vertical="center" wrapText="1"/>
    </xf>
    <xf numFmtId="9" fontId="27" fillId="2" borderId="19" xfId="2" applyFont="1" applyFill="1" applyBorder="1" applyAlignment="1">
      <alignment horizontal="center" vertical="center" wrapText="1"/>
    </xf>
    <xf numFmtId="9" fontId="27" fillId="2" borderId="29" xfId="2" applyFont="1" applyFill="1" applyBorder="1" applyAlignment="1">
      <alignment horizontal="center" vertical="center" wrapText="1"/>
    </xf>
    <xf numFmtId="0" fontId="27" fillId="0" borderId="19" xfId="0" applyFont="1" applyBorder="1" applyAlignment="1">
      <alignment horizontal="justify" vertical="center" wrapText="1"/>
    </xf>
    <xf numFmtId="0" fontId="27" fillId="0" borderId="29" xfId="0" applyFont="1" applyBorder="1" applyAlignment="1">
      <alignment horizontal="justify" vertical="center" wrapText="1"/>
    </xf>
    <xf numFmtId="3" fontId="27" fillId="2" borderId="19" xfId="0" applyNumberFormat="1" applyFont="1" applyFill="1" applyBorder="1" applyAlignment="1">
      <alignment horizontal="center" vertical="center" wrapText="1"/>
    </xf>
    <xf numFmtId="3" fontId="27" fillId="2" borderId="29" xfId="0" applyNumberFormat="1"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29" xfId="0" applyFont="1" applyFill="1" applyBorder="1" applyAlignment="1">
      <alignment horizontal="justify" vertical="center" wrapText="1"/>
    </xf>
    <xf numFmtId="14" fontId="27" fillId="2" borderId="19" xfId="0" applyNumberFormat="1" applyFont="1" applyFill="1" applyBorder="1" applyAlignment="1">
      <alignment horizontal="center" vertical="center"/>
    </xf>
    <xf numFmtId="14" fontId="27" fillId="2" borderId="29" xfId="0" applyNumberFormat="1" applyFont="1" applyFill="1" applyBorder="1" applyAlignment="1">
      <alignment horizontal="center" vertical="center"/>
    </xf>
    <xf numFmtId="1" fontId="27" fillId="2" borderId="20" xfId="0" applyNumberFormat="1" applyFont="1" applyFill="1" applyBorder="1" applyAlignment="1">
      <alignment horizontal="center" vertical="center" wrapText="1"/>
    </xf>
    <xf numFmtId="1" fontId="27" fillId="2" borderId="7" xfId="0" applyNumberFormat="1" applyFont="1" applyFill="1" applyBorder="1" applyAlignment="1">
      <alignment horizontal="center" vertical="center" wrapText="1"/>
    </xf>
    <xf numFmtId="3" fontId="27" fillId="2" borderId="19" xfId="0" applyNumberFormat="1" applyFont="1" applyFill="1" applyBorder="1" applyAlignment="1">
      <alignment horizontal="right" vertical="center" wrapText="1"/>
    </xf>
    <xf numFmtId="3" fontId="27" fillId="2" borderId="29" xfId="0" applyNumberFormat="1" applyFont="1" applyFill="1" applyBorder="1" applyAlignment="1">
      <alignment horizontal="right" vertical="center" wrapText="1"/>
    </xf>
    <xf numFmtId="0" fontId="27" fillId="0" borderId="8" xfId="0" applyFont="1" applyBorder="1" applyAlignment="1">
      <alignment horizontal="justify" vertical="center" wrapText="1"/>
    </xf>
    <xf numFmtId="14" fontId="27" fillId="2" borderId="28" xfId="0" applyNumberFormat="1" applyFont="1" applyFill="1" applyBorder="1" applyAlignment="1">
      <alignment horizontal="center" vertical="center"/>
    </xf>
    <xf numFmtId="0" fontId="27" fillId="2" borderId="28"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6" fillId="7" borderId="14" xfId="0" applyFont="1" applyFill="1" applyBorder="1" applyAlignment="1">
      <alignment horizontal="left" vertical="center" wrapText="1"/>
    </xf>
    <xf numFmtId="0" fontId="26" fillId="7" borderId="15" xfId="0" applyFont="1" applyFill="1" applyBorder="1" applyAlignment="1">
      <alignment horizontal="left" vertical="center" wrapText="1"/>
    </xf>
    <xf numFmtId="0" fontId="27" fillId="2" borderId="31" xfId="0" applyFont="1" applyFill="1" applyBorder="1" applyAlignment="1">
      <alignment horizontal="center" vertical="center" textRotation="90" wrapText="1"/>
    </xf>
    <xf numFmtId="0" fontId="27" fillId="2" borderId="20" xfId="0" applyFont="1" applyFill="1" applyBorder="1" applyAlignment="1">
      <alignment horizontal="center" vertical="center" textRotation="90" wrapText="1"/>
    </xf>
    <xf numFmtId="0" fontId="27" fillId="2" borderId="27" xfId="0" applyFont="1" applyFill="1" applyBorder="1" applyAlignment="1">
      <alignment horizontal="center" vertical="center" textRotation="90" wrapText="1"/>
    </xf>
    <xf numFmtId="0" fontId="27" fillId="2" borderId="7" xfId="0" applyFont="1" applyFill="1" applyBorder="1" applyAlignment="1">
      <alignment horizontal="center" vertical="center" textRotation="90" wrapText="1"/>
    </xf>
    <xf numFmtId="3" fontId="27" fillId="2" borderId="28" xfId="0" applyNumberFormat="1" applyFont="1" applyFill="1" applyBorder="1" applyAlignment="1">
      <alignment horizontal="center" vertical="center" wrapText="1"/>
    </xf>
    <xf numFmtId="0" fontId="27" fillId="2" borderId="28" xfId="0" applyFont="1" applyFill="1" applyBorder="1" applyAlignment="1">
      <alignment horizontal="justify" vertical="center" wrapText="1"/>
    </xf>
    <xf numFmtId="1" fontId="27" fillId="2" borderId="12" xfId="0" applyNumberFormat="1" applyFont="1" applyFill="1" applyBorder="1" applyAlignment="1">
      <alignment horizontal="center" vertical="center" wrapText="1"/>
    </xf>
    <xf numFmtId="181" fontId="17" fillId="2" borderId="28" xfId="0" applyNumberFormat="1" applyFont="1" applyFill="1" applyBorder="1" applyAlignment="1">
      <alignment horizontal="center" vertical="center" wrapText="1"/>
    </xf>
    <xf numFmtId="9" fontId="27" fillId="2" borderId="28" xfId="2" applyFont="1" applyFill="1" applyBorder="1" applyAlignment="1">
      <alignment horizontal="center" vertical="center" wrapText="1"/>
    </xf>
    <xf numFmtId="3" fontId="27" fillId="2" borderId="28" xfId="0" applyNumberFormat="1" applyFont="1" applyFill="1" applyBorder="1" applyAlignment="1">
      <alignment horizontal="right" vertical="center" wrapText="1"/>
    </xf>
    <xf numFmtId="0" fontId="26" fillId="11" borderId="14" xfId="0" applyFont="1" applyFill="1" applyBorder="1" applyAlignment="1">
      <alignment horizontal="left" vertical="center" wrapText="1"/>
    </xf>
    <xf numFmtId="0" fontId="26" fillId="11" borderId="15" xfId="0" applyFont="1" applyFill="1" applyBorder="1" applyAlignment="1">
      <alignment horizontal="left" vertical="center" wrapText="1"/>
    </xf>
    <xf numFmtId="0" fontId="27" fillId="2" borderId="25" xfId="0" applyFont="1" applyFill="1" applyBorder="1" applyAlignment="1">
      <alignment horizontal="center" vertical="center" textRotation="90" wrapText="1"/>
    </xf>
    <xf numFmtId="0" fontId="27" fillId="2" borderId="12" xfId="0" applyFont="1" applyFill="1" applyBorder="1" applyAlignment="1">
      <alignment horizontal="center" vertical="center" textRotation="90" wrapText="1"/>
    </xf>
    <xf numFmtId="181" fontId="27" fillId="2" borderId="28" xfId="0" applyNumberFormat="1" applyFont="1" applyFill="1" applyBorder="1" applyAlignment="1">
      <alignment horizontal="center" vertical="center" wrapText="1"/>
    </xf>
    <xf numFmtId="0" fontId="27" fillId="0" borderId="28" xfId="0" applyFont="1" applyBorder="1" applyAlignment="1">
      <alignment horizontal="justify" vertical="center" wrapText="1"/>
    </xf>
    <xf numFmtId="43" fontId="27" fillId="2" borderId="19" xfId="1" applyFont="1" applyFill="1" applyBorder="1" applyAlignment="1">
      <alignment horizontal="right" vertical="center" wrapText="1"/>
    </xf>
    <xf numFmtId="43" fontId="27" fillId="2" borderId="28" xfId="1" applyFont="1" applyFill="1" applyBorder="1" applyAlignment="1">
      <alignment horizontal="right" vertical="center" wrapText="1"/>
    </xf>
    <xf numFmtId="3" fontId="27" fillId="0" borderId="19" xfId="0" applyNumberFormat="1" applyFont="1" applyFill="1" applyBorder="1" applyAlignment="1">
      <alignment horizontal="center" vertical="center" wrapText="1"/>
    </xf>
    <xf numFmtId="3" fontId="27" fillId="0" borderId="29" xfId="0" applyNumberFormat="1" applyFont="1" applyFill="1" applyBorder="1" applyAlignment="1">
      <alignment horizontal="center" vertical="center" wrapText="1"/>
    </xf>
    <xf numFmtId="3" fontId="27" fillId="0" borderId="28" xfId="0" applyNumberFormat="1" applyFont="1" applyFill="1" applyBorder="1" applyAlignment="1">
      <alignment horizontal="center" vertical="center" wrapText="1"/>
    </xf>
    <xf numFmtId="43" fontId="27" fillId="2" borderId="29" xfId="1" applyFont="1" applyFill="1" applyBorder="1" applyAlignment="1">
      <alignment horizontal="right" vertical="center" wrapText="1"/>
    </xf>
    <xf numFmtId="9" fontId="27" fillId="2" borderId="19" xfId="2" applyNumberFormat="1" applyFont="1" applyFill="1" applyBorder="1" applyAlignment="1">
      <alignment horizontal="center" vertical="center" wrapText="1"/>
    </xf>
    <xf numFmtId="9" fontId="27" fillId="2" borderId="29" xfId="2" applyNumberFormat="1" applyFont="1" applyFill="1" applyBorder="1" applyAlignment="1">
      <alignment horizontal="center" vertical="center" wrapText="1"/>
    </xf>
    <xf numFmtId="9" fontId="27" fillId="2" borderId="28" xfId="2" applyNumberFormat="1" applyFont="1" applyFill="1" applyBorder="1" applyAlignment="1">
      <alignment horizontal="center" vertical="center" wrapText="1"/>
    </xf>
    <xf numFmtId="9" fontId="27" fillId="2" borderId="19" xfId="0" applyNumberFormat="1" applyFont="1" applyFill="1" applyBorder="1" applyAlignment="1">
      <alignment horizontal="center" vertical="center" wrapText="1"/>
    </xf>
    <xf numFmtId="9" fontId="27" fillId="2" borderId="29" xfId="0" applyNumberFormat="1" applyFont="1" applyFill="1" applyBorder="1" applyAlignment="1">
      <alignment horizontal="center" vertical="center" wrapText="1"/>
    </xf>
    <xf numFmtId="9" fontId="27" fillId="2" borderId="28" xfId="0" applyNumberFormat="1" applyFont="1" applyFill="1" applyBorder="1" applyAlignment="1">
      <alignment horizontal="center" vertical="center" wrapText="1"/>
    </xf>
    <xf numFmtId="0" fontId="27" fillId="2" borderId="19" xfId="0" applyNumberFormat="1" applyFont="1" applyFill="1" applyBorder="1" applyAlignment="1">
      <alignment horizontal="center" vertical="center" wrapText="1"/>
    </xf>
    <xf numFmtId="0" fontId="27" fillId="2" borderId="29" xfId="0" applyNumberFormat="1" applyFont="1" applyFill="1" applyBorder="1" applyAlignment="1">
      <alignment horizontal="center" vertical="center" wrapText="1"/>
    </xf>
    <xf numFmtId="0" fontId="27" fillId="2" borderId="28" xfId="0" applyNumberFormat="1" applyFont="1" applyFill="1" applyBorder="1" applyAlignment="1">
      <alignment horizontal="center" vertical="center" wrapText="1"/>
    </xf>
    <xf numFmtId="0" fontId="27" fillId="2" borderId="30" xfId="0" applyFont="1" applyFill="1" applyBorder="1" applyAlignment="1">
      <alignment horizontal="center" vertical="center"/>
    </xf>
    <xf numFmtId="4" fontId="27" fillId="2" borderId="19" xfId="0" applyNumberFormat="1" applyFont="1" applyFill="1" applyBorder="1" applyAlignment="1">
      <alignment horizontal="right" vertical="center" wrapText="1"/>
    </xf>
    <xf numFmtId="4" fontId="27" fillId="2" borderId="28" xfId="0" applyNumberFormat="1" applyFont="1" applyFill="1" applyBorder="1" applyAlignment="1">
      <alignment horizontal="right" vertical="center" wrapText="1"/>
    </xf>
    <xf numFmtId="0" fontId="27" fillId="7" borderId="15" xfId="0" applyFont="1" applyFill="1" applyBorder="1" applyAlignment="1">
      <alignment horizontal="center" vertical="center" wrapText="1"/>
    </xf>
    <xf numFmtId="0" fontId="27" fillId="7" borderId="17" xfId="0" applyFont="1" applyFill="1" applyBorder="1" applyAlignment="1">
      <alignment horizontal="center" vertical="center" wrapText="1"/>
    </xf>
    <xf numFmtId="1" fontId="27" fillId="2" borderId="20" xfId="13" applyNumberFormat="1" applyFont="1" applyFill="1" applyBorder="1" applyAlignment="1">
      <alignment horizontal="center" vertical="center" wrapText="1"/>
    </xf>
    <xf numFmtId="1" fontId="27" fillId="2" borderId="12" xfId="13" applyNumberFormat="1"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26" fillId="11" borderId="17" xfId="0" applyFont="1" applyFill="1" applyBorder="1" applyAlignment="1">
      <alignment horizontal="center" vertical="center" wrapText="1"/>
    </xf>
    <xf numFmtId="3" fontId="15" fillId="10" borderId="8" xfId="0" applyNumberFormat="1" applyFont="1" applyFill="1" applyBorder="1" applyAlignment="1">
      <alignment horizontal="center" vertical="center" wrapText="1"/>
    </xf>
    <xf numFmtId="3" fontId="26" fillId="3" borderId="9" xfId="0" applyNumberFormat="1" applyFont="1" applyFill="1" applyBorder="1" applyAlignment="1">
      <alignment horizontal="center" vertical="center" wrapText="1"/>
    </xf>
    <xf numFmtId="0" fontId="31" fillId="10" borderId="8" xfId="0" applyFont="1" applyFill="1" applyBorder="1" applyAlignment="1">
      <alignment horizontal="center" vertical="center" wrapText="1"/>
    </xf>
    <xf numFmtId="0" fontId="31" fillId="10" borderId="19" xfId="0" applyFont="1" applyFill="1" applyBorder="1" applyAlignment="1">
      <alignment horizontal="center" vertical="center" wrapText="1"/>
    </xf>
    <xf numFmtId="0" fontId="31" fillId="10" borderId="28"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168" fontId="26" fillId="3" borderId="31" xfId="0" applyNumberFormat="1" applyFont="1" applyFill="1" applyBorder="1" applyAlignment="1">
      <alignment horizontal="center" vertical="center" wrapText="1"/>
    </xf>
    <xf numFmtId="168" fontId="26" fillId="3" borderId="25" xfId="0" applyNumberFormat="1"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5" borderId="17" xfId="0" applyFont="1" applyFill="1" applyBorder="1" applyAlignment="1">
      <alignment horizontal="center" vertical="center" wrapText="1"/>
    </xf>
    <xf numFmtId="180" fontId="26" fillId="3" borderId="19" xfId="13" applyFont="1" applyFill="1" applyBorder="1" applyAlignment="1">
      <alignment horizontal="center" vertical="center" wrapText="1"/>
    </xf>
    <xf numFmtId="180" fontId="26" fillId="3" borderId="29" xfId="13" applyFont="1" applyFill="1" applyBorder="1" applyAlignment="1">
      <alignment horizontal="center" vertical="center" wrapText="1"/>
    </xf>
    <xf numFmtId="180" fontId="26" fillId="3" borderId="28" xfId="13" applyFont="1" applyFill="1" applyBorder="1" applyAlignment="1">
      <alignment horizontal="center" vertical="center" wrapText="1"/>
    </xf>
    <xf numFmtId="1" fontId="26" fillId="3" borderId="8" xfId="0" applyNumberFormat="1" applyFont="1" applyFill="1" applyBorder="1" applyAlignment="1">
      <alignment horizontal="center" vertical="center" wrapText="1"/>
    </xf>
    <xf numFmtId="3" fontId="15" fillId="4" borderId="14" xfId="0" applyNumberFormat="1" applyFont="1" applyFill="1" applyBorder="1" applyAlignment="1">
      <alignment horizontal="center" vertical="center" wrapText="1"/>
    </xf>
    <xf numFmtId="3" fontId="15" fillId="4" borderId="15"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6" fillId="0" borderId="13"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3" borderId="23" xfId="0" applyFont="1" applyFill="1" applyBorder="1" applyAlignment="1">
      <alignment horizontal="center" vertical="center" wrapText="1"/>
    </xf>
    <xf numFmtId="0" fontId="26" fillId="3" borderId="0" xfId="0" applyFont="1" applyFill="1" applyBorder="1" applyAlignment="1">
      <alignment horizontal="center" vertical="center" wrapText="1"/>
    </xf>
    <xf numFmtId="169" fontId="26" fillId="3" borderId="8" xfId="0" applyNumberFormat="1" applyFont="1" applyFill="1" applyBorder="1" applyAlignment="1">
      <alignment horizontal="center" vertical="center" wrapText="1"/>
    </xf>
    <xf numFmtId="2" fontId="26" fillId="3" borderId="8" xfId="0" applyNumberFormat="1" applyFont="1" applyFill="1" applyBorder="1" applyAlignment="1">
      <alignment horizontal="center" vertical="center" wrapText="1"/>
    </xf>
    <xf numFmtId="0" fontId="15" fillId="4" borderId="31" xfId="0" applyFont="1" applyFill="1" applyBorder="1" applyAlignment="1">
      <alignment horizontal="center" vertical="center" textRotation="90" wrapText="1"/>
    </xf>
    <xf numFmtId="0" fontId="15" fillId="4" borderId="25" xfId="0" applyFont="1" applyFill="1" applyBorder="1" applyAlignment="1">
      <alignment horizontal="center" vertical="center" textRotation="90" wrapText="1"/>
    </xf>
    <xf numFmtId="0" fontId="26" fillId="3" borderId="48" xfId="14" applyFont="1" applyFill="1" applyBorder="1" applyAlignment="1">
      <alignment horizontal="center" vertical="center"/>
    </xf>
    <xf numFmtId="0" fontId="26" fillId="3" borderId="49" xfId="14" applyFont="1" applyFill="1" applyBorder="1" applyAlignment="1">
      <alignment horizontal="center" vertical="center"/>
    </xf>
    <xf numFmtId="1" fontId="26" fillId="2" borderId="19" xfId="0" applyNumberFormat="1" applyFont="1" applyFill="1" applyBorder="1" applyAlignment="1">
      <alignment horizontal="center" vertical="center" wrapText="1"/>
    </xf>
    <xf numFmtId="1" fontId="26" fillId="2" borderId="29" xfId="0" applyNumberFormat="1" applyFont="1" applyFill="1" applyBorder="1" applyAlignment="1">
      <alignment horizontal="center" vertical="center" wrapText="1"/>
    </xf>
    <xf numFmtId="166" fontId="27" fillId="2" borderId="19" xfId="1" applyNumberFormat="1" applyFont="1" applyFill="1" applyBorder="1" applyAlignment="1">
      <alignment horizontal="center" vertical="center" wrapText="1"/>
    </xf>
    <xf numFmtId="166" fontId="27" fillId="2" borderId="29" xfId="1" applyNumberFormat="1" applyFont="1" applyFill="1" applyBorder="1" applyAlignment="1">
      <alignment horizontal="center" vertical="center" wrapText="1"/>
    </xf>
    <xf numFmtId="165" fontId="27" fillId="2" borderId="19" xfId="0" applyNumberFormat="1" applyFont="1" applyFill="1" applyBorder="1" applyAlignment="1">
      <alignment horizontal="center" vertical="center" wrapText="1"/>
    </xf>
    <xf numFmtId="165" fontId="27" fillId="2" borderId="29" xfId="0" applyNumberFormat="1" applyFont="1" applyFill="1" applyBorder="1" applyAlignment="1">
      <alignment horizontal="center" vertical="center" wrapText="1"/>
    </xf>
    <xf numFmtId="3" fontId="29" fillId="2" borderId="21" xfId="0" applyNumberFormat="1" applyFont="1" applyFill="1" applyBorder="1" applyAlignment="1">
      <alignment horizontal="justify" vertical="center" wrapText="1"/>
    </xf>
    <xf numFmtId="3" fontId="27" fillId="2" borderId="37" xfId="0" applyNumberFormat="1" applyFont="1" applyFill="1" applyBorder="1" applyAlignment="1">
      <alignment horizontal="justify" vertical="center" wrapText="1"/>
    </xf>
    <xf numFmtId="166" fontId="27" fillId="0" borderId="31" xfId="1" applyNumberFormat="1" applyFont="1" applyFill="1" applyBorder="1" applyAlignment="1">
      <alignment horizontal="right" vertical="center" wrapText="1"/>
    </xf>
    <xf numFmtId="166" fontId="27" fillId="0" borderId="27" xfId="1" applyNumberFormat="1" applyFont="1" applyFill="1" applyBorder="1" applyAlignment="1">
      <alignment horizontal="right" vertical="center" wrapText="1"/>
    </xf>
    <xf numFmtId="1" fontId="27" fillId="2" borderId="29" xfId="0" applyNumberFormat="1" applyFont="1" applyFill="1" applyBorder="1" applyAlignment="1">
      <alignment horizontal="center" vertical="center" wrapText="1"/>
    </xf>
    <xf numFmtId="166" fontId="27" fillId="0" borderId="25" xfId="1" applyNumberFormat="1" applyFont="1" applyFill="1" applyBorder="1" applyAlignment="1">
      <alignment horizontal="right" vertical="center" wrapText="1"/>
    </xf>
    <xf numFmtId="43" fontId="27" fillId="2" borderId="19" xfId="1" applyFont="1" applyFill="1" applyBorder="1" applyAlignment="1">
      <alignment horizontal="center" vertical="center" wrapText="1"/>
    </xf>
    <xf numFmtId="43" fontId="27" fillId="2" borderId="29" xfId="1" applyFont="1" applyFill="1" applyBorder="1" applyAlignment="1">
      <alignment horizontal="center" vertical="center" wrapText="1"/>
    </xf>
    <xf numFmtId="3" fontId="27" fillId="2" borderId="19" xfId="0" applyNumberFormat="1" applyFont="1" applyFill="1" applyBorder="1" applyAlignment="1">
      <alignment horizontal="justify" vertical="center" wrapText="1"/>
    </xf>
    <xf numFmtId="3" fontId="27" fillId="2" borderId="29" xfId="0" applyNumberFormat="1" applyFont="1" applyFill="1" applyBorder="1" applyAlignment="1">
      <alignment horizontal="justify" vertical="center" wrapText="1"/>
    </xf>
    <xf numFmtId="166" fontId="27" fillId="0" borderId="19" xfId="1" applyNumberFormat="1" applyFont="1" applyFill="1" applyBorder="1" applyAlignment="1">
      <alignment horizontal="right" vertical="center" wrapText="1"/>
    </xf>
    <xf numFmtId="166" fontId="27" fillId="0" borderId="28" xfId="1" applyNumberFormat="1" applyFont="1" applyFill="1" applyBorder="1" applyAlignment="1">
      <alignment horizontal="right" vertical="center" wrapText="1"/>
    </xf>
    <xf numFmtId="0" fontId="27" fillId="2" borderId="12" xfId="0" applyFont="1" applyFill="1" applyBorder="1" applyAlignment="1">
      <alignment horizontal="center" vertical="center" wrapText="1"/>
    </xf>
    <xf numFmtId="165" fontId="27" fillId="2" borderId="28" xfId="0" applyNumberFormat="1" applyFont="1" applyFill="1" applyBorder="1" applyAlignment="1">
      <alignment horizontal="center" vertical="center" wrapText="1"/>
    </xf>
    <xf numFmtId="3" fontId="27" fillId="2" borderId="30" xfId="0" applyNumberFormat="1" applyFont="1" applyFill="1" applyBorder="1" applyAlignment="1">
      <alignment horizontal="justify" vertical="center" wrapText="1"/>
    </xf>
    <xf numFmtId="1" fontId="27" fillId="2" borderId="28" xfId="0" applyNumberFormat="1" applyFont="1" applyFill="1" applyBorder="1" applyAlignment="1">
      <alignment horizontal="center" vertical="center" wrapText="1"/>
    </xf>
    <xf numFmtId="1" fontId="26" fillId="2" borderId="28" xfId="0" applyNumberFormat="1" applyFont="1" applyFill="1" applyBorder="1" applyAlignment="1">
      <alignment horizontal="center" vertical="center" wrapText="1"/>
    </xf>
    <xf numFmtId="166" fontId="27" fillId="2" borderId="28" xfId="1" applyNumberFormat="1" applyFont="1" applyFill="1" applyBorder="1" applyAlignment="1">
      <alignment horizontal="center" vertical="center" wrapText="1"/>
    </xf>
    <xf numFmtId="3" fontId="27" fillId="2" borderId="28" xfId="0" applyNumberFormat="1" applyFont="1" applyFill="1" applyBorder="1" applyAlignment="1">
      <alignment horizontal="justify" vertical="center" wrapText="1"/>
    </xf>
    <xf numFmtId="43" fontId="27" fillId="0" borderId="29" xfId="1" applyFont="1" applyFill="1" applyBorder="1" applyAlignment="1">
      <alignment horizontal="center" vertical="center" wrapText="1"/>
    </xf>
    <xf numFmtId="166" fontId="27" fillId="0" borderId="29" xfId="1" applyNumberFormat="1" applyFont="1" applyFill="1" applyBorder="1" applyAlignment="1">
      <alignment horizontal="right" vertical="center" wrapText="1"/>
    </xf>
    <xf numFmtId="0" fontId="27" fillId="2" borderId="25" xfId="0" applyFont="1" applyFill="1" applyBorder="1" applyAlignment="1">
      <alignment horizontal="center" vertical="center" wrapText="1"/>
    </xf>
    <xf numFmtId="0" fontId="27" fillId="2" borderId="31" xfId="0" applyFont="1" applyFill="1" applyBorder="1" applyAlignment="1">
      <alignment horizontal="center"/>
    </xf>
    <xf numFmtId="0" fontId="27" fillId="2" borderId="23" xfId="0" applyFont="1" applyFill="1" applyBorder="1" applyAlignment="1">
      <alignment horizontal="center"/>
    </xf>
    <xf numFmtId="0" fontId="27" fillId="2" borderId="20" xfId="0" applyFont="1" applyFill="1" applyBorder="1" applyAlignment="1">
      <alignment horizontal="center"/>
    </xf>
    <xf numFmtId="0" fontId="27" fillId="2" borderId="27" xfId="0" applyFont="1" applyFill="1" applyBorder="1" applyAlignment="1">
      <alignment horizontal="center"/>
    </xf>
    <xf numFmtId="0" fontId="27" fillId="2" borderId="0" xfId="0" applyFont="1" applyFill="1" applyBorder="1" applyAlignment="1">
      <alignment horizontal="center"/>
    </xf>
    <xf numFmtId="0" fontId="27" fillId="2" borderId="7" xfId="0" applyFont="1" applyFill="1" applyBorder="1" applyAlignment="1">
      <alignment horizontal="center"/>
    </xf>
    <xf numFmtId="3" fontId="29" fillId="2" borderId="37" xfId="0" applyNumberFormat="1" applyFont="1" applyFill="1" applyBorder="1" applyAlignment="1">
      <alignment horizontal="justify" vertical="center" wrapText="1"/>
    </xf>
    <xf numFmtId="0" fontId="27" fillId="2" borderId="8" xfId="0" applyFont="1" applyFill="1" applyBorder="1" applyAlignment="1">
      <alignment horizontal="center" vertical="center" wrapText="1"/>
    </xf>
    <xf numFmtId="9" fontId="27" fillId="2" borderId="8" xfId="0" applyNumberFormat="1" applyFont="1" applyFill="1" applyBorder="1" applyAlignment="1">
      <alignment horizontal="center" vertical="center" wrapText="1"/>
    </xf>
    <xf numFmtId="3" fontId="27" fillId="2" borderId="8" xfId="0" applyNumberFormat="1" applyFont="1" applyFill="1" applyBorder="1" applyAlignment="1">
      <alignment horizontal="justify" vertical="center" wrapText="1"/>
    </xf>
    <xf numFmtId="166" fontId="27" fillId="0" borderId="8" xfId="1" applyNumberFormat="1" applyFont="1" applyFill="1" applyBorder="1" applyAlignment="1">
      <alignment horizontal="right" vertical="center" wrapText="1"/>
    </xf>
    <xf numFmtId="166" fontId="24" fillId="0" borderId="19" xfId="1" applyNumberFormat="1" applyFont="1" applyFill="1" applyBorder="1" applyAlignment="1">
      <alignment horizontal="right" vertical="center"/>
    </xf>
    <xf numFmtId="166" fontId="24" fillId="0" borderId="28" xfId="1" applyNumberFormat="1" applyFont="1" applyFill="1" applyBorder="1" applyAlignment="1">
      <alignment horizontal="right" vertical="center"/>
    </xf>
    <xf numFmtId="1" fontId="26" fillId="2" borderId="22" xfId="0" applyNumberFormat="1" applyFont="1" applyFill="1" applyBorder="1" applyAlignment="1">
      <alignment horizontal="center" vertical="center" wrapText="1"/>
    </xf>
    <xf numFmtId="1" fontId="26" fillId="2" borderId="6" xfId="0" applyNumberFormat="1"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6" fillId="3" borderId="31" xfId="0" applyFont="1" applyFill="1" applyBorder="1" applyAlignment="1">
      <alignment horizontal="justify" vertical="center" wrapText="1"/>
    </xf>
    <xf numFmtId="0" fontId="26" fillId="3" borderId="27" xfId="0" applyFont="1" applyFill="1" applyBorder="1" applyAlignment="1">
      <alignment horizontal="justify" vertical="center" wrapText="1"/>
    </xf>
    <xf numFmtId="0" fontId="24" fillId="0" borderId="11" xfId="0" applyFont="1" applyBorder="1" applyAlignment="1">
      <alignment horizontal="center"/>
    </xf>
    <xf numFmtId="0" fontId="24" fillId="0" borderId="0" xfId="0" applyFont="1" applyAlignment="1">
      <alignment horizontal="center"/>
    </xf>
    <xf numFmtId="0" fontId="17" fillId="0" borderId="8" xfId="0" applyNumberFormat="1" applyFont="1" applyFill="1" applyBorder="1" applyAlignment="1">
      <alignment horizontal="center" vertical="center"/>
    </xf>
    <xf numFmtId="170" fontId="27" fillId="2" borderId="8" xfId="0" applyNumberFormat="1" applyFont="1" applyFill="1" applyBorder="1" applyAlignment="1">
      <alignment horizontal="center" vertical="center"/>
    </xf>
    <xf numFmtId="0" fontId="27" fillId="2" borderId="8" xfId="0" applyFont="1" applyFill="1" applyBorder="1" applyAlignment="1">
      <alignment horizontal="left" vertical="center" wrapText="1"/>
    </xf>
    <xf numFmtId="0" fontId="27" fillId="2" borderId="19" xfId="0" applyFont="1" applyFill="1" applyBorder="1" applyAlignment="1">
      <alignment horizontal="left" vertical="center" wrapText="1"/>
    </xf>
    <xf numFmtId="0" fontId="17" fillId="2" borderId="8" xfId="0" applyNumberFormat="1" applyFont="1" applyFill="1" applyBorder="1" applyAlignment="1">
      <alignment horizontal="center" vertical="center" wrapText="1"/>
    </xf>
    <xf numFmtId="9" fontId="27" fillId="2" borderId="19" xfId="2" applyFont="1" applyFill="1" applyBorder="1" applyAlignment="1">
      <alignment horizontal="center" vertical="center"/>
    </xf>
    <xf numFmtId="9" fontId="27" fillId="2" borderId="28" xfId="2" applyFont="1" applyFill="1" applyBorder="1" applyAlignment="1">
      <alignment horizontal="center" vertical="center"/>
    </xf>
    <xf numFmtId="165" fontId="27" fillId="0" borderId="8" xfId="0" applyNumberFormat="1" applyFont="1" applyBorder="1" applyAlignment="1">
      <alignment horizontal="center" vertical="center" wrapText="1"/>
    </xf>
    <xf numFmtId="165" fontId="27" fillId="0" borderId="19" xfId="0" applyNumberFormat="1" applyFont="1" applyBorder="1" applyAlignment="1">
      <alignment horizontal="center" vertical="center" wrapText="1"/>
    </xf>
    <xf numFmtId="0" fontId="27" fillId="0" borderId="8" xfId="0" applyFont="1" applyBorder="1" applyAlignment="1">
      <alignment horizontal="center" vertical="center" wrapText="1"/>
    </xf>
    <xf numFmtId="0" fontId="27" fillId="0" borderId="19" xfId="0" applyFont="1" applyBorder="1" applyAlignment="1">
      <alignment horizontal="center" vertical="center" wrapText="1"/>
    </xf>
    <xf numFmtId="0" fontId="28" fillId="2" borderId="14" xfId="0" applyFont="1" applyFill="1" applyBorder="1" applyAlignment="1">
      <alignment horizontal="left" vertical="center" wrapText="1"/>
    </xf>
    <xf numFmtId="170" fontId="27" fillId="0" borderId="51" xfId="0" applyNumberFormat="1" applyFont="1" applyFill="1" applyBorder="1" applyAlignment="1">
      <alignment horizontal="center" vertical="center"/>
    </xf>
    <xf numFmtId="0" fontId="27" fillId="0" borderId="8" xfId="0" applyFont="1" applyBorder="1" applyAlignment="1">
      <alignment horizontal="center"/>
    </xf>
    <xf numFmtId="0" fontId="27" fillId="0" borderId="19" xfId="0" applyFont="1" applyBorder="1" applyAlignment="1">
      <alignment horizontal="center"/>
    </xf>
    <xf numFmtId="3" fontId="24" fillId="0" borderId="8" xfId="0" applyNumberFormat="1" applyFont="1" applyFill="1" applyBorder="1" applyAlignment="1">
      <alignment horizontal="center" vertical="center"/>
    </xf>
    <xf numFmtId="3" fontId="24" fillId="0" borderId="19" xfId="0" applyNumberFormat="1" applyFont="1" applyFill="1" applyBorder="1" applyAlignment="1">
      <alignment horizontal="center" vertical="center"/>
    </xf>
    <xf numFmtId="0" fontId="27" fillId="0" borderId="29" xfId="0" applyFont="1" applyBorder="1" applyAlignment="1">
      <alignment horizontal="center" vertical="center" wrapText="1"/>
    </xf>
    <xf numFmtId="0" fontId="27" fillId="0" borderId="8" xfId="0" applyFont="1" applyBorder="1" applyAlignment="1">
      <alignment horizontal="center" vertical="center"/>
    </xf>
    <xf numFmtId="0" fontId="27" fillId="0" borderId="19" xfId="0" applyFont="1" applyBorder="1" applyAlignment="1">
      <alignment horizontal="center" vertical="center"/>
    </xf>
    <xf numFmtId="165" fontId="27" fillId="0" borderId="8" xfId="0" applyNumberFormat="1" applyFont="1" applyFill="1" applyBorder="1" applyAlignment="1">
      <alignment horizontal="center" vertical="center" wrapText="1"/>
    </xf>
    <xf numFmtId="165" fontId="27" fillId="0" borderId="19" xfId="0" applyNumberFormat="1" applyFont="1" applyFill="1" applyBorder="1" applyAlignment="1">
      <alignment horizontal="center" vertical="center" wrapText="1"/>
    </xf>
    <xf numFmtId="166" fontId="24" fillId="0" borderId="8" xfId="7" applyNumberFormat="1" applyFont="1" applyFill="1" applyBorder="1" applyAlignment="1">
      <alignment horizontal="center" vertical="center"/>
    </xf>
    <xf numFmtId="166" fontId="24" fillId="0" borderId="19" xfId="7" applyNumberFormat="1" applyFont="1" applyFill="1" applyBorder="1" applyAlignment="1">
      <alignment horizontal="center" vertical="center"/>
    </xf>
    <xf numFmtId="3" fontId="24" fillId="0" borderId="16" xfId="7" applyNumberFormat="1" applyFont="1" applyFill="1" applyBorder="1" applyAlignment="1">
      <alignment horizontal="center" vertical="center"/>
    </xf>
    <xf numFmtId="3" fontId="24" fillId="0" borderId="8" xfId="7" applyNumberFormat="1" applyFont="1" applyFill="1" applyBorder="1" applyAlignment="1">
      <alignment horizontal="center" vertical="center"/>
    </xf>
    <xf numFmtId="3" fontId="24" fillId="0" borderId="19" xfId="7" applyNumberFormat="1" applyFont="1" applyFill="1" applyBorder="1" applyAlignment="1">
      <alignment horizontal="center" vertical="center"/>
    </xf>
    <xf numFmtId="0" fontId="27" fillId="2" borderId="14" xfId="0" applyFont="1" applyFill="1" applyBorder="1" applyAlignment="1">
      <alignment horizontal="left" vertical="center" wrapText="1"/>
    </xf>
    <xf numFmtId="170" fontId="27" fillId="0" borderId="50" xfId="0" applyNumberFormat="1" applyFont="1" applyFill="1" applyBorder="1" applyAlignment="1">
      <alignment horizontal="center" vertical="center"/>
    </xf>
    <xf numFmtId="1" fontId="27" fillId="2" borderId="15" xfId="0" applyNumberFormat="1" applyFont="1" applyFill="1" applyBorder="1" applyAlignment="1">
      <alignment horizontal="center" vertical="center" wrapText="1"/>
    </xf>
    <xf numFmtId="1" fontId="27" fillId="2" borderId="16" xfId="0" applyNumberFormat="1" applyFont="1" applyFill="1" applyBorder="1" applyAlignment="1">
      <alignment horizontal="center" vertical="center" wrapText="1"/>
    </xf>
    <xf numFmtId="170" fontId="27" fillId="0" borderId="52" xfId="0" applyNumberFormat="1" applyFont="1" applyFill="1" applyBorder="1" applyAlignment="1">
      <alignment horizontal="center" vertical="center"/>
    </xf>
    <xf numFmtId="0" fontId="33" fillId="2" borderId="8" xfId="0" applyFont="1" applyFill="1" applyBorder="1" applyAlignment="1">
      <alignment horizontal="left" vertical="center" wrapText="1"/>
    </xf>
    <xf numFmtId="0" fontId="33" fillId="2" borderId="19" xfId="0" applyFont="1" applyFill="1" applyBorder="1" applyAlignment="1">
      <alignment horizontal="left" vertical="center" wrapText="1"/>
    </xf>
    <xf numFmtId="170" fontId="27" fillId="2" borderId="19" xfId="0" applyNumberFormat="1" applyFont="1" applyFill="1" applyBorder="1" applyAlignment="1">
      <alignment horizontal="center" vertical="center"/>
    </xf>
    <xf numFmtId="166" fontId="27" fillId="0" borderId="8" xfId="0" applyNumberFormat="1" applyFont="1" applyBorder="1" applyAlignment="1">
      <alignment horizontal="center" vertical="center"/>
    </xf>
    <xf numFmtId="166" fontId="18" fillId="0" borderId="8" xfId="0" applyNumberFormat="1" applyFont="1" applyBorder="1" applyAlignment="1">
      <alignment horizontal="center" vertical="center"/>
    </xf>
    <xf numFmtId="0" fontId="17" fillId="2" borderId="8" xfId="0" applyFont="1" applyFill="1" applyBorder="1" applyAlignment="1">
      <alignment horizontal="left" vertical="center" wrapText="1"/>
    </xf>
    <xf numFmtId="0" fontId="27" fillId="2" borderId="19" xfId="0" applyFont="1" applyFill="1" applyBorder="1" applyAlignment="1">
      <alignment vertical="center" wrapText="1"/>
    </xf>
    <xf numFmtId="0" fontId="27" fillId="2" borderId="29" xfId="0" applyFont="1" applyFill="1" applyBorder="1" applyAlignment="1">
      <alignment vertical="center" wrapText="1"/>
    </xf>
    <xf numFmtId="0" fontId="27" fillId="2" borderId="28" xfId="0" applyFont="1" applyFill="1" applyBorder="1" applyAlignment="1">
      <alignment vertical="center" wrapText="1"/>
    </xf>
    <xf numFmtId="166" fontId="27" fillId="0" borderId="19" xfId="0" applyNumberFormat="1"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horizontal="center" vertical="center"/>
    </xf>
    <xf numFmtId="165" fontId="27" fillId="0" borderId="19" xfId="0" applyNumberFormat="1" applyFont="1" applyBorder="1" applyAlignment="1">
      <alignment horizontal="center" vertical="center"/>
    </xf>
    <xf numFmtId="165" fontId="27" fillId="0" borderId="8" xfId="0" applyNumberFormat="1" applyFont="1" applyBorder="1" applyAlignment="1">
      <alignment horizontal="center" vertical="center"/>
    </xf>
    <xf numFmtId="0" fontId="27" fillId="0" borderId="28" xfId="0" applyFont="1" applyBorder="1" applyAlignment="1">
      <alignment horizontal="center" vertical="center" wrapText="1"/>
    </xf>
    <xf numFmtId="1" fontId="27" fillId="2" borderId="19" xfId="0" applyNumberFormat="1" applyFont="1" applyFill="1" applyBorder="1" applyAlignment="1">
      <alignment horizontal="justify" vertical="center" wrapText="1"/>
    </xf>
    <xf numFmtId="1" fontId="27" fillId="2" borderId="29" xfId="0" applyNumberFormat="1" applyFont="1" applyFill="1" applyBorder="1" applyAlignment="1">
      <alignment horizontal="justify" vertical="center" wrapText="1"/>
    </xf>
    <xf numFmtId="1" fontId="27" fillId="2" borderId="28" xfId="0" applyNumberFormat="1" applyFont="1" applyFill="1" applyBorder="1" applyAlignment="1">
      <alignment horizontal="justify" vertical="center" wrapText="1"/>
    </xf>
    <xf numFmtId="3" fontId="27" fillId="2" borderId="8" xfId="0" applyNumberFormat="1" applyFont="1" applyFill="1" applyBorder="1" applyAlignment="1">
      <alignment horizontal="center" vertical="center"/>
    </xf>
    <xf numFmtId="3" fontId="24" fillId="0" borderId="19" xfId="0" applyNumberFormat="1" applyFont="1" applyBorder="1" applyAlignment="1">
      <alignment horizontal="center" vertical="center"/>
    </xf>
    <xf numFmtId="3" fontId="24" fillId="2" borderId="19" xfId="0" applyNumberFormat="1" applyFont="1" applyFill="1" applyBorder="1" applyAlignment="1">
      <alignment horizontal="center" vertical="center"/>
    </xf>
    <xf numFmtId="3" fontId="24" fillId="2" borderId="28" xfId="0" applyNumberFormat="1" applyFont="1" applyFill="1" applyBorder="1" applyAlignment="1">
      <alignment horizontal="center" vertical="center"/>
    </xf>
    <xf numFmtId="0" fontId="27" fillId="2" borderId="28" xfId="0" applyFont="1" applyFill="1" applyBorder="1" applyAlignment="1">
      <alignment horizontal="left" vertical="center" wrapText="1"/>
    </xf>
    <xf numFmtId="0" fontId="24" fillId="0" borderId="19" xfId="0" applyFont="1" applyBorder="1" applyAlignment="1">
      <alignment horizontal="center" vertical="center"/>
    </xf>
    <xf numFmtId="0" fontId="24" fillId="0" borderId="29" xfId="0" applyFont="1" applyBorder="1" applyAlignment="1">
      <alignment horizontal="center" vertical="center"/>
    </xf>
    <xf numFmtId="0" fontId="24" fillId="0" borderId="28" xfId="0" applyFont="1" applyBorder="1" applyAlignment="1">
      <alignment horizontal="center" vertical="center"/>
    </xf>
    <xf numFmtId="178" fontId="24" fillId="0" borderId="8" xfId="0" applyNumberFormat="1" applyFont="1" applyBorder="1" applyAlignment="1">
      <alignment horizontal="center" vertical="center"/>
    </xf>
    <xf numFmtId="170" fontId="27" fillId="2" borderId="29" xfId="0" applyNumberFormat="1" applyFont="1" applyFill="1" applyBorder="1" applyAlignment="1">
      <alignment horizontal="center" vertical="center"/>
    </xf>
    <xf numFmtId="170" fontId="27" fillId="2" borderId="28" xfId="0" applyNumberFormat="1" applyFont="1" applyFill="1" applyBorder="1" applyAlignment="1">
      <alignment horizontal="center" vertical="center"/>
    </xf>
    <xf numFmtId="0" fontId="27" fillId="2" borderId="29" xfId="0" applyFont="1" applyFill="1" applyBorder="1" applyAlignment="1">
      <alignment horizontal="left" vertical="center" wrapText="1"/>
    </xf>
    <xf numFmtId="0" fontId="27" fillId="0" borderId="8" xfId="0" applyNumberFormat="1" applyFont="1" applyBorder="1" applyAlignment="1">
      <alignment horizontal="center" wrapText="1"/>
    </xf>
    <xf numFmtId="0" fontId="27" fillId="0" borderId="8" xfId="0" applyNumberFormat="1" applyFont="1" applyBorder="1" applyAlignment="1">
      <alignment horizontal="center" vertical="center" wrapText="1"/>
    </xf>
    <xf numFmtId="0" fontId="18" fillId="2" borderId="19" xfId="0" applyNumberFormat="1" applyFont="1" applyFill="1" applyBorder="1" applyAlignment="1">
      <alignment horizontal="center" vertical="center"/>
    </xf>
    <xf numFmtId="0" fontId="18" fillId="2" borderId="29" xfId="0" applyNumberFormat="1" applyFont="1" applyFill="1" applyBorder="1" applyAlignment="1">
      <alignment horizontal="center" vertical="center"/>
    </xf>
    <xf numFmtId="0" fontId="18" fillId="2" borderId="28"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8" xfId="0" applyFont="1" applyFill="1" applyBorder="1" applyAlignment="1">
      <alignment horizontal="center" vertical="center"/>
    </xf>
    <xf numFmtId="166" fontId="18" fillId="0" borderId="19" xfId="0" applyNumberFormat="1" applyFont="1" applyBorder="1" applyAlignment="1">
      <alignment horizontal="center" vertical="center"/>
    </xf>
    <xf numFmtId="166" fontId="18" fillId="0" borderId="29" xfId="0" applyNumberFormat="1" applyFont="1" applyBorder="1" applyAlignment="1">
      <alignment horizontal="center" vertical="center"/>
    </xf>
    <xf numFmtId="166" fontId="18" fillId="0" borderId="28" xfId="0" applyNumberFormat="1" applyFont="1" applyBorder="1" applyAlignment="1">
      <alignment horizontal="center" vertical="center"/>
    </xf>
    <xf numFmtId="166" fontId="18" fillId="0" borderId="19" xfId="7" applyNumberFormat="1" applyFont="1" applyFill="1" applyBorder="1" applyAlignment="1">
      <alignment horizontal="center" vertical="center"/>
    </xf>
    <xf numFmtId="166" fontId="18" fillId="0" borderId="29" xfId="7" applyNumberFormat="1" applyFont="1" applyFill="1" applyBorder="1" applyAlignment="1">
      <alignment horizontal="center" vertical="center"/>
    </xf>
    <xf numFmtId="166" fontId="18" fillId="0" borderId="28" xfId="7" applyNumberFormat="1" applyFont="1" applyFill="1" applyBorder="1" applyAlignment="1">
      <alignment horizontal="center" vertical="center"/>
    </xf>
    <xf numFmtId="170" fontId="24" fillId="2" borderId="8" xfId="0" applyNumberFormat="1" applyFont="1" applyFill="1" applyBorder="1" applyAlignment="1">
      <alignment horizontal="center" vertical="center"/>
    </xf>
    <xf numFmtId="0" fontId="27" fillId="2" borderId="31"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18" fillId="2" borderId="20"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0" fontId="18" fillId="2" borderId="12" xfId="0" applyNumberFormat="1" applyFont="1" applyFill="1" applyBorder="1" applyAlignment="1">
      <alignment horizontal="center" vertical="center"/>
    </xf>
    <xf numFmtId="3" fontId="18" fillId="0" borderId="8" xfId="0" applyNumberFormat="1" applyFont="1" applyFill="1" applyBorder="1" applyAlignment="1">
      <alignment horizontal="center" vertical="center"/>
    </xf>
    <xf numFmtId="3" fontId="27" fillId="2" borderId="19" xfId="0" applyNumberFormat="1" applyFont="1" applyFill="1" applyBorder="1" applyAlignment="1">
      <alignment horizontal="left" vertical="center" wrapText="1"/>
    </xf>
    <xf numFmtId="3" fontId="27" fillId="2" borderId="29" xfId="0" applyNumberFormat="1" applyFont="1" applyFill="1" applyBorder="1" applyAlignment="1">
      <alignment horizontal="left" vertical="center" wrapText="1"/>
    </xf>
    <xf numFmtId="3" fontId="27" fillId="2" borderId="28" xfId="0" applyNumberFormat="1" applyFont="1" applyFill="1" applyBorder="1" applyAlignment="1">
      <alignment horizontal="left" vertical="center" wrapText="1"/>
    </xf>
    <xf numFmtId="178" fontId="24" fillId="0" borderId="16" xfId="0" applyNumberFormat="1" applyFont="1" applyBorder="1" applyAlignment="1">
      <alignment horizontal="center" vertical="center"/>
    </xf>
    <xf numFmtId="0" fontId="27" fillId="0" borderId="28" xfId="0" applyFont="1" applyFill="1" applyBorder="1" applyAlignment="1">
      <alignment horizontal="center" vertical="center"/>
    </xf>
    <xf numFmtId="178" fontId="27" fillId="0" borderId="8" xfId="0" applyNumberFormat="1" applyFont="1" applyBorder="1" applyAlignment="1">
      <alignment horizontal="center" vertical="center"/>
    </xf>
    <xf numFmtId="187" fontId="27" fillId="2" borderId="8" xfId="0" applyNumberFormat="1" applyFont="1" applyFill="1" applyBorder="1" applyAlignment="1">
      <alignment horizontal="center" vertical="center"/>
    </xf>
    <xf numFmtId="166" fontId="18" fillId="0" borderId="16" xfId="0" applyNumberFormat="1" applyFont="1" applyBorder="1" applyAlignment="1">
      <alignment horizontal="center" vertical="center"/>
    </xf>
    <xf numFmtId="0" fontId="27" fillId="2" borderId="8" xfId="0" applyFont="1" applyFill="1" applyBorder="1" applyAlignment="1">
      <alignment horizontal="center"/>
    </xf>
    <xf numFmtId="0" fontId="27" fillId="2" borderId="8" xfId="0" applyFont="1" applyFill="1" applyBorder="1" applyAlignment="1">
      <alignment horizontal="center" vertical="center"/>
    </xf>
    <xf numFmtId="0" fontId="27" fillId="2" borderId="8" xfId="0" applyNumberFormat="1" applyFont="1" applyFill="1" applyBorder="1" applyAlignment="1">
      <alignment horizontal="center" vertical="center" wrapText="1"/>
    </xf>
    <xf numFmtId="166" fontId="39" fillId="0" borderId="8" xfId="7" applyNumberFormat="1" applyFont="1" applyFill="1" applyBorder="1" applyAlignment="1">
      <alignment horizontal="center" vertical="center"/>
    </xf>
    <xf numFmtId="165" fontId="27" fillId="0" borderId="8" xfId="0" applyNumberFormat="1" applyFont="1" applyFill="1" applyBorder="1" applyAlignment="1">
      <alignment horizontal="center" vertical="center"/>
    </xf>
    <xf numFmtId="166" fontId="39" fillId="0" borderId="19" xfId="7" applyNumberFormat="1" applyFont="1" applyFill="1" applyBorder="1" applyAlignment="1">
      <alignment horizontal="center" vertical="center"/>
    </xf>
    <xf numFmtId="166" fontId="39" fillId="0" borderId="28" xfId="7" applyNumberFormat="1" applyFont="1" applyFill="1" applyBorder="1" applyAlignment="1">
      <alignment horizontal="center" vertical="center"/>
    </xf>
    <xf numFmtId="0" fontId="38" fillId="2" borderId="20" xfId="7" applyNumberFormat="1" applyFont="1" applyFill="1" applyBorder="1" applyAlignment="1">
      <alignment horizontal="center" vertical="center"/>
    </xf>
    <xf numFmtId="0" fontId="38" fillId="2" borderId="12" xfId="7" applyNumberFormat="1" applyFont="1" applyFill="1" applyBorder="1" applyAlignment="1">
      <alignment horizontal="center" vertical="center"/>
    </xf>
    <xf numFmtId="0" fontId="38" fillId="2" borderId="19" xfId="7" applyNumberFormat="1" applyFont="1" applyFill="1" applyBorder="1" applyAlignment="1">
      <alignment horizontal="center" vertical="center"/>
    </xf>
    <xf numFmtId="0" fontId="38" fillId="2" borderId="28" xfId="7" applyNumberFormat="1" applyFont="1" applyFill="1" applyBorder="1" applyAlignment="1">
      <alignment horizontal="center" vertical="center"/>
    </xf>
    <xf numFmtId="0" fontId="27" fillId="2" borderId="25" xfId="0" applyFont="1" applyFill="1" applyBorder="1" applyAlignment="1">
      <alignment horizontal="center"/>
    </xf>
    <xf numFmtId="0" fontId="27" fillId="2" borderId="11" xfId="0" applyFont="1" applyFill="1" applyBorder="1" applyAlignment="1">
      <alignment horizontal="center"/>
    </xf>
    <xf numFmtId="0" fontId="27" fillId="2" borderId="12" xfId="0" applyFont="1" applyFill="1" applyBorder="1" applyAlignment="1">
      <alignment horizontal="center"/>
    </xf>
    <xf numFmtId="0" fontId="27" fillId="2" borderId="20" xfId="0" applyNumberFormat="1" applyFont="1" applyFill="1" applyBorder="1" applyAlignment="1">
      <alignment horizontal="center" vertical="center" wrapText="1"/>
    </xf>
    <xf numFmtId="0" fontId="27" fillId="2" borderId="12" xfId="0" applyNumberFormat="1" applyFont="1" applyFill="1" applyBorder="1" applyAlignment="1">
      <alignment horizontal="center" vertical="center" wrapText="1"/>
    </xf>
    <xf numFmtId="187" fontId="24" fillId="0" borderId="8" xfId="0" applyNumberFormat="1" applyFont="1" applyBorder="1" applyAlignment="1">
      <alignment horizontal="center" vertical="center"/>
    </xf>
    <xf numFmtId="166" fontId="18" fillId="0" borderId="19" xfId="0" applyNumberFormat="1" applyFont="1" applyFill="1" applyBorder="1" applyAlignment="1">
      <alignment horizontal="center" vertical="center"/>
    </xf>
    <xf numFmtId="166" fontId="18" fillId="0" borderId="29"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 fontId="27" fillId="0" borderId="8" xfId="0" applyNumberFormat="1" applyFont="1" applyFill="1" applyBorder="1" applyAlignment="1">
      <alignment horizontal="center" vertical="center" textRotation="180" wrapText="1"/>
    </xf>
    <xf numFmtId="3" fontId="27" fillId="0" borderId="29" xfId="0" applyNumberFormat="1" applyFont="1" applyFill="1" applyBorder="1" applyAlignment="1">
      <alignment horizontal="justify" vertical="center" wrapText="1"/>
    </xf>
    <xf numFmtId="166" fontId="18" fillId="0" borderId="20" xfId="0" applyNumberFormat="1" applyFont="1" applyFill="1" applyBorder="1" applyAlignment="1">
      <alignment horizontal="center" vertical="center"/>
    </xf>
    <xf numFmtId="166" fontId="18" fillId="0" borderId="7" xfId="0" applyNumberFormat="1" applyFont="1" applyFill="1" applyBorder="1" applyAlignment="1">
      <alignment horizontal="center" vertical="center"/>
    </xf>
    <xf numFmtId="166" fontId="18" fillId="0" borderId="12" xfId="0" applyNumberFormat="1" applyFont="1" applyFill="1" applyBorder="1" applyAlignment="1">
      <alignment horizontal="center" vertical="center"/>
    </xf>
    <xf numFmtId="0" fontId="26" fillId="4" borderId="19" xfId="0" applyFont="1" applyFill="1" applyBorder="1" applyAlignment="1">
      <alignment horizontal="center" vertical="center" textRotation="90" wrapText="1"/>
    </xf>
    <xf numFmtId="0" fontId="26" fillId="4" borderId="28" xfId="0" applyFont="1" applyFill="1" applyBorder="1" applyAlignment="1">
      <alignment horizontal="center" vertical="center" textRotation="90" wrapText="1"/>
    </xf>
    <xf numFmtId="1" fontId="26" fillId="0" borderId="8" xfId="0" applyNumberFormat="1" applyFont="1" applyFill="1" applyBorder="1" applyAlignment="1">
      <alignment horizontal="center" vertical="center" textRotation="180" wrapText="1"/>
    </xf>
    <xf numFmtId="1" fontId="27" fillId="0" borderId="29" xfId="0" applyNumberFormat="1" applyFont="1" applyFill="1" applyBorder="1" applyAlignment="1">
      <alignment horizontal="center" vertical="center" wrapText="1"/>
    </xf>
    <xf numFmtId="1" fontId="27" fillId="0" borderId="19" xfId="0" applyNumberFormat="1" applyFont="1" applyFill="1" applyBorder="1" applyAlignment="1">
      <alignment horizontal="center" vertical="center" textRotation="180" wrapText="1"/>
    </xf>
    <xf numFmtId="1" fontId="27" fillId="0" borderId="29" xfId="0" applyNumberFormat="1" applyFont="1" applyFill="1" applyBorder="1" applyAlignment="1">
      <alignment horizontal="center" vertical="center" textRotation="180" wrapText="1"/>
    </xf>
    <xf numFmtId="1" fontId="27" fillId="0" borderId="28" xfId="0" applyNumberFormat="1" applyFont="1" applyFill="1" applyBorder="1" applyAlignment="1">
      <alignment horizontal="center" vertical="center" textRotation="180" wrapText="1"/>
    </xf>
    <xf numFmtId="9" fontId="27" fillId="0" borderId="28" xfId="2" applyFont="1" applyFill="1" applyBorder="1" applyAlignment="1">
      <alignment horizontal="center" vertical="center" wrapText="1"/>
    </xf>
    <xf numFmtId="3" fontId="27" fillId="0" borderId="8" xfId="0" applyNumberFormat="1" applyFont="1" applyFill="1" applyBorder="1" applyAlignment="1">
      <alignment horizontal="center" vertical="center" wrapText="1"/>
    </xf>
    <xf numFmtId="3" fontId="3" fillId="2" borderId="30" xfId="0" applyNumberFormat="1" applyFont="1" applyFill="1" applyBorder="1" applyAlignment="1">
      <alignment horizontal="justify" vertical="center" wrapText="1"/>
    </xf>
    <xf numFmtId="3" fontId="3" fillId="2" borderId="9" xfId="0" applyNumberFormat="1" applyFont="1" applyFill="1" applyBorder="1" applyAlignment="1">
      <alignment horizontal="justify" vertical="center" wrapText="1"/>
    </xf>
    <xf numFmtId="3" fontId="3" fillId="2" borderId="21" xfId="0" applyNumberFormat="1" applyFont="1" applyFill="1" applyBorder="1" applyAlignment="1">
      <alignment horizontal="justify" vertical="center" wrapText="1"/>
    </xf>
    <xf numFmtId="166" fontId="6" fillId="0" borderId="8" xfId="0" applyNumberFormat="1" applyFont="1" applyBorder="1" applyAlignment="1">
      <alignment horizontal="center" vertical="center"/>
    </xf>
    <xf numFmtId="166" fontId="6" fillId="0" borderId="19"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29" xfId="0" applyNumberFormat="1" applyFont="1" applyBorder="1" applyAlignment="1">
      <alignment horizontal="center" vertical="center"/>
    </xf>
    <xf numFmtId="167" fontId="2" fillId="2" borderId="23" xfId="3" applyFont="1" applyFill="1" applyBorder="1" applyAlignment="1">
      <alignment horizontal="center"/>
    </xf>
    <xf numFmtId="167" fontId="3" fillId="2" borderId="0" xfId="3" applyFont="1" applyFill="1" applyAlignment="1">
      <alignment horizontal="center"/>
    </xf>
    <xf numFmtId="0" fontId="3" fillId="2" borderId="8" xfId="0" applyFont="1" applyFill="1" applyBorder="1" applyAlignment="1">
      <alignment horizontal="justify" vertical="center" wrapText="1"/>
    </xf>
    <xf numFmtId="0" fontId="3" fillId="2" borderId="19" xfId="0" applyFont="1" applyFill="1" applyBorder="1" applyAlignment="1">
      <alignment horizontal="justify" vertical="center" wrapText="1"/>
    </xf>
    <xf numFmtId="9" fontId="3" fillId="2" borderId="19" xfId="2" applyFont="1" applyFill="1" applyBorder="1" applyAlignment="1">
      <alignment horizontal="center" vertical="center" wrapText="1"/>
    </xf>
    <xf numFmtId="9" fontId="3" fillId="2" borderId="29" xfId="2" applyFont="1" applyFill="1" applyBorder="1" applyAlignment="1">
      <alignment horizontal="center" vertical="center" wrapText="1"/>
    </xf>
    <xf numFmtId="3" fontId="3" fillId="2" borderId="28"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19" xfId="0" applyNumberFormat="1" applyFont="1" applyFill="1" applyBorder="1" applyAlignment="1">
      <alignment horizontal="center" vertical="center" wrapText="1"/>
    </xf>
    <xf numFmtId="0" fontId="3" fillId="2" borderId="28" xfId="0" applyFont="1" applyFill="1" applyBorder="1" applyAlignment="1">
      <alignment horizontal="justify" vertical="center" wrapText="1"/>
    </xf>
    <xf numFmtId="0" fontId="7" fillId="8" borderId="8" xfId="0" applyFont="1" applyFill="1" applyBorder="1" applyAlignment="1">
      <alignment horizontal="justify"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9" xfId="0" applyFont="1" applyFill="1" applyBorder="1" applyAlignment="1">
      <alignment horizontal="center" vertical="center" wrapText="1"/>
    </xf>
    <xf numFmtId="14" fontId="3" fillId="2" borderId="8"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2" borderId="19" xfId="0" applyFont="1" applyFill="1" applyBorder="1" applyAlignment="1">
      <alignment horizontal="center" vertical="center"/>
    </xf>
    <xf numFmtId="14" fontId="3" fillId="2" borderId="19" xfId="0" applyNumberFormat="1" applyFont="1" applyFill="1" applyBorder="1" applyAlignment="1">
      <alignment horizontal="center" vertical="center"/>
    </xf>
    <xf numFmtId="14" fontId="3" fillId="2" borderId="29" xfId="0" applyNumberFormat="1" applyFont="1" applyFill="1" applyBorder="1" applyAlignment="1">
      <alignment horizontal="center" vertical="center"/>
    </xf>
    <xf numFmtId="0" fontId="3" fillId="2" borderId="6"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2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165" fontId="3" fillId="2" borderId="28" xfId="0" applyNumberFormat="1" applyFont="1" applyFill="1" applyBorder="1" applyAlignment="1">
      <alignment horizontal="center" vertical="center" wrapText="1"/>
    </xf>
    <xf numFmtId="165" fontId="3" fillId="2" borderId="8" xfId="0" applyNumberFormat="1" applyFont="1" applyFill="1" applyBorder="1" applyAlignment="1">
      <alignment horizontal="center" vertical="center" wrapText="1"/>
    </xf>
    <xf numFmtId="166" fontId="6" fillId="0" borderId="29" xfId="0" applyNumberFormat="1" applyFont="1" applyBorder="1" applyAlignment="1">
      <alignment horizontal="center" vertical="center"/>
    </xf>
    <xf numFmtId="166" fontId="6" fillId="0" borderId="28" xfId="0" applyNumberFormat="1" applyFont="1" applyBorder="1" applyAlignment="1">
      <alignment horizontal="center" vertical="center"/>
    </xf>
    <xf numFmtId="0" fontId="3" fillId="2" borderId="28" xfId="0" applyFont="1" applyFill="1" applyBorder="1" applyAlignment="1">
      <alignment horizontal="center" vertical="center" wrapText="1"/>
    </xf>
    <xf numFmtId="9" fontId="3" fillId="2" borderId="28" xfId="2" applyFont="1" applyFill="1" applyBorder="1" applyAlignment="1">
      <alignment horizontal="center" vertical="center" wrapText="1"/>
    </xf>
    <xf numFmtId="9" fontId="3" fillId="2" borderId="8" xfId="2" applyFont="1" applyFill="1" applyBorder="1" applyAlignment="1">
      <alignment horizontal="center" vertical="center" wrapText="1"/>
    </xf>
    <xf numFmtId="3" fontId="3" fillId="2" borderId="28" xfId="0" applyNumberFormat="1" applyFont="1" applyFill="1" applyBorder="1" applyAlignment="1">
      <alignment horizontal="justify" vertical="center" wrapText="1"/>
    </xf>
    <xf numFmtId="3" fontId="3" fillId="2" borderId="8" xfId="0" applyNumberFormat="1" applyFont="1" applyFill="1" applyBorder="1" applyAlignment="1">
      <alignment horizontal="justify" vertical="center" wrapText="1"/>
    </xf>
    <xf numFmtId="165" fontId="2" fillId="3" borderId="8" xfId="0" applyNumberFormat="1" applyFont="1" applyFill="1" applyBorder="1" applyAlignment="1">
      <alignment horizontal="center" vertical="center" wrapText="1"/>
    </xf>
    <xf numFmtId="165" fontId="2" fillId="3" borderId="19" xfId="0" applyNumberFormat="1" applyFont="1" applyFill="1" applyBorder="1" applyAlignment="1">
      <alignment horizontal="center" vertical="center" wrapText="1"/>
    </xf>
    <xf numFmtId="3" fontId="2" fillId="3" borderId="9" xfId="0" applyNumberFormat="1" applyFont="1" applyFill="1" applyBorder="1" applyAlignment="1">
      <alignment horizontal="center" vertical="center" wrapText="1"/>
    </xf>
    <xf numFmtId="3" fontId="2" fillId="3" borderId="21" xfId="0" applyNumberFormat="1" applyFont="1" applyFill="1" applyBorder="1" applyAlignment="1">
      <alignment horizontal="center" vertical="center" wrapText="1"/>
    </xf>
    <xf numFmtId="0" fontId="5" fillId="4" borderId="19" xfId="0" applyFont="1" applyFill="1" applyBorder="1" applyAlignment="1">
      <alignment horizontal="center" vertical="center" textRotation="90" wrapText="1"/>
    </xf>
    <xf numFmtId="0" fontId="5" fillId="4" borderId="28" xfId="0" applyFont="1" applyFill="1" applyBorder="1" applyAlignment="1">
      <alignment horizontal="center" vertical="center" textRotation="90" wrapText="1"/>
    </xf>
    <xf numFmtId="1" fontId="2" fillId="7" borderId="15" xfId="0" applyNumberFormat="1" applyFont="1" applyFill="1" applyBorder="1" applyAlignment="1">
      <alignment horizontal="left" vertical="center" wrapText="1"/>
    </xf>
    <xf numFmtId="3" fontId="0" fillId="0" borderId="28" xfId="0" applyNumberFormat="1" applyFont="1" applyBorder="1" applyAlignment="1">
      <alignment horizontal="center" vertical="center"/>
    </xf>
    <xf numFmtId="0" fontId="2" fillId="3" borderId="8" xfId="0" applyFont="1" applyFill="1" applyBorder="1" applyAlignment="1">
      <alignment horizontal="center" vertical="center" wrapText="1"/>
    </xf>
    <xf numFmtId="0" fontId="2" fillId="3" borderId="19" xfId="0"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164" fontId="2" fillId="3" borderId="19" xfId="0" applyNumberFormat="1"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8" xfId="0" applyFont="1" applyFill="1" applyBorder="1" applyAlignment="1">
      <alignment horizontal="center" vertical="center" wrapText="1"/>
    </xf>
    <xf numFmtId="1" fontId="2" fillId="3" borderId="13"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3" borderId="16" xfId="0" applyFont="1" applyFill="1" applyBorder="1" applyAlignment="1">
      <alignment horizontal="center" vertical="center" wrapText="1"/>
    </xf>
    <xf numFmtId="0" fontId="2" fillId="3" borderId="20" xfId="0" applyFont="1" applyFill="1" applyBorder="1" applyAlignment="1">
      <alignment horizontal="center" vertical="center" wrapText="1"/>
    </xf>
    <xf numFmtId="1" fontId="2" fillId="3" borderId="8" xfId="0" applyNumberFormat="1" applyFont="1" applyFill="1" applyBorder="1" applyAlignment="1">
      <alignment horizontal="center" vertical="center" wrapText="1"/>
    </xf>
    <xf numFmtId="1" fontId="2" fillId="3" borderId="19" xfId="0" applyNumberFormat="1" applyFont="1" applyFill="1" applyBorder="1" applyAlignment="1">
      <alignment horizontal="center" vertical="center" wrapText="1"/>
    </xf>
    <xf numFmtId="3" fontId="5" fillId="4" borderId="8" xfId="0" applyNumberFormat="1" applyFont="1" applyFill="1" applyBorder="1" applyAlignment="1">
      <alignment horizontal="center" vertical="center" wrapText="1"/>
    </xf>
    <xf numFmtId="9" fontId="2" fillId="3" borderId="8" xfId="2" applyFont="1" applyFill="1" applyBorder="1" applyAlignment="1">
      <alignment horizontal="center" vertical="center" wrapText="1"/>
    </xf>
    <xf numFmtId="9" fontId="2" fillId="3" borderId="19" xfId="2" applyFont="1" applyFill="1" applyBorder="1" applyAlignment="1">
      <alignment horizontal="center" vertical="center" wrapText="1"/>
    </xf>
    <xf numFmtId="3" fontId="2" fillId="3" borderId="8" xfId="0" applyNumberFormat="1" applyFont="1" applyFill="1" applyBorder="1" applyAlignment="1">
      <alignment horizontal="center" vertical="center" wrapText="1"/>
    </xf>
    <xf numFmtId="3" fontId="2" fillId="3" borderId="19" xfId="0" applyNumberFormat="1" applyFont="1" applyFill="1" applyBorder="1" applyAlignment="1">
      <alignment horizontal="center" vertical="center" wrapText="1"/>
    </xf>
    <xf numFmtId="0" fontId="26" fillId="0" borderId="0" xfId="0" applyFont="1" applyBorder="1" applyAlignment="1">
      <alignment horizontal="left" wrapText="1"/>
    </xf>
    <xf numFmtId="14" fontId="24" fillId="0" borderId="29" xfId="0" applyNumberFormat="1" applyFont="1" applyBorder="1" applyAlignment="1">
      <alignment horizontal="center" vertical="center" wrapText="1"/>
    </xf>
    <xf numFmtId="0" fontId="24" fillId="0" borderId="37" xfId="0" applyFont="1" applyBorder="1" applyAlignment="1">
      <alignment horizontal="justify" vertical="center" wrapText="1"/>
    </xf>
    <xf numFmtId="0" fontId="27" fillId="2" borderId="19" xfId="0" applyFont="1" applyFill="1" applyBorder="1" applyAlignment="1">
      <alignment horizontal="center" vertical="center"/>
    </xf>
    <xf numFmtId="0" fontId="27" fillId="2" borderId="29" xfId="0" applyFont="1" applyFill="1" applyBorder="1" applyAlignment="1">
      <alignment horizontal="center" vertical="center"/>
    </xf>
    <xf numFmtId="43" fontId="27" fillId="0" borderId="19" xfId="1" applyFont="1" applyFill="1" applyBorder="1" applyAlignment="1">
      <alignment horizontal="center" vertical="center"/>
    </xf>
    <xf numFmtId="43" fontId="27" fillId="0" borderId="29" xfId="1" applyFont="1" applyFill="1" applyBorder="1" applyAlignment="1">
      <alignment horizontal="center" vertical="center"/>
    </xf>
    <xf numFmtId="0" fontId="27" fillId="2" borderId="28" xfId="0" applyFont="1" applyFill="1" applyBorder="1" applyAlignment="1">
      <alignment horizontal="center" vertical="center"/>
    </xf>
    <xf numFmtId="43" fontId="27" fillId="0" borderId="28" xfId="1" applyFont="1" applyFill="1" applyBorder="1" applyAlignment="1">
      <alignment horizontal="center" vertical="center"/>
    </xf>
    <xf numFmtId="1" fontId="27" fillId="2" borderId="19" xfId="0" applyNumberFormat="1" applyFont="1" applyFill="1" applyBorder="1" applyAlignment="1">
      <alignment horizontal="center" vertical="center"/>
    </xf>
    <xf numFmtId="1" fontId="27" fillId="2" borderId="29" xfId="0" applyNumberFormat="1" applyFont="1" applyFill="1" applyBorder="1" applyAlignment="1">
      <alignment horizontal="center" vertical="center"/>
    </xf>
    <xf numFmtId="1" fontId="27" fillId="2" borderId="28" xfId="0" applyNumberFormat="1" applyFont="1" applyFill="1" applyBorder="1" applyAlignment="1">
      <alignment horizontal="center" vertical="center"/>
    </xf>
    <xf numFmtId="14" fontId="24" fillId="0" borderId="28" xfId="0" applyNumberFormat="1" applyFont="1" applyBorder="1" applyAlignment="1">
      <alignment horizontal="center" vertical="center"/>
    </xf>
    <xf numFmtId="0" fontId="24" fillId="0" borderId="30" xfId="0" applyFont="1" applyBorder="1" applyAlignment="1">
      <alignment horizontal="justify" vertical="center" wrapText="1"/>
    </xf>
    <xf numFmtId="0" fontId="24" fillId="0" borderId="21" xfId="0" applyFont="1" applyBorder="1" applyAlignment="1">
      <alignment horizontal="justify" vertical="center" wrapText="1"/>
    </xf>
    <xf numFmtId="14" fontId="24" fillId="0" borderId="28" xfId="0" applyNumberFormat="1" applyFont="1" applyBorder="1" applyAlignment="1">
      <alignment horizontal="center" vertical="center" wrapText="1"/>
    </xf>
    <xf numFmtId="1" fontId="24" fillId="0" borderId="29" xfId="0" applyNumberFormat="1" applyFont="1" applyBorder="1" applyAlignment="1">
      <alignment horizontal="center" vertical="center"/>
    </xf>
    <xf numFmtId="0" fontId="24" fillId="0" borderId="9" xfId="0" applyFont="1" applyBorder="1" applyAlignment="1">
      <alignment horizontal="justify" vertical="center" wrapText="1"/>
    </xf>
    <xf numFmtId="14" fontId="24" fillId="0" borderId="29" xfId="0" applyNumberFormat="1" applyFont="1" applyBorder="1" applyAlignment="1">
      <alignment horizontal="center" vertical="center"/>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3" fontId="27" fillId="0" borderId="31" xfId="0" applyNumberFormat="1" applyFont="1" applyFill="1" applyBorder="1" applyAlignment="1">
      <alignment horizontal="center" vertical="center"/>
    </xf>
    <xf numFmtId="3" fontId="27" fillId="0" borderId="25" xfId="0" applyNumberFormat="1" applyFont="1" applyFill="1" applyBorder="1" applyAlignment="1">
      <alignment horizontal="center" vertical="center"/>
    </xf>
    <xf numFmtId="10" fontId="27" fillId="0" borderId="19" xfId="2" applyNumberFormat="1" applyFont="1" applyFill="1" applyBorder="1" applyAlignment="1">
      <alignment horizontal="center" vertical="center"/>
    </xf>
    <xf numFmtId="10" fontId="27" fillId="0" borderId="29" xfId="2" applyNumberFormat="1" applyFont="1" applyFill="1" applyBorder="1" applyAlignment="1">
      <alignment horizontal="center" vertical="center"/>
    </xf>
    <xf numFmtId="10" fontId="27" fillId="0" borderId="28" xfId="2" applyNumberFormat="1" applyFont="1" applyFill="1" applyBorder="1" applyAlignment="1">
      <alignment horizontal="center" vertical="center"/>
    </xf>
    <xf numFmtId="3" fontId="27" fillId="0" borderId="19" xfId="0" applyNumberFormat="1" applyFont="1" applyFill="1" applyBorder="1" applyAlignment="1">
      <alignment horizontal="center" vertical="center"/>
    </xf>
    <xf numFmtId="3" fontId="27" fillId="0" borderId="28" xfId="0" applyNumberFormat="1" applyFont="1" applyFill="1" applyBorder="1" applyAlignment="1">
      <alignment horizontal="center" vertical="center"/>
    </xf>
    <xf numFmtId="10" fontId="27" fillId="0" borderId="19" xfId="2" applyNumberFormat="1" applyFont="1" applyFill="1" applyBorder="1" applyAlignment="1">
      <alignment horizontal="center" vertical="center" wrapText="1"/>
    </xf>
    <xf numFmtId="10" fontId="27" fillId="0" borderId="28" xfId="2" applyNumberFormat="1" applyFont="1" applyFill="1" applyBorder="1" applyAlignment="1">
      <alignment horizontal="center" vertical="center" wrapText="1"/>
    </xf>
    <xf numFmtId="14" fontId="24" fillId="0" borderId="29" xfId="0" applyNumberFormat="1" applyFont="1" applyBorder="1" applyAlignment="1">
      <alignment vertical="center"/>
    </xf>
    <xf numFmtId="0" fontId="24" fillId="0" borderId="29" xfId="0" applyFont="1" applyBorder="1" applyAlignment="1">
      <alignment vertical="center"/>
    </xf>
    <xf numFmtId="0" fontId="27" fillId="0" borderId="29" xfId="0" applyFont="1" applyFill="1" applyBorder="1" applyAlignment="1">
      <alignment horizontal="center" vertical="center"/>
    </xf>
    <xf numFmtId="1" fontId="27" fillId="0" borderId="29" xfId="0" applyNumberFormat="1" applyFont="1" applyFill="1" applyBorder="1" applyAlignment="1">
      <alignment horizontal="center" vertical="center"/>
    </xf>
    <xf numFmtId="0" fontId="27" fillId="2" borderId="37" xfId="0" applyFont="1" applyFill="1" applyBorder="1" applyAlignment="1">
      <alignment horizontal="justify" vertical="center" wrapText="1"/>
    </xf>
    <xf numFmtId="0" fontId="27" fillId="0" borderId="0" xfId="0" applyFont="1" applyFill="1" applyBorder="1" applyAlignment="1">
      <alignment horizontal="center"/>
    </xf>
    <xf numFmtId="0" fontId="27" fillId="0" borderId="7" xfId="0" applyFont="1" applyFill="1" applyBorder="1" applyAlignment="1">
      <alignment horizontal="center"/>
    </xf>
    <xf numFmtId="0" fontId="27" fillId="0" borderId="37" xfId="0" applyFont="1" applyFill="1" applyBorder="1" applyAlignment="1">
      <alignment horizontal="justify" vertical="center" wrapText="1"/>
    </xf>
    <xf numFmtId="0" fontId="27" fillId="0" borderId="30" xfId="0" applyFont="1" applyFill="1" applyBorder="1" applyAlignment="1">
      <alignment horizontal="justify" vertical="center" wrapText="1"/>
    </xf>
    <xf numFmtId="0" fontId="17" fillId="2" borderId="20" xfId="0" applyFont="1" applyFill="1" applyBorder="1" applyAlignment="1">
      <alignment horizontal="center" vertical="center"/>
    </xf>
    <xf numFmtId="0" fontId="17" fillId="2" borderId="7" xfId="0" applyFont="1" applyFill="1" applyBorder="1" applyAlignment="1">
      <alignment horizontal="center" vertical="center"/>
    </xf>
    <xf numFmtId="172" fontId="17" fillId="2" borderId="19" xfId="2" applyNumberFormat="1" applyFont="1" applyFill="1" applyBorder="1" applyAlignment="1">
      <alignment horizontal="center" vertical="center"/>
    </xf>
    <xf numFmtId="172" fontId="17" fillId="2" borderId="29" xfId="2" applyNumberFormat="1" applyFont="1" applyFill="1" applyBorder="1" applyAlignment="1">
      <alignment horizontal="center" vertical="center"/>
    </xf>
    <xf numFmtId="14" fontId="27" fillId="0" borderId="29" xfId="0" applyNumberFormat="1" applyFont="1" applyFill="1" applyBorder="1" applyAlignment="1">
      <alignment horizontal="center" vertical="center"/>
    </xf>
    <xf numFmtId="172" fontId="27" fillId="2" borderId="19" xfId="0" applyNumberFormat="1" applyFont="1" applyFill="1" applyBorder="1" applyAlignment="1">
      <alignment horizontal="center" vertical="center" wrapText="1"/>
    </xf>
    <xf numFmtId="172" fontId="27" fillId="2" borderId="28" xfId="0" applyNumberFormat="1" applyFont="1" applyFill="1" applyBorder="1" applyAlignment="1">
      <alignment horizontal="center" vertical="center" wrapText="1"/>
    </xf>
    <xf numFmtId="0" fontId="27" fillId="0" borderId="19" xfId="0" applyNumberFormat="1" applyFont="1" applyFill="1" applyBorder="1" applyAlignment="1">
      <alignment horizontal="justify" vertical="center" wrapText="1"/>
    </xf>
    <xf numFmtId="0" fontId="27" fillId="0" borderId="29" xfId="0" applyNumberFormat="1" applyFont="1" applyFill="1" applyBorder="1" applyAlignment="1">
      <alignment horizontal="justify" vertical="center" wrapText="1"/>
    </xf>
    <xf numFmtId="172" fontId="27" fillId="2" borderId="19" xfId="0" applyNumberFormat="1" applyFont="1" applyFill="1" applyBorder="1" applyAlignment="1">
      <alignment horizontal="center" vertical="center"/>
    </xf>
    <xf numFmtId="172" fontId="27" fillId="2" borderId="28" xfId="0" applyNumberFormat="1" applyFont="1" applyFill="1" applyBorder="1" applyAlignment="1">
      <alignment horizontal="center" vertical="center"/>
    </xf>
    <xf numFmtId="0" fontId="27" fillId="0" borderId="28" xfId="0" applyNumberFormat="1" applyFont="1" applyFill="1" applyBorder="1" applyAlignment="1">
      <alignment horizontal="justify" vertical="center" wrapText="1"/>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26" fillId="0" borderId="27" xfId="0" applyFont="1" applyBorder="1" applyAlignment="1">
      <alignment horizontal="center" vertical="center"/>
    </xf>
    <xf numFmtId="0" fontId="26" fillId="0" borderId="7" xfId="0" applyFont="1" applyBorder="1" applyAlignment="1">
      <alignment horizontal="center" vertical="center"/>
    </xf>
    <xf numFmtId="0" fontId="26" fillId="10" borderId="20" xfId="0" applyFont="1" applyFill="1" applyBorder="1" applyAlignment="1">
      <alignment horizontal="center" vertical="center" wrapText="1"/>
    </xf>
    <xf numFmtId="0" fontId="26" fillId="10" borderId="7"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26" fillId="10" borderId="19" xfId="0" applyFont="1" applyFill="1" applyBorder="1" applyAlignment="1">
      <alignment horizontal="center" vertical="center" wrapText="1"/>
    </xf>
    <xf numFmtId="0" fontId="26" fillId="10" borderId="29" xfId="0" applyFont="1" applyFill="1" applyBorder="1" applyAlignment="1">
      <alignment horizontal="center" vertical="center" wrapText="1"/>
    </xf>
    <xf numFmtId="0" fontId="26" fillId="10" borderId="28" xfId="0" applyFont="1" applyFill="1" applyBorder="1" applyAlignment="1">
      <alignment horizontal="center" vertical="center" wrapText="1"/>
    </xf>
    <xf numFmtId="164" fontId="26" fillId="10" borderId="19" xfId="0" applyNumberFormat="1" applyFont="1" applyFill="1" applyBorder="1" applyAlignment="1">
      <alignment horizontal="center" vertical="center" wrapText="1"/>
    </xf>
    <xf numFmtId="164" fontId="26" fillId="10" borderId="29" xfId="0" applyNumberFormat="1" applyFont="1" applyFill="1" applyBorder="1" applyAlignment="1">
      <alignment horizontal="center" vertical="center" wrapText="1"/>
    </xf>
    <xf numFmtId="164" fontId="26" fillId="10" borderId="28" xfId="0" applyNumberFormat="1" applyFont="1" applyFill="1" applyBorder="1" applyAlignment="1">
      <alignment horizontal="center" vertical="center" wrapText="1"/>
    </xf>
    <xf numFmtId="0" fontId="26" fillId="10" borderId="31" xfId="0" applyFont="1" applyFill="1" applyBorder="1" applyAlignment="1">
      <alignment horizontal="center" vertical="center" wrapText="1"/>
    </xf>
    <xf numFmtId="0" fontId="26" fillId="10" borderId="27"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15" fillId="4" borderId="23" xfId="0" applyFont="1" applyFill="1" applyBorder="1" applyAlignment="1">
      <alignment horizontal="center" vertical="center" wrapText="1"/>
    </xf>
    <xf numFmtId="168" fontId="26" fillId="10" borderId="8" xfId="0" applyNumberFormat="1" applyFont="1" applyFill="1" applyBorder="1" applyAlignment="1">
      <alignment horizontal="center" vertical="center" wrapText="1"/>
    </xf>
    <xf numFmtId="168" fontId="26" fillId="10" borderId="31" xfId="0" applyNumberFormat="1" applyFont="1" applyFill="1" applyBorder="1" applyAlignment="1">
      <alignment horizontal="center" vertical="center" wrapText="1"/>
    </xf>
    <xf numFmtId="168" fontId="26" fillId="10" borderId="25" xfId="0" applyNumberFormat="1" applyFont="1" applyFill="1" applyBorder="1" applyAlignment="1">
      <alignment horizontal="center" vertical="center" wrapText="1"/>
    </xf>
    <xf numFmtId="3" fontId="26" fillId="10" borderId="19" xfId="0" applyNumberFormat="1" applyFont="1" applyFill="1" applyBorder="1" applyAlignment="1">
      <alignment horizontal="center" vertical="center" wrapText="1"/>
    </xf>
    <xf numFmtId="3" fontId="26" fillId="10" borderId="29" xfId="0" applyNumberFormat="1" applyFont="1" applyFill="1" applyBorder="1" applyAlignment="1">
      <alignment horizontal="center" vertical="center" wrapText="1"/>
    </xf>
    <xf numFmtId="3" fontId="26" fillId="10" borderId="28" xfId="0" applyNumberFormat="1" applyFont="1" applyFill="1" applyBorder="1" applyAlignment="1">
      <alignment horizontal="center" vertical="center" wrapText="1"/>
    </xf>
    <xf numFmtId="164" fontId="26" fillId="10" borderId="31" xfId="0" applyNumberFormat="1" applyFont="1" applyFill="1" applyBorder="1" applyAlignment="1">
      <alignment horizontal="center" vertical="center" wrapText="1"/>
    </xf>
    <xf numFmtId="164" fontId="26" fillId="10" borderId="27" xfId="0" applyNumberFormat="1" applyFont="1" applyFill="1" applyBorder="1" applyAlignment="1">
      <alignment horizontal="center" vertical="center" wrapText="1"/>
    </xf>
    <xf numFmtId="175" fontId="27" fillId="0" borderId="19" xfId="0" applyNumberFormat="1" applyFont="1" applyBorder="1" applyAlignment="1">
      <alignment horizontal="center" vertical="center" wrapText="1"/>
    </xf>
    <xf numFmtId="175" fontId="27" fillId="0" borderId="29" xfId="0" applyNumberFormat="1" applyFont="1" applyBorder="1" applyAlignment="1">
      <alignment horizontal="center" vertical="center" wrapText="1"/>
    </xf>
    <xf numFmtId="175" fontId="27" fillId="0" borderId="28" xfId="0" applyNumberFormat="1" applyFont="1" applyBorder="1" applyAlignment="1">
      <alignment horizontal="center" vertical="center" wrapText="1"/>
    </xf>
    <xf numFmtId="0" fontId="29" fillId="2" borderId="29" xfId="0" applyFont="1" applyFill="1" applyBorder="1" applyAlignment="1">
      <alignment horizontal="justify" vertical="center" wrapText="1"/>
    </xf>
    <xf numFmtId="0" fontId="29" fillId="2" borderId="28" xfId="0" applyFont="1" applyFill="1" applyBorder="1" applyAlignment="1">
      <alignment horizontal="justify" vertical="center" wrapText="1"/>
    </xf>
    <xf numFmtId="43" fontId="27" fillId="2" borderId="28" xfId="1" applyFont="1" applyFill="1" applyBorder="1" applyAlignment="1">
      <alignment horizontal="center" vertical="center"/>
    </xf>
    <xf numFmtId="0" fontId="29" fillId="2" borderId="19" xfId="0" applyFont="1" applyFill="1" applyBorder="1" applyAlignment="1">
      <alignment horizontal="justify" vertical="center" wrapText="1"/>
    </xf>
    <xf numFmtId="0" fontId="27" fillId="0" borderId="31"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2" xfId="0" applyFont="1" applyBorder="1" applyAlignment="1">
      <alignment horizontal="center" vertical="center" wrapText="1"/>
    </xf>
    <xf numFmtId="0" fontId="29" fillId="0" borderId="19"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8" xfId="0" applyFont="1" applyFill="1" applyBorder="1" applyAlignment="1">
      <alignment horizontal="center" vertical="center" wrapText="1"/>
    </xf>
    <xf numFmtId="174" fontId="27" fillId="2" borderId="19" xfId="0" applyNumberFormat="1" applyFont="1" applyFill="1" applyBorder="1" applyAlignment="1">
      <alignment horizontal="center" vertical="center" wrapText="1"/>
    </xf>
    <xf numFmtId="174" fontId="27" fillId="2" borderId="29" xfId="0" applyNumberFormat="1" applyFont="1" applyFill="1" applyBorder="1" applyAlignment="1">
      <alignment horizontal="center" vertical="center" wrapText="1"/>
    </xf>
    <xf numFmtId="174" fontId="27" fillId="2" borderId="28" xfId="0" applyNumberFormat="1" applyFont="1" applyFill="1" applyBorder="1" applyAlignment="1">
      <alignment horizontal="center" vertical="center" wrapText="1"/>
    </xf>
    <xf numFmtId="0" fontId="27" fillId="2" borderId="19" xfId="0" applyNumberFormat="1" applyFont="1" applyFill="1" applyBorder="1" applyAlignment="1">
      <alignment horizontal="center" vertical="center"/>
    </xf>
    <xf numFmtId="0" fontId="27" fillId="2" borderId="29" xfId="0" applyNumberFormat="1" applyFont="1" applyFill="1" applyBorder="1" applyAlignment="1">
      <alignment horizontal="center" vertical="center"/>
    </xf>
    <xf numFmtId="0" fontId="27" fillId="2" borderId="28" xfId="0" applyNumberFormat="1" applyFont="1" applyFill="1" applyBorder="1" applyAlignment="1">
      <alignment horizontal="center" vertical="center"/>
    </xf>
    <xf numFmtId="0" fontId="27" fillId="2" borderId="19" xfId="7" applyNumberFormat="1" applyFont="1" applyFill="1" applyBorder="1" applyAlignment="1">
      <alignment horizontal="center" vertical="center"/>
    </xf>
    <xf numFmtId="0" fontId="27" fillId="2" borderId="29" xfId="7" applyNumberFormat="1" applyFont="1" applyFill="1" applyBorder="1" applyAlignment="1">
      <alignment horizontal="center" vertical="center"/>
    </xf>
    <xf numFmtId="0" fontId="27" fillId="2" borderId="28" xfId="7" applyNumberFormat="1" applyFont="1" applyFill="1" applyBorder="1" applyAlignment="1">
      <alignment horizontal="center" vertical="center"/>
    </xf>
    <xf numFmtId="0" fontId="29" fillId="0" borderId="29" xfId="0" applyFont="1" applyFill="1" applyBorder="1" applyAlignment="1">
      <alignment horizontal="justify" vertical="center" wrapText="1"/>
    </xf>
    <xf numFmtId="1" fontId="17" fillId="2" borderId="28" xfId="8" applyNumberFormat="1" applyFont="1" applyFill="1" applyBorder="1" applyAlignment="1">
      <alignment horizontal="center" vertical="center" wrapText="1"/>
    </xf>
    <xf numFmtId="1" fontId="17" fillId="2" borderId="19" xfId="8" applyNumberFormat="1" applyFont="1" applyFill="1" applyBorder="1" applyAlignment="1">
      <alignment horizontal="center" vertical="center" wrapText="1"/>
    </xf>
    <xf numFmtId="14" fontId="27" fillId="0" borderId="12" xfId="0" applyNumberFormat="1" applyFont="1" applyFill="1" applyBorder="1" applyAlignment="1">
      <alignment horizontal="center" vertical="center"/>
    </xf>
    <xf numFmtId="14" fontId="27" fillId="0" borderId="16" xfId="0" applyNumberFormat="1" applyFont="1" applyFill="1" applyBorder="1" applyAlignment="1">
      <alignment horizontal="center" vertical="center"/>
    </xf>
    <xf numFmtId="14" fontId="27" fillId="0" borderId="28" xfId="0" applyNumberFormat="1" applyFont="1" applyFill="1" applyBorder="1" applyAlignment="1">
      <alignment horizontal="center" vertical="center"/>
    </xf>
    <xf numFmtId="14" fontId="27" fillId="0" borderId="8" xfId="0" applyNumberFormat="1" applyFont="1" applyFill="1" applyBorder="1" applyAlignment="1">
      <alignment horizontal="center" vertical="center"/>
    </xf>
    <xf numFmtId="176" fontId="27" fillId="0" borderId="29" xfId="0" applyNumberFormat="1" applyFont="1" applyBorder="1" applyAlignment="1">
      <alignment horizontal="center" vertical="center"/>
    </xf>
    <xf numFmtId="43" fontId="27" fillId="2" borderId="19" xfId="1" applyFont="1" applyFill="1" applyBorder="1" applyAlignment="1">
      <alignment horizontal="center" vertical="center"/>
    </xf>
    <xf numFmtId="0" fontId="29" fillId="0" borderId="20" xfId="0" applyFont="1" applyFill="1" applyBorder="1" applyAlignment="1">
      <alignment horizontal="justify" vertical="center" wrapText="1"/>
    </xf>
    <xf numFmtId="0" fontId="29" fillId="0" borderId="7" xfId="0" applyFont="1" applyFill="1" applyBorder="1" applyAlignment="1">
      <alignment horizontal="justify" vertical="center" wrapText="1"/>
    </xf>
    <xf numFmtId="0" fontId="29" fillId="0" borderId="12" xfId="0" applyFont="1" applyFill="1" applyBorder="1" applyAlignment="1">
      <alignment horizontal="justify" vertical="center" wrapText="1"/>
    </xf>
    <xf numFmtId="0" fontId="29" fillId="2" borderId="23" xfId="0" applyFont="1" applyFill="1" applyBorder="1" applyAlignment="1">
      <alignment horizontal="justify" vertical="center" wrapText="1"/>
    </xf>
    <xf numFmtId="0" fontId="29" fillId="2" borderId="0" xfId="0" applyFont="1" applyFill="1" applyBorder="1" applyAlignment="1">
      <alignment horizontal="justify" vertical="center" wrapText="1"/>
    </xf>
    <xf numFmtId="0" fontId="29" fillId="2" borderId="11" xfId="0" applyFont="1" applyFill="1" applyBorder="1" applyAlignment="1">
      <alignment horizontal="justify" vertical="center" wrapText="1"/>
    </xf>
    <xf numFmtId="176" fontId="27" fillId="0" borderId="19" xfId="0" applyNumberFormat="1" applyFont="1" applyBorder="1" applyAlignment="1">
      <alignment horizontal="center" vertical="center"/>
    </xf>
    <xf numFmtId="176" fontId="27" fillId="0" borderId="28" xfId="0" applyNumberFormat="1" applyFont="1" applyBorder="1" applyAlignment="1">
      <alignment horizontal="center" vertical="center"/>
    </xf>
    <xf numFmtId="166" fontId="27" fillId="2" borderId="8" xfId="7" applyNumberFormat="1" applyFont="1" applyFill="1" applyBorder="1" applyAlignment="1">
      <alignment horizontal="center" vertical="center"/>
    </xf>
    <xf numFmtId="1" fontId="27" fillId="2" borderId="8" xfId="0" applyNumberFormat="1" applyFont="1" applyFill="1" applyBorder="1" applyAlignment="1">
      <alignment horizontal="center" vertical="center"/>
    </xf>
    <xf numFmtId="0" fontId="29" fillId="2" borderId="14" xfId="0" applyFont="1" applyFill="1" applyBorder="1" applyAlignment="1">
      <alignment horizontal="justify" vertical="center" wrapText="1"/>
    </xf>
    <xf numFmtId="0" fontId="29" fillId="2" borderId="8" xfId="0" applyFont="1" applyFill="1" applyBorder="1" applyAlignment="1">
      <alignment horizontal="justify" vertical="center" wrapText="1"/>
    </xf>
    <xf numFmtId="0" fontId="29" fillId="2" borderId="19"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28" xfId="0" applyFont="1" applyFill="1" applyBorder="1" applyAlignment="1">
      <alignment horizontal="center" vertical="center" wrapText="1"/>
    </xf>
    <xf numFmtId="166" fontId="27" fillId="2" borderId="19" xfId="0" applyNumberFormat="1" applyFont="1" applyFill="1" applyBorder="1" applyAlignment="1">
      <alignment horizontal="center" vertical="center"/>
    </xf>
    <xf numFmtId="14" fontId="27" fillId="0" borderId="8" xfId="0" applyNumberFormat="1" applyFont="1" applyBorder="1" applyAlignment="1">
      <alignment horizontal="center" vertical="center"/>
    </xf>
    <xf numFmtId="0" fontId="27" fillId="0" borderId="20" xfId="0" applyFont="1" applyFill="1" applyBorder="1" applyAlignment="1">
      <alignment horizontal="justify" vertical="center" wrapText="1"/>
    </xf>
    <xf numFmtId="0" fontId="27" fillId="0" borderId="7" xfId="0" applyFont="1" applyFill="1" applyBorder="1" applyAlignment="1">
      <alignment horizontal="justify" vertical="center" wrapText="1"/>
    </xf>
    <xf numFmtId="0" fontId="27" fillId="0" borderId="12" xfId="0" applyFont="1" applyFill="1" applyBorder="1" applyAlignment="1">
      <alignment horizontal="justify" vertical="center" wrapText="1"/>
    </xf>
    <xf numFmtId="0" fontId="29" fillId="0" borderId="28" xfId="0" applyFont="1" applyFill="1" applyBorder="1" applyAlignment="1">
      <alignment horizontal="justify" vertical="center" wrapText="1"/>
    </xf>
    <xf numFmtId="10" fontId="27" fillId="2" borderId="19" xfId="2" applyNumberFormat="1" applyFont="1" applyFill="1" applyBorder="1" applyAlignment="1">
      <alignment horizontal="center" vertical="center"/>
    </xf>
    <xf numFmtId="10" fontId="27" fillId="2" borderId="29" xfId="2" applyNumberFormat="1" applyFont="1" applyFill="1" applyBorder="1" applyAlignment="1">
      <alignment horizontal="center" vertical="center"/>
    </xf>
    <xf numFmtId="10" fontId="27" fillId="2" borderId="28" xfId="2" applyNumberFormat="1" applyFont="1" applyFill="1" applyBorder="1" applyAlignment="1">
      <alignment horizontal="center" vertical="center"/>
    </xf>
    <xf numFmtId="175" fontId="27" fillId="2" borderId="29" xfId="0" applyNumberFormat="1" applyFont="1" applyFill="1" applyBorder="1" applyAlignment="1">
      <alignment horizontal="center" vertical="center" wrapText="1"/>
    </xf>
    <xf numFmtId="175" fontId="27" fillId="2" borderId="19" xfId="0" applyNumberFormat="1" applyFont="1" applyFill="1" applyBorder="1" applyAlignment="1">
      <alignment horizontal="center" vertical="center" wrapText="1"/>
    </xf>
    <xf numFmtId="1" fontId="27" fillId="0" borderId="19" xfId="0" applyNumberFormat="1" applyFont="1" applyBorder="1" applyAlignment="1">
      <alignment horizontal="center" vertical="center"/>
    </xf>
    <xf numFmtId="49" fontId="17" fillId="2" borderId="19" xfId="9" applyNumberFormat="1" applyFont="1" applyFill="1" applyBorder="1" applyAlignment="1">
      <alignment horizontal="center" vertical="center" wrapText="1"/>
    </xf>
    <xf numFmtId="49" fontId="17" fillId="2" borderId="29" xfId="9" applyNumberFormat="1" applyFont="1" applyFill="1" applyBorder="1" applyAlignment="1">
      <alignment horizontal="center" vertical="center" wrapText="1"/>
    </xf>
    <xf numFmtId="49" fontId="17" fillId="2" borderId="28" xfId="9" applyNumberFormat="1" applyFont="1" applyFill="1" applyBorder="1" applyAlignment="1">
      <alignment horizontal="center" vertical="center" wrapText="1"/>
    </xf>
    <xf numFmtId="175" fontId="27" fillId="2" borderId="8" xfId="11" applyNumberFormat="1" applyFont="1" applyFill="1" applyBorder="1" applyAlignment="1">
      <alignment horizontal="center" vertical="center"/>
    </xf>
    <xf numFmtId="175" fontId="27" fillId="2" borderId="19" xfId="11" applyNumberFormat="1" applyFont="1" applyFill="1" applyBorder="1" applyAlignment="1">
      <alignment horizontal="center" vertical="center"/>
    </xf>
    <xf numFmtId="43" fontId="17" fillId="2" borderId="19" xfId="10" applyFont="1" applyFill="1" applyBorder="1" applyAlignment="1">
      <alignment horizontal="justify" vertical="center" wrapText="1"/>
    </xf>
    <xf numFmtId="43" fontId="17" fillId="2" borderId="29" xfId="10" applyFont="1" applyFill="1" applyBorder="1" applyAlignment="1">
      <alignment horizontal="justify" vertical="center" wrapText="1"/>
    </xf>
    <xf numFmtId="14" fontId="27" fillId="0" borderId="31" xfId="0" applyNumberFormat="1" applyFont="1" applyBorder="1" applyAlignment="1">
      <alignment horizontal="center" vertical="center"/>
    </xf>
    <xf numFmtId="14" fontId="27" fillId="0" borderId="27" xfId="0" applyNumberFormat="1" applyFont="1" applyBorder="1" applyAlignment="1">
      <alignment horizontal="center" vertical="center"/>
    </xf>
    <xf numFmtId="0" fontId="29" fillId="0" borderId="16" xfId="0" applyFont="1" applyFill="1" applyBorder="1" applyAlignment="1">
      <alignment horizontal="center" vertical="center" wrapText="1"/>
    </xf>
    <xf numFmtId="1" fontId="17" fillId="2" borderId="8" xfId="0" applyNumberFormat="1" applyFont="1" applyFill="1" applyBorder="1" applyAlignment="1">
      <alignment horizontal="center" vertical="center" wrapText="1"/>
    </xf>
    <xf numFmtId="175" fontId="27" fillId="0" borderId="19" xfId="0" applyNumberFormat="1" applyFont="1" applyBorder="1" applyAlignment="1">
      <alignment horizontal="center" vertical="center"/>
    </xf>
    <xf numFmtId="0" fontId="29" fillId="0" borderId="8" xfId="0" applyFont="1" applyFill="1" applyBorder="1" applyAlignment="1">
      <alignment horizontal="center" vertical="center" wrapText="1"/>
    </xf>
    <xf numFmtId="0" fontId="27" fillId="0" borderId="29" xfId="0" applyFont="1" applyBorder="1" applyAlignment="1">
      <alignment horizontal="center"/>
    </xf>
    <xf numFmtId="1" fontId="27" fillId="2" borderId="8" xfId="12" applyNumberFormat="1" applyFont="1" applyFill="1" applyBorder="1" applyAlignment="1">
      <alignment horizontal="center" vertical="center" wrapText="1"/>
    </xf>
    <xf numFmtId="175" fontId="27" fillId="2" borderId="28" xfId="0" applyNumberFormat="1" applyFont="1" applyFill="1" applyBorder="1" applyAlignment="1">
      <alignment horizontal="center" vertical="center" wrapText="1"/>
    </xf>
    <xf numFmtId="43" fontId="17" fillId="0" borderId="28" xfId="1" applyFont="1" applyFill="1" applyBorder="1" applyAlignment="1">
      <alignment horizontal="center" vertical="center"/>
    </xf>
    <xf numFmtId="43" fontId="17" fillId="0" borderId="8" xfId="1" applyFont="1" applyFill="1" applyBorder="1" applyAlignment="1">
      <alignment horizontal="center" vertical="center"/>
    </xf>
    <xf numFmtId="166" fontId="27" fillId="0" borderId="29" xfId="7" applyNumberFormat="1" applyFont="1" applyFill="1" applyBorder="1" applyAlignment="1">
      <alignment vertical="center"/>
    </xf>
    <xf numFmtId="166" fontId="27" fillId="0" borderId="28" xfId="7" applyNumberFormat="1" applyFont="1" applyFill="1" applyBorder="1" applyAlignment="1">
      <alignment vertical="center"/>
    </xf>
    <xf numFmtId="0" fontId="29" fillId="0" borderId="7" xfId="0" applyFont="1" applyFill="1" applyBorder="1" applyAlignment="1">
      <alignment horizontal="center" vertical="center" wrapText="1"/>
    </xf>
    <xf numFmtId="0" fontId="29" fillId="0" borderId="12" xfId="0" applyFont="1" applyFill="1" applyBorder="1" applyAlignment="1">
      <alignment horizontal="center" vertical="center" wrapText="1"/>
    </xf>
    <xf numFmtId="166" fontId="26" fillId="0" borderId="19" xfId="7" applyNumberFormat="1" applyFont="1" applyFill="1" applyBorder="1" applyAlignment="1">
      <alignment horizontal="center" vertical="center"/>
    </xf>
    <xf numFmtId="166" fontId="26" fillId="0" borderId="28" xfId="7" applyNumberFormat="1" applyFont="1" applyFill="1" applyBorder="1" applyAlignment="1">
      <alignment horizontal="center" vertical="center"/>
    </xf>
    <xf numFmtId="3" fontId="26" fillId="0" borderId="19" xfId="0" applyNumberFormat="1" applyFont="1" applyFill="1" applyBorder="1" applyAlignment="1">
      <alignment horizontal="center" vertical="center"/>
    </xf>
    <xf numFmtId="3" fontId="26" fillId="0" borderId="28" xfId="0" applyNumberFormat="1" applyFont="1" applyFill="1" applyBorder="1" applyAlignment="1">
      <alignment horizontal="center" vertical="center"/>
    </xf>
    <xf numFmtId="0" fontId="29" fillId="0" borderId="20" xfId="0" applyFont="1" applyFill="1" applyBorder="1" applyAlignment="1">
      <alignment horizontal="center" vertical="center" wrapText="1"/>
    </xf>
    <xf numFmtId="0" fontId="17" fillId="0" borderId="8" xfId="9" applyNumberFormat="1" applyFont="1" applyFill="1" applyBorder="1" applyAlignment="1">
      <alignment horizontal="justify" vertical="center" wrapText="1"/>
    </xf>
    <xf numFmtId="166" fontId="27" fillId="0" borderId="19" xfId="7" applyNumberFormat="1" applyFont="1" applyFill="1" applyBorder="1" applyAlignment="1">
      <alignment horizontal="center" vertical="center"/>
    </xf>
    <xf numFmtId="166" fontId="27" fillId="0" borderId="28" xfId="7" applyNumberFormat="1" applyFont="1" applyFill="1" applyBorder="1" applyAlignment="1">
      <alignment horizontal="center" vertical="center"/>
    </xf>
    <xf numFmtId="14" fontId="27" fillId="0" borderId="19" xfId="0" applyNumberFormat="1" applyFont="1" applyBorder="1" applyAlignment="1">
      <alignment horizontal="center" vertical="center" wrapText="1"/>
    </xf>
    <xf numFmtId="14" fontId="27" fillId="0" borderId="29" xfId="0" applyNumberFormat="1" applyFont="1" applyBorder="1" applyAlignment="1">
      <alignment horizontal="center" vertical="center" wrapText="1"/>
    </xf>
    <xf numFmtId="14" fontId="27" fillId="0" borderId="28" xfId="0" applyNumberFormat="1" applyFont="1" applyBorder="1" applyAlignment="1">
      <alignment horizontal="center" vertical="center" wrapText="1"/>
    </xf>
    <xf numFmtId="0" fontId="17" fillId="0" borderId="19" xfId="9" applyNumberFormat="1" applyFont="1" applyFill="1" applyBorder="1" applyAlignment="1">
      <alignment horizontal="justify" vertical="center" wrapText="1"/>
    </xf>
    <xf numFmtId="0" fontId="17" fillId="0" borderId="29" xfId="9" applyNumberFormat="1" applyFont="1" applyFill="1" applyBorder="1" applyAlignment="1">
      <alignment horizontal="justify" vertical="center" wrapText="1"/>
    </xf>
    <xf numFmtId="0" fontId="17" fillId="0" borderId="28" xfId="9" applyNumberFormat="1" applyFont="1" applyFill="1" applyBorder="1" applyAlignment="1">
      <alignment horizontal="justify" vertical="center" wrapText="1"/>
    </xf>
    <xf numFmtId="1" fontId="27" fillId="2" borderId="8" xfId="8" applyNumberFormat="1" applyFont="1" applyFill="1" applyBorder="1" applyAlignment="1">
      <alignment horizontal="center" vertical="center" wrapText="1"/>
    </xf>
    <xf numFmtId="3" fontId="17" fillId="0" borderId="19" xfId="0" applyNumberFormat="1" applyFont="1" applyFill="1" applyBorder="1" applyAlignment="1">
      <alignment horizontal="center" vertical="center"/>
    </xf>
    <xf numFmtId="3" fontId="17" fillId="0" borderId="29" xfId="0" applyNumberFormat="1" applyFont="1" applyFill="1" applyBorder="1" applyAlignment="1">
      <alignment horizontal="center" vertical="center"/>
    </xf>
    <xf numFmtId="3" fontId="17" fillId="0" borderId="28" xfId="0" applyNumberFormat="1" applyFont="1" applyFill="1" applyBorder="1" applyAlignment="1">
      <alignment horizontal="center" vertical="center"/>
    </xf>
    <xf numFmtId="166" fontId="17" fillId="0" borderId="19" xfId="0" applyNumberFormat="1" applyFont="1" applyBorder="1" applyAlignment="1">
      <alignment horizontal="center" vertical="center"/>
    </xf>
    <xf numFmtId="166" fontId="17" fillId="0" borderId="29" xfId="0" applyNumberFormat="1" applyFont="1" applyBorder="1" applyAlignment="1">
      <alignment horizontal="center" vertical="center"/>
    </xf>
    <xf numFmtId="166" fontId="17" fillId="0" borderId="28" xfId="0" applyNumberFormat="1" applyFont="1" applyBorder="1" applyAlignment="1">
      <alignment horizontal="center" vertical="center"/>
    </xf>
    <xf numFmtId="166" fontId="17" fillId="0" borderId="19" xfId="7" applyNumberFormat="1" applyFont="1" applyFill="1" applyBorder="1" applyAlignment="1">
      <alignment horizontal="center" vertical="center"/>
    </xf>
    <xf numFmtId="166" fontId="17" fillId="0" borderId="29" xfId="7" applyNumberFormat="1" applyFont="1" applyFill="1" applyBorder="1" applyAlignment="1">
      <alignment horizontal="center" vertical="center"/>
    </xf>
    <xf numFmtId="166" fontId="17" fillId="0" borderId="28" xfId="7" applyNumberFormat="1" applyFont="1" applyFill="1" applyBorder="1" applyAlignment="1">
      <alignment horizontal="center" vertical="center"/>
    </xf>
    <xf numFmtId="3" fontId="27" fillId="0" borderId="29" xfId="0" applyNumberFormat="1" applyFont="1" applyFill="1" applyBorder="1" applyAlignment="1">
      <alignment horizontal="center" vertical="center"/>
    </xf>
    <xf numFmtId="166" fontId="27" fillId="0" borderId="19" xfId="0" applyNumberFormat="1" applyFont="1" applyFill="1" applyBorder="1" applyAlignment="1">
      <alignment horizontal="center" vertical="center"/>
    </xf>
    <xf numFmtId="166" fontId="27" fillId="0" borderId="29" xfId="0" applyNumberFormat="1" applyFont="1" applyFill="1" applyBorder="1" applyAlignment="1">
      <alignment horizontal="center" vertical="center"/>
    </xf>
    <xf numFmtId="166" fontId="27" fillId="0" borderId="28" xfId="0" applyNumberFormat="1" applyFont="1" applyFill="1" applyBorder="1" applyAlignment="1">
      <alignment horizontal="center" vertical="center"/>
    </xf>
    <xf numFmtId="0" fontId="27" fillId="0" borderId="29" xfId="0" applyFont="1" applyFill="1" applyBorder="1" applyAlignment="1">
      <alignment horizontal="center"/>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44" xfId="0" applyFont="1" applyBorder="1" applyAlignment="1">
      <alignment horizontal="center" vertical="center" wrapText="1"/>
    </xf>
    <xf numFmtId="0" fontId="17" fillId="0" borderId="0" xfId="0" applyNumberFormat="1" applyFont="1" applyAlignment="1">
      <alignment horizontal="left" wrapText="1"/>
    </xf>
    <xf numFmtId="0" fontId="26" fillId="0" borderId="0" xfId="0" applyNumberFormat="1" applyFont="1" applyAlignment="1">
      <alignment horizontal="justify" wrapText="1"/>
    </xf>
    <xf numFmtId="9" fontId="27" fillId="0" borderId="19" xfId="2" applyNumberFormat="1" applyFont="1" applyFill="1" applyBorder="1" applyAlignment="1">
      <alignment horizontal="center" vertical="center"/>
    </xf>
    <xf numFmtId="9" fontId="27" fillId="0" borderId="29" xfId="2" applyNumberFormat="1" applyFont="1" applyFill="1" applyBorder="1" applyAlignment="1">
      <alignment horizontal="center" vertical="center"/>
    </xf>
    <xf numFmtId="9" fontId="27" fillId="0" borderId="28" xfId="2" applyNumberFormat="1" applyFont="1" applyFill="1" applyBorder="1" applyAlignment="1">
      <alignment horizontal="center" vertical="center"/>
    </xf>
    <xf numFmtId="0" fontId="27" fillId="0" borderId="20" xfId="0" applyFont="1" applyBorder="1" applyAlignment="1">
      <alignment horizontal="center" vertical="center"/>
    </xf>
    <xf numFmtId="0" fontId="27" fillId="0" borderId="7" xfId="0" applyFont="1" applyBorder="1" applyAlignment="1">
      <alignment horizontal="center" vertical="center"/>
    </xf>
    <xf numFmtId="1" fontId="29" fillId="0" borderId="31" xfId="0" applyNumberFormat="1" applyFont="1" applyFill="1" applyBorder="1" applyAlignment="1">
      <alignment horizontal="center" vertical="center" wrapText="1"/>
    </xf>
    <xf numFmtId="1" fontId="29" fillId="0" borderId="27" xfId="0" applyNumberFormat="1" applyFont="1" applyFill="1" applyBorder="1" applyAlignment="1">
      <alignment horizontal="center" vertical="center" wrapText="1"/>
    </xf>
    <xf numFmtId="1" fontId="29" fillId="0" borderId="25" xfId="0" applyNumberFormat="1" applyFont="1" applyFill="1" applyBorder="1" applyAlignment="1">
      <alignment horizontal="center" vertical="center" wrapText="1"/>
    </xf>
    <xf numFmtId="175" fontId="27" fillId="0" borderId="7" xfId="0" applyNumberFormat="1" applyFont="1" applyFill="1" applyBorder="1" applyAlignment="1">
      <alignment horizontal="center" vertical="center" wrapText="1"/>
    </xf>
    <xf numFmtId="1" fontId="26" fillId="6" borderId="15" xfId="0" applyNumberFormat="1" applyFont="1" applyFill="1" applyBorder="1" applyAlignment="1">
      <alignment horizontal="left" vertical="center"/>
    </xf>
    <xf numFmtId="1" fontId="26" fillId="6" borderId="17" xfId="0" applyNumberFormat="1" applyFont="1" applyFill="1" applyBorder="1" applyAlignment="1">
      <alignment horizontal="left" vertical="center"/>
    </xf>
    <xf numFmtId="0" fontId="26" fillId="7" borderId="23" xfId="0" applyFont="1" applyFill="1" applyBorder="1" applyAlignment="1">
      <alignment horizontal="left" vertical="center"/>
    </xf>
    <xf numFmtId="0" fontId="26" fillId="7" borderId="17" xfId="0" applyFont="1" applyFill="1" applyBorder="1" applyAlignment="1">
      <alignment horizontal="left" vertical="center"/>
    </xf>
    <xf numFmtId="0" fontId="27" fillId="2" borderId="20" xfId="0" applyFont="1" applyFill="1" applyBorder="1" applyAlignment="1">
      <alignment horizontal="justify" vertical="center" wrapText="1"/>
    </xf>
    <xf numFmtId="0" fontId="27" fillId="2" borderId="7" xfId="0" applyFont="1" applyFill="1" applyBorder="1" applyAlignment="1">
      <alignment horizontal="justify" vertical="center" wrapText="1"/>
    </xf>
    <xf numFmtId="0" fontId="26" fillId="5" borderId="17" xfId="0" applyFont="1" applyFill="1" applyBorder="1" applyAlignment="1">
      <alignment horizontal="left" vertical="center"/>
    </xf>
    <xf numFmtId="43" fontId="27" fillId="2" borderId="29" xfId="1" applyFont="1" applyFill="1" applyBorder="1" applyAlignment="1">
      <alignment horizontal="justify" vertical="center" wrapText="1"/>
    </xf>
    <xf numFmtId="43" fontId="27" fillId="2" borderId="28" xfId="1" applyFont="1" applyFill="1" applyBorder="1" applyAlignment="1">
      <alignment horizontal="center" vertical="center" wrapText="1"/>
    </xf>
    <xf numFmtId="3" fontId="17" fillId="2" borderId="19" xfId="0" applyNumberFormat="1" applyFont="1" applyFill="1" applyBorder="1" applyAlignment="1">
      <alignment horizontal="center" vertical="center" wrapText="1"/>
    </xf>
    <xf numFmtId="3" fontId="27" fillId="2" borderId="21" xfId="0" applyNumberFormat="1" applyFont="1" applyFill="1" applyBorder="1" applyAlignment="1">
      <alignment horizontal="justify" vertical="center" wrapText="1"/>
    </xf>
    <xf numFmtId="9" fontId="27" fillId="2" borderId="19" xfId="6" applyNumberFormat="1" applyFont="1" applyFill="1" applyBorder="1" applyAlignment="1">
      <alignment horizontal="center" vertical="center" wrapText="1"/>
    </xf>
    <xf numFmtId="41" fontId="27" fillId="2" borderId="29" xfId="6" applyFont="1" applyFill="1" applyBorder="1" applyAlignment="1">
      <alignment horizontal="center" vertical="center" wrapText="1"/>
    </xf>
    <xf numFmtId="0" fontId="26" fillId="3" borderId="18" xfId="18" applyFont="1" applyFill="1" applyBorder="1" applyAlignment="1">
      <alignment horizontal="center" vertical="center" wrapText="1"/>
    </xf>
    <xf numFmtId="0" fontId="26" fillId="3" borderId="36" xfId="18" applyFont="1" applyFill="1" applyBorder="1" applyAlignment="1">
      <alignment horizontal="center" vertical="center" wrapText="1"/>
    </xf>
    <xf numFmtId="0" fontId="26" fillId="3" borderId="41" xfId="18" applyFont="1" applyFill="1" applyBorder="1" applyAlignment="1">
      <alignment horizontal="center" vertical="center" wrapText="1"/>
    </xf>
    <xf numFmtId="0" fontId="26" fillId="3" borderId="31" xfId="18" applyFont="1" applyFill="1" applyBorder="1" applyAlignment="1">
      <alignment horizontal="center" vertical="center" wrapText="1"/>
    </xf>
    <xf numFmtId="0" fontId="26" fillId="3" borderId="20" xfId="18" applyFont="1" applyFill="1" applyBorder="1" applyAlignment="1">
      <alignment horizontal="center" vertical="center" wrapText="1"/>
    </xf>
    <xf numFmtId="0" fontId="26" fillId="3" borderId="27" xfId="18" applyFont="1" applyFill="1" applyBorder="1" applyAlignment="1">
      <alignment horizontal="center" vertical="center" wrapText="1"/>
    </xf>
    <xf numFmtId="0" fontId="26" fillId="3" borderId="7" xfId="18" applyFont="1" applyFill="1" applyBorder="1" applyAlignment="1">
      <alignment horizontal="center" vertical="center" wrapText="1"/>
    </xf>
    <xf numFmtId="0" fontId="26" fillId="3" borderId="25" xfId="18" applyFont="1" applyFill="1" applyBorder="1" applyAlignment="1">
      <alignment horizontal="center" vertical="center" wrapText="1"/>
    </xf>
    <xf numFmtId="0" fontId="26" fillId="3" borderId="12" xfId="18" applyFont="1" applyFill="1" applyBorder="1" applyAlignment="1">
      <alignment horizontal="center" vertical="center" wrapText="1"/>
    </xf>
    <xf numFmtId="0" fontId="26" fillId="0" borderId="22" xfId="18" applyFont="1" applyBorder="1" applyAlignment="1">
      <alignment horizontal="center" vertical="center"/>
    </xf>
    <xf numFmtId="0" fontId="26" fillId="0" borderId="23" xfId="18" applyFont="1" applyBorder="1" applyAlignment="1">
      <alignment horizontal="center" vertical="center"/>
    </xf>
    <xf numFmtId="0" fontId="26" fillId="0" borderId="10" xfId="18" applyFont="1" applyBorder="1" applyAlignment="1">
      <alignment horizontal="center" vertical="center"/>
    </xf>
    <xf numFmtId="0" fontId="26" fillId="0" borderId="11" xfId="18" applyFont="1" applyBorder="1" applyAlignment="1">
      <alignment horizontal="center" vertical="center"/>
    </xf>
    <xf numFmtId="0" fontId="26" fillId="0" borderId="8" xfId="18" applyFont="1" applyBorder="1" applyAlignment="1">
      <alignment horizontal="center" vertical="center"/>
    </xf>
    <xf numFmtId="0" fontId="26" fillId="0" borderId="9" xfId="18" applyFont="1" applyBorder="1" applyAlignment="1">
      <alignment horizontal="center" vertical="center"/>
    </xf>
    <xf numFmtId="0" fontId="26" fillId="0" borderId="14" xfId="18" applyFont="1" applyBorder="1" applyAlignment="1">
      <alignment horizontal="center" vertical="center"/>
    </xf>
    <xf numFmtId="0" fontId="26" fillId="0" borderId="15" xfId="18" applyFont="1" applyBorder="1" applyAlignment="1">
      <alignment horizontal="center" vertical="center"/>
    </xf>
    <xf numFmtId="0" fontId="26" fillId="0" borderId="16" xfId="18" applyFont="1" applyBorder="1" applyAlignment="1">
      <alignment horizontal="center" vertical="center"/>
    </xf>
    <xf numFmtId="166" fontId="26" fillId="0" borderId="14" xfId="1" applyNumberFormat="1" applyFont="1" applyFill="1" applyBorder="1" applyAlignment="1">
      <alignment horizontal="center" vertical="center"/>
    </xf>
    <xf numFmtId="166" fontId="26" fillId="0" borderId="15" xfId="1" applyNumberFormat="1" applyFont="1" applyFill="1" applyBorder="1" applyAlignment="1">
      <alignment horizontal="center" vertical="center"/>
    </xf>
    <xf numFmtId="166" fontId="26" fillId="0" borderId="16" xfId="1" applyNumberFormat="1" applyFont="1" applyFill="1" applyBorder="1" applyAlignment="1">
      <alignment horizontal="center" vertical="center"/>
    </xf>
    <xf numFmtId="0" fontId="26" fillId="0" borderId="17" xfId="18" applyFont="1" applyBorder="1" applyAlignment="1">
      <alignment horizontal="center" vertical="center"/>
    </xf>
    <xf numFmtId="0" fontId="26" fillId="3" borderId="19" xfId="18" applyFont="1" applyFill="1" applyBorder="1" applyAlignment="1">
      <alignment horizontal="center" vertical="center" wrapText="1"/>
    </xf>
    <xf numFmtId="0" fontId="26" fillId="3" borderId="29" xfId="18" applyFont="1" applyFill="1" applyBorder="1" applyAlignment="1">
      <alignment horizontal="center" vertical="center" wrapText="1"/>
    </xf>
    <xf numFmtId="0" fontId="26" fillId="3" borderId="28" xfId="18" applyFont="1" applyFill="1" applyBorder="1" applyAlignment="1">
      <alignment horizontal="center" vertical="center" wrapText="1"/>
    </xf>
    <xf numFmtId="0" fontId="26" fillId="3" borderId="31" xfId="18" applyFont="1" applyFill="1" applyBorder="1" applyAlignment="1">
      <alignment horizontal="justify" vertical="center" wrapText="1"/>
    </xf>
    <xf numFmtId="0" fontId="26" fillId="3" borderId="27" xfId="18" applyFont="1" applyFill="1" applyBorder="1" applyAlignment="1">
      <alignment horizontal="justify" vertical="center" wrapText="1"/>
    </xf>
    <xf numFmtId="0" fontId="26" fillId="3" borderId="25" xfId="18" applyFont="1" applyFill="1" applyBorder="1" applyAlignment="1">
      <alignment horizontal="justify" vertical="center" wrapText="1"/>
    </xf>
    <xf numFmtId="168" fontId="26" fillId="3" borderId="19" xfId="18" applyNumberFormat="1" applyFont="1" applyFill="1" applyBorder="1" applyAlignment="1">
      <alignment horizontal="center" vertical="center" wrapText="1"/>
    </xf>
    <xf numFmtId="168" fontId="26" fillId="3" borderId="29" xfId="18" applyNumberFormat="1" applyFont="1" applyFill="1" applyBorder="1" applyAlignment="1">
      <alignment horizontal="center" vertical="center" wrapText="1"/>
    </xf>
    <xf numFmtId="168" fontId="26" fillId="3" borderId="28" xfId="18" applyNumberFormat="1" applyFont="1" applyFill="1" applyBorder="1" applyAlignment="1">
      <alignment horizontal="center" vertical="center" wrapText="1"/>
    </xf>
    <xf numFmtId="3" fontId="26" fillId="3" borderId="9" xfId="18" applyNumberFormat="1" applyFont="1" applyFill="1" applyBorder="1" applyAlignment="1">
      <alignment horizontal="center" vertical="center" wrapText="1"/>
    </xf>
    <xf numFmtId="0" fontId="26" fillId="3" borderId="19" xfId="18" applyFont="1" applyFill="1" applyBorder="1" applyAlignment="1">
      <alignment horizontal="center" vertical="center" textRotation="90" wrapText="1"/>
    </xf>
    <xf numFmtId="0" fontId="26" fillId="3" borderId="29" xfId="18" applyFont="1" applyFill="1" applyBorder="1" applyAlignment="1">
      <alignment horizontal="center" vertical="center" textRotation="90" wrapText="1"/>
    </xf>
    <xf numFmtId="0" fontId="26" fillId="3" borderId="28" xfId="18" applyFont="1" applyFill="1" applyBorder="1" applyAlignment="1">
      <alignment horizontal="center" vertical="center" textRotation="90" wrapText="1"/>
    </xf>
    <xf numFmtId="166" fontId="26" fillId="10" borderId="19" xfId="1" applyNumberFormat="1" applyFont="1" applyFill="1" applyBorder="1" applyAlignment="1">
      <alignment horizontal="center" vertical="center" textRotation="90" wrapText="1"/>
    </xf>
    <xf numFmtId="166" fontId="26" fillId="10" borderId="29" xfId="1" applyNumberFormat="1" applyFont="1" applyFill="1" applyBorder="1" applyAlignment="1">
      <alignment horizontal="center" vertical="center" textRotation="90" wrapText="1"/>
    </xf>
    <xf numFmtId="166" fontId="26" fillId="10" borderId="28" xfId="1" applyNumberFormat="1" applyFont="1" applyFill="1" applyBorder="1" applyAlignment="1">
      <alignment horizontal="center" vertical="center" textRotation="90" wrapText="1"/>
    </xf>
    <xf numFmtId="0" fontId="26" fillId="3" borderId="8" xfId="18" applyFont="1" applyFill="1" applyBorder="1" applyAlignment="1">
      <alignment horizontal="center" vertical="center" wrapText="1"/>
    </xf>
    <xf numFmtId="0" fontId="26" fillId="16" borderId="14" xfId="18" applyFont="1" applyFill="1" applyBorder="1" applyAlignment="1">
      <alignment horizontal="center" vertical="center" wrapText="1"/>
    </xf>
    <xf numFmtId="0" fontId="26" fillId="16" borderId="16" xfId="18" applyFont="1" applyFill="1" applyBorder="1" applyAlignment="1">
      <alignment horizontal="center" vertical="center" wrapText="1"/>
    </xf>
    <xf numFmtId="166" fontId="26" fillId="16" borderId="14" xfId="1" applyNumberFormat="1" applyFont="1" applyFill="1" applyBorder="1" applyAlignment="1">
      <alignment horizontal="center" vertical="center"/>
    </xf>
    <xf numFmtId="166" fontId="26" fillId="16" borderId="15" xfId="1" applyNumberFormat="1" applyFont="1" applyFill="1" applyBorder="1" applyAlignment="1">
      <alignment horizontal="center" vertical="center"/>
    </xf>
    <xf numFmtId="166" fontId="26" fillId="16" borderId="8" xfId="1" applyNumberFormat="1" applyFont="1" applyFill="1" applyBorder="1" applyAlignment="1">
      <alignment horizontal="center" vertical="center"/>
    </xf>
    <xf numFmtId="0" fontId="26" fillId="10" borderId="19" xfId="1" applyNumberFormat="1" applyFont="1" applyFill="1" applyBorder="1" applyAlignment="1">
      <alignment horizontal="center" vertical="center" textRotation="90" wrapText="1"/>
    </xf>
    <xf numFmtId="0" fontId="26" fillId="10" borderId="29" xfId="1" applyNumberFormat="1" applyFont="1" applyFill="1" applyBorder="1" applyAlignment="1">
      <alignment horizontal="center" vertical="center" textRotation="90" wrapText="1"/>
    </xf>
    <xf numFmtId="0" fontId="26" fillId="10" borderId="28" xfId="1" applyNumberFormat="1" applyFont="1" applyFill="1" applyBorder="1" applyAlignment="1">
      <alignment horizontal="center" vertical="center" textRotation="90" wrapText="1"/>
    </xf>
    <xf numFmtId="0" fontId="26" fillId="16" borderId="19" xfId="1" applyNumberFormat="1" applyFont="1" applyFill="1" applyBorder="1" applyAlignment="1">
      <alignment horizontal="center" vertical="center" textRotation="90"/>
    </xf>
    <xf numFmtId="0" fontId="26" fillId="16" borderId="29" xfId="1" applyNumberFormat="1" applyFont="1" applyFill="1" applyBorder="1" applyAlignment="1">
      <alignment horizontal="center" vertical="center" textRotation="90"/>
    </xf>
    <xf numFmtId="0" fontId="26" fillId="16" borderId="28" xfId="1" applyNumberFormat="1" applyFont="1" applyFill="1" applyBorder="1" applyAlignment="1">
      <alignment horizontal="center" vertical="center" textRotation="90"/>
    </xf>
    <xf numFmtId="0" fontId="27" fillId="0" borderId="22" xfId="18" applyFont="1" applyFill="1" applyBorder="1" applyAlignment="1">
      <alignment horizontal="center"/>
    </xf>
    <xf numFmtId="0" fontId="27" fillId="0" borderId="23" xfId="18" applyFont="1" applyFill="1" applyBorder="1" applyAlignment="1">
      <alignment horizontal="center"/>
    </xf>
    <xf numFmtId="0" fontId="27" fillId="0" borderId="20" xfId="18" applyFont="1" applyFill="1" applyBorder="1" applyAlignment="1">
      <alignment horizontal="center"/>
    </xf>
    <xf numFmtId="0" fontId="27" fillId="2" borderId="19" xfId="18" applyFont="1" applyFill="1" applyBorder="1" applyAlignment="1">
      <alignment horizontal="center" vertical="center" wrapText="1"/>
    </xf>
    <xf numFmtId="0" fontId="27" fillId="2" borderId="29" xfId="18" applyFont="1" applyFill="1" applyBorder="1" applyAlignment="1">
      <alignment horizontal="center" vertical="center" wrapText="1"/>
    </xf>
    <xf numFmtId="0" fontId="27" fillId="2" borderId="28" xfId="18" applyFont="1" applyFill="1" applyBorder="1" applyAlignment="1">
      <alignment horizontal="center" vertical="center" wrapText="1"/>
    </xf>
    <xf numFmtId="0" fontId="27" fillId="2" borderId="19" xfId="18" applyFont="1" applyFill="1" applyBorder="1" applyAlignment="1">
      <alignment horizontal="justify" vertical="center" wrapText="1"/>
    </xf>
    <xf numFmtId="0" fontId="27" fillId="2" borderId="29" xfId="18" applyFont="1" applyFill="1" applyBorder="1" applyAlignment="1">
      <alignment horizontal="justify" vertical="center" wrapText="1"/>
    </xf>
    <xf numFmtId="0" fontId="27" fillId="2" borderId="28" xfId="18" applyFont="1" applyFill="1" applyBorder="1" applyAlignment="1">
      <alignment horizontal="justify" vertical="center" wrapText="1"/>
    </xf>
    <xf numFmtId="0" fontId="27" fillId="2" borderId="19" xfId="1" applyNumberFormat="1" applyFont="1" applyFill="1" applyBorder="1" applyAlignment="1">
      <alignment horizontal="center" vertical="center" wrapText="1"/>
    </xf>
    <xf numFmtId="0" fontId="27" fillId="2" borderId="29" xfId="1" applyNumberFormat="1" applyFont="1" applyFill="1" applyBorder="1" applyAlignment="1">
      <alignment horizontal="center" vertical="center" wrapText="1"/>
    </xf>
    <xf numFmtId="0" fontId="27" fillId="2" borderId="28" xfId="1" applyNumberFormat="1" applyFont="1" applyFill="1" applyBorder="1" applyAlignment="1">
      <alignment horizontal="center" vertical="center" wrapText="1"/>
    </xf>
    <xf numFmtId="0" fontId="27" fillId="0" borderId="19" xfId="1" applyNumberFormat="1" applyFont="1" applyFill="1" applyBorder="1" applyAlignment="1">
      <alignment horizontal="center" vertical="center" wrapText="1"/>
    </xf>
    <xf numFmtId="0" fontId="27" fillId="0" borderId="29" xfId="1" applyNumberFormat="1" applyFont="1" applyFill="1" applyBorder="1" applyAlignment="1">
      <alignment horizontal="center" vertical="center" wrapText="1"/>
    </xf>
    <xf numFmtId="0" fontId="27" fillId="0" borderId="28" xfId="1" applyNumberFormat="1" applyFont="1" applyFill="1" applyBorder="1" applyAlignment="1">
      <alignment horizontal="center" vertical="center" wrapText="1"/>
    </xf>
    <xf numFmtId="184" fontId="27" fillId="2" borderId="19" xfId="18" applyNumberFormat="1" applyFont="1" applyFill="1" applyBorder="1" applyAlignment="1">
      <alignment horizontal="center" vertical="center" wrapText="1"/>
    </xf>
    <xf numFmtId="184" fontId="27" fillId="2" borderId="29" xfId="18" applyNumberFormat="1" applyFont="1" applyFill="1" applyBorder="1" applyAlignment="1">
      <alignment horizontal="center" vertical="center" wrapText="1"/>
    </xf>
    <xf numFmtId="184" fontId="27" fillId="2" borderId="28" xfId="18" applyNumberFormat="1" applyFont="1" applyFill="1" applyBorder="1" applyAlignment="1">
      <alignment horizontal="center" vertical="center" wrapText="1"/>
    </xf>
    <xf numFmtId="0" fontId="27" fillId="2" borderId="19" xfId="18" applyFont="1" applyFill="1" applyBorder="1" applyAlignment="1">
      <alignment horizontal="left" vertical="center" wrapText="1"/>
    </xf>
    <xf numFmtId="0" fontId="27" fillId="2" borderId="29" xfId="18" applyFont="1" applyFill="1" applyBorder="1" applyAlignment="1">
      <alignment horizontal="left" vertical="center" wrapText="1"/>
    </xf>
    <xf numFmtId="0" fontId="27" fillId="2" borderId="28" xfId="18" applyFont="1" applyFill="1" applyBorder="1" applyAlignment="1">
      <alignment horizontal="left" vertical="center" wrapText="1"/>
    </xf>
    <xf numFmtId="168" fontId="27" fillId="2" borderId="19" xfId="18" applyNumberFormat="1" applyFont="1" applyFill="1" applyBorder="1" applyAlignment="1">
      <alignment horizontal="center" vertical="center" wrapText="1"/>
    </xf>
    <xf numFmtId="168" fontId="27" fillId="2" borderId="29" xfId="18" applyNumberFormat="1" applyFont="1" applyFill="1" applyBorder="1" applyAlignment="1">
      <alignment horizontal="center" vertical="center" wrapText="1"/>
    </xf>
    <xf numFmtId="168" fontId="27" fillId="2" borderId="28" xfId="18" applyNumberFormat="1" applyFont="1" applyFill="1" applyBorder="1" applyAlignment="1">
      <alignment horizontal="center" vertical="center" wrapText="1"/>
    </xf>
    <xf numFmtId="3" fontId="27" fillId="2" borderId="21" xfId="18" applyNumberFormat="1" applyFont="1" applyFill="1" applyBorder="1" applyAlignment="1">
      <alignment horizontal="center" vertical="center" wrapText="1"/>
    </xf>
    <xf numFmtId="3" fontId="27" fillId="2" borderId="37" xfId="18" applyNumberFormat="1" applyFont="1" applyFill="1" applyBorder="1" applyAlignment="1">
      <alignment horizontal="center" vertical="center" wrapText="1"/>
    </xf>
    <xf numFmtId="3" fontId="27" fillId="2" borderId="30" xfId="18" applyNumberFormat="1" applyFont="1" applyFill="1" applyBorder="1" applyAlignment="1">
      <alignment horizontal="center" vertical="center" wrapText="1"/>
    </xf>
    <xf numFmtId="0" fontId="27" fillId="2" borderId="8" xfId="18" applyFont="1" applyFill="1" applyBorder="1" applyAlignment="1">
      <alignment horizontal="center" vertical="center" wrapText="1"/>
    </xf>
    <xf numFmtId="166" fontId="27" fillId="0" borderId="19" xfId="1" applyNumberFormat="1" applyFont="1" applyFill="1" applyBorder="1" applyAlignment="1">
      <alignment horizontal="center" vertical="center" wrapText="1"/>
    </xf>
    <xf numFmtId="166" fontId="27" fillId="0" borderId="29" xfId="1" applyNumberFormat="1" applyFont="1" applyFill="1" applyBorder="1" applyAlignment="1">
      <alignment horizontal="center" vertical="center" wrapText="1"/>
    </xf>
    <xf numFmtId="166" fontId="27" fillId="0" borderId="28" xfId="1" applyNumberFormat="1" applyFont="1" applyFill="1" applyBorder="1" applyAlignment="1">
      <alignment horizontal="center" vertical="center" wrapText="1"/>
    </xf>
    <xf numFmtId="1" fontId="27" fillId="2" borderId="19" xfId="18" applyNumberFormat="1" applyFont="1" applyFill="1" applyBorder="1" applyAlignment="1">
      <alignment horizontal="center" vertical="center" wrapText="1"/>
    </xf>
    <xf numFmtId="1" fontId="27" fillId="2" borderId="29" xfId="18" applyNumberFormat="1" applyFont="1" applyFill="1" applyBorder="1" applyAlignment="1">
      <alignment horizontal="center" vertical="center" wrapText="1"/>
    </xf>
    <xf numFmtId="1" fontId="27" fillId="2" borderId="28" xfId="18" applyNumberFormat="1" applyFont="1" applyFill="1" applyBorder="1" applyAlignment="1">
      <alignment horizontal="center" vertical="center" wrapText="1"/>
    </xf>
    <xf numFmtId="0" fontId="27" fillId="0" borderId="8" xfId="1" applyNumberFormat="1" applyFont="1" applyFill="1" applyBorder="1" applyAlignment="1">
      <alignment horizontal="center" vertical="center"/>
    </xf>
    <xf numFmtId="42" fontId="27" fillId="2" borderId="19" xfId="17" applyFont="1" applyFill="1" applyBorder="1" applyAlignment="1">
      <alignment horizontal="center" vertical="center" wrapText="1"/>
    </xf>
    <xf numFmtId="42" fontId="27" fillId="2" borderId="29" xfId="17" applyFont="1" applyFill="1" applyBorder="1" applyAlignment="1">
      <alignment horizontal="center" vertical="center" wrapText="1"/>
    </xf>
    <xf numFmtId="42" fontId="27" fillId="2" borderId="28" xfId="17" applyFont="1" applyFill="1" applyBorder="1" applyAlignment="1">
      <alignment horizontal="center" vertical="center" wrapText="1"/>
    </xf>
    <xf numFmtId="0" fontId="27" fillId="0" borderId="19" xfId="1" applyNumberFormat="1" applyFont="1" applyFill="1" applyBorder="1" applyAlignment="1">
      <alignment horizontal="center" vertical="center"/>
    </xf>
    <xf numFmtId="0" fontId="27" fillId="0" borderId="29" xfId="1" applyNumberFormat="1" applyFont="1" applyFill="1" applyBorder="1" applyAlignment="1">
      <alignment horizontal="center" vertical="center"/>
    </xf>
    <xf numFmtId="0" fontId="27" fillId="0" borderId="28" xfId="1" applyNumberFormat="1" applyFont="1" applyFill="1" applyBorder="1" applyAlignment="1">
      <alignment horizontal="center" vertical="center"/>
    </xf>
    <xf numFmtId="0" fontId="27" fillId="0" borderId="31" xfId="1" applyNumberFormat="1" applyFont="1" applyFill="1" applyBorder="1" applyAlignment="1">
      <alignment horizontal="center" vertical="center"/>
    </xf>
    <xf numFmtId="0" fontId="27" fillId="0" borderId="27" xfId="1" applyNumberFormat="1" applyFont="1" applyFill="1" applyBorder="1" applyAlignment="1">
      <alignment horizontal="center" vertical="center"/>
    </xf>
    <xf numFmtId="0" fontId="27" fillId="0" borderId="25" xfId="1" applyNumberFormat="1" applyFont="1" applyFill="1" applyBorder="1" applyAlignment="1">
      <alignment horizontal="center" vertical="center"/>
    </xf>
    <xf numFmtId="0" fontId="17" fillId="0" borderId="19" xfId="1" applyNumberFormat="1" applyFont="1" applyFill="1" applyBorder="1" applyAlignment="1">
      <alignment horizontal="center" vertical="center" wrapText="1"/>
    </xf>
    <xf numFmtId="0" fontId="17" fillId="0" borderId="29" xfId="1" applyNumberFormat="1" applyFont="1" applyFill="1" applyBorder="1" applyAlignment="1">
      <alignment horizontal="center" vertical="center" wrapText="1"/>
    </xf>
    <xf numFmtId="0" fontId="17" fillId="0" borderId="28" xfId="1" applyNumberFormat="1" applyFont="1" applyFill="1" applyBorder="1" applyAlignment="1">
      <alignment horizontal="center" vertical="center" wrapText="1"/>
    </xf>
    <xf numFmtId="0" fontId="33" fillId="2" borderId="19" xfId="18" applyFont="1" applyFill="1" applyBorder="1" applyAlignment="1">
      <alignment horizontal="center" vertical="center" wrapText="1"/>
    </xf>
    <xf numFmtId="0" fontId="33" fillId="2" borderId="29" xfId="18" applyFont="1" applyFill="1" applyBorder="1" applyAlignment="1">
      <alignment horizontal="center" vertical="center" wrapText="1"/>
    </xf>
    <xf numFmtId="0" fontId="33" fillId="2" borderId="28" xfId="18" applyFont="1" applyFill="1" applyBorder="1" applyAlignment="1">
      <alignment horizontal="center" vertical="center" wrapText="1"/>
    </xf>
    <xf numFmtId="37" fontId="17" fillId="0" borderId="19" xfId="1" applyNumberFormat="1" applyFont="1" applyFill="1" applyBorder="1" applyAlignment="1">
      <alignment horizontal="center" vertical="center" wrapText="1"/>
    </xf>
    <xf numFmtId="37" fontId="17" fillId="0" borderId="29" xfId="1" applyNumberFormat="1" applyFont="1" applyFill="1" applyBorder="1" applyAlignment="1">
      <alignment horizontal="center" vertical="center" wrapText="1"/>
    </xf>
    <xf numFmtId="37" fontId="17" fillId="0" borderId="28" xfId="1" applyNumberFormat="1" applyFont="1" applyFill="1" applyBorder="1" applyAlignment="1">
      <alignment horizontal="center" vertical="center" wrapText="1"/>
    </xf>
    <xf numFmtId="0" fontId="17" fillId="2" borderId="19" xfId="18" applyFont="1" applyFill="1" applyBorder="1" applyAlignment="1">
      <alignment horizontal="center" vertical="center" wrapText="1"/>
    </xf>
    <xf numFmtId="0" fontId="17" fillId="2" borderId="29" xfId="18" applyFont="1" applyFill="1" applyBorder="1" applyAlignment="1">
      <alignment horizontal="center" vertical="center" wrapText="1"/>
    </xf>
    <xf numFmtId="0" fontId="17" fillId="2" borderId="28" xfId="18" applyFont="1" applyFill="1" applyBorder="1" applyAlignment="1">
      <alignment horizontal="center" vertical="center" wrapText="1"/>
    </xf>
    <xf numFmtId="0" fontId="17" fillId="2" borderId="19" xfId="18" applyFont="1" applyFill="1" applyBorder="1" applyAlignment="1">
      <alignment horizontal="justify" vertical="center" wrapText="1"/>
    </xf>
    <xf numFmtId="0" fontId="17" fillId="2" borderId="29" xfId="18" applyFont="1" applyFill="1" applyBorder="1" applyAlignment="1">
      <alignment horizontal="justify" vertical="center" wrapText="1"/>
    </xf>
    <xf numFmtId="0" fontId="17" fillId="2" borderId="28" xfId="18" applyFont="1" applyFill="1" applyBorder="1" applyAlignment="1">
      <alignment horizontal="justify" vertical="center" wrapText="1"/>
    </xf>
    <xf numFmtId="37" fontId="27" fillId="0" borderId="19" xfId="1" applyNumberFormat="1" applyFont="1" applyFill="1" applyBorder="1" applyAlignment="1">
      <alignment horizontal="center" vertical="center" wrapText="1"/>
    </xf>
    <xf numFmtId="37" fontId="27" fillId="0" borderId="29" xfId="1" applyNumberFormat="1" applyFont="1" applyFill="1" applyBorder="1" applyAlignment="1">
      <alignment horizontal="center" vertical="center" wrapText="1"/>
    </xf>
    <xf numFmtId="37" fontId="27" fillId="0" borderId="28" xfId="1" applyNumberFormat="1" applyFont="1" applyFill="1" applyBorder="1" applyAlignment="1">
      <alignment horizontal="center" vertical="center" wrapText="1"/>
    </xf>
    <xf numFmtId="42" fontId="17" fillId="2" borderId="19" xfId="17" applyFont="1" applyFill="1" applyBorder="1" applyAlignment="1">
      <alignment horizontal="center" vertical="center" wrapText="1"/>
    </xf>
    <xf numFmtId="42" fontId="17" fillId="2" borderId="29" xfId="17" applyFont="1" applyFill="1" applyBorder="1" applyAlignment="1">
      <alignment horizontal="center" vertical="center" wrapText="1"/>
    </xf>
    <xf numFmtId="42" fontId="17" fillId="2" borderId="28" xfId="17" applyFont="1" applyFill="1" applyBorder="1" applyAlignment="1">
      <alignment horizontal="center" vertical="center" wrapText="1"/>
    </xf>
    <xf numFmtId="1" fontId="17" fillId="2" borderId="19" xfId="18" applyNumberFormat="1" applyFont="1" applyFill="1" applyBorder="1" applyAlignment="1">
      <alignment horizontal="center" vertical="center" wrapText="1"/>
    </xf>
    <xf numFmtId="1" fontId="17" fillId="2" borderId="29" xfId="18" applyNumberFormat="1" applyFont="1" applyFill="1" applyBorder="1" applyAlignment="1">
      <alignment horizontal="center" vertical="center" wrapText="1"/>
    </xf>
    <xf numFmtId="1" fontId="17" fillId="2" borderId="28" xfId="18" applyNumberFormat="1" applyFont="1" applyFill="1" applyBorder="1" applyAlignment="1">
      <alignment horizontal="center" vertical="center" wrapText="1"/>
    </xf>
    <xf numFmtId="168" fontId="17" fillId="2" borderId="19" xfId="18" applyNumberFormat="1" applyFont="1" applyFill="1" applyBorder="1" applyAlignment="1">
      <alignment horizontal="center" vertical="center" wrapText="1"/>
    </xf>
    <xf numFmtId="168" fontId="17" fillId="2" borderId="29" xfId="18" applyNumberFormat="1" applyFont="1" applyFill="1" applyBorder="1" applyAlignment="1">
      <alignment horizontal="center" vertical="center" wrapText="1"/>
    </xf>
    <xf numFmtId="168" fontId="17" fillId="2" borderId="28" xfId="18" applyNumberFormat="1" applyFont="1" applyFill="1" applyBorder="1" applyAlignment="1">
      <alignment horizontal="center" vertical="center" wrapText="1"/>
    </xf>
    <xf numFmtId="3" fontId="17" fillId="2" borderId="21" xfId="18" applyNumberFormat="1" applyFont="1" applyFill="1" applyBorder="1" applyAlignment="1">
      <alignment horizontal="center" vertical="center" wrapText="1"/>
    </xf>
    <xf numFmtId="3" fontId="17" fillId="2" borderId="37" xfId="18" applyNumberFormat="1" applyFont="1" applyFill="1" applyBorder="1" applyAlignment="1">
      <alignment horizontal="center" vertical="center" wrapText="1"/>
    </xf>
    <xf numFmtId="3" fontId="17" fillId="2" borderId="30" xfId="18" applyNumberFormat="1" applyFont="1" applyFill="1" applyBorder="1" applyAlignment="1">
      <alignment horizontal="center" vertical="center" wrapText="1"/>
    </xf>
    <xf numFmtId="0" fontId="27" fillId="2" borderId="8" xfId="18" applyFont="1" applyFill="1" applyBorder="1" applyAlignment="1">
      <alignment horizontal="left" vertical="center" wrapText="1"/>
    </xf>
    <xf numFmtId="0" fontId="27" fillId="0" borderId="19" xfId="18" applyFont="1" applyFill="1" applyBorder="1" applyAlignment="1">
      <alignment horizontal="center" vertical="center" wrapText="1"/>
    </xf>
    <xf numFmtId="0" fontId="27" fillId="0" borderId="29" xfId="18" applyFont="1" applyFill="1" applyBorder="1" applyAlignment="1">
      <alignment horizontal="center" vertical="center" wrapText="1"/>
    </xf>
    <xf numFmtId="0" fontId="27" fillId="0" borderId="28" xfId="18" applyFont="1" applyFill="1" applyBorder="1" applyAlignment="1">
      <alignment horizontal="center" vertical="center" wrapText="1"/>
    </xf>
    <xf numFmtId="0" fontId="27" fillId="0" borderId="19" xfId="18" applyFont="1" applyFill="1" applyBorder="1" applyAlignment="1">
      <alignment horizontal="justify" vertical="center" wrapText="1"/>
    </xf>
    <xf numFmtId="0" fontId="27" fillId="0" borderId="29" xfId="18" applyFont="1" applyFill="1" applyBorder="1" applyAlignment="1">
      <alignment horizontal="justify" vertical="center" wrapText="1"/>
    </xf>
    <xf numFmtId="0" fontId="27" fillId="0" borderId="28" xfId="18" applyFont="1" applyFill="1" applyBorder="1" applyAlignment="1">
      <alignment horizontal="justify" vertical="center" wrapText="1"/>
    </xf>
    <xf numFmtId="0" fontId="27" fillId="0" borderId="19" xfId="18" applyFont="1" applyFill="1" applyBorder="1" applyAlignment="1">
      <alignment horizontal="left" vertical="center" wrapText="1"/>
    </xf>
    <xf numFmtId="0" fontId="27" fillId="0" borderId="29" xfId="18" applyFont="1" applyFill="1" applyBorder="1" applyAlignment="1">
      <alignment horizontal="left" vertical="center" wrapText="1"/>
    </xf>
    <xf numFmtId="0" fontId="27" fillId="0" borderId="28" xfId="18" applyFont="1" applyFill="1" applyBorder="1" applyAlignment="1">
      <alignment horizontal="left" vertical="center" wrapText="1"/>
    </xf>
    <xf numFmtId="168" fontId="27" fillId="0" borderId="19" xfId="18" applyNumberFormat="1" applyFont="1" applyFill="1" applyBorder="1" applyAlignment="1">
      <alignment horizontal="center" vertical="center" wrapText="1"/>
    </xf>
    <xf numFmtId="168" fontId="27" fillId="0" borderId="29" xfId="18" applyNumberFormat="1" applyFont="1" applyFill="1" applyBorder="1" applyAlignment="1">
      <alignment horizontal="center" vertical="center" wrapText="1"/>
    </xf>
    <xf numFmtId="3" fontId="27" fillId="0" borderId="21" xfId="18" applyNumberFormat="1" applyFont="1" applyFill="1" applyBorder="1" applyAlignment="1">
      <alignment horizontal="center" vertical="center" wrapText="1"/>
    </xf>
    <xf numFmtId="3" fontId="27" fillId="0" borderId="37" xfId="18" applyNumberFormat="1" applyFont="1" applyFill="1" applyBorder="1" applyAlignment="1">
      <alignment horizontal="center" vertical="center" wrapText="1"/>
    </xf>
    <xf numFmtId="3" fontId="27" fillId="0" borderId="30" xfId="18" applyNumberFormat="1" applyFont="1" applyFill="1" applyBorder="1" applyAlignment="1">
      <alignment horizontal="center" vertical="center" wrapText="1"/>
    </xf>
    <xf numFmtId="9" fontId="27" fillId="0" borderId="29" xfId="2" applyFont="1" applyFill="1" applyBorder="1" applyAlignment="1">
      <alignment horizontal="center" vertical="center" wrapText="1"/>
    </xf>
    <xf numFmtId="42" fontId="27" fillId="0" borderId="19" xfId="17" applyFont="1" applyFill="1" applyBorder="1" applyAlignment="1">
      <alignment horizontal="center" vertical="center" wrapText="1"/>
    </xf>
    <xf numFmtId="42" fontId="27" fillId="0" borderId="29" xfId="17" applyFont="1" applyFill="1" applyBorder="1" applyAlignment="1">
      <alignment horizontal="center" vertical="center" wrapText="1"/>
    </xf>
    <xf numFmtId="42" fontId="27" fillId="0" borderId="28" xfId="17" applyFont="1" applyFill="1" applyBorder="1" applyAlignment="1">
      <alignment horizontal="center" vertical="center" wrapText="1"/>
    </xf>
    <xf numFmtId="0" fontId="27" fillId="0" borderId="8" xfId="18" applyFont="1" applyFill="1" applyBorder="1" applyAlignment="1">
      <alignment horizontal="center" vertical="center" wrapText="1"/>
    </xf>
    <xf numFmtId="166" fontId="27" fillId="0" borderId="19" xfId="1" applyNumberFormat="1" applyFont="1" applyFill="1" applyBorder="1" applyAlignment="1">
      <alignment vertical="center" wrapText="1"/>
    </xf>
    <xf numFmtId="166" fontId="27" fillId="0" borderId="29" xfId="1" applyNumberFormat="1" applyFont="1" applyFill="1" applyBorder="1" applyAlignment="1">
      <alignment vertical="center" wrapText="1"/>
    </xf>
    <xf numFmtId="166" fontId="27" fillId="0" borderId="28" xfId="1" applyNumberFormat="1" applyFont="1" applyFill="1" applyBorder="1" applyAlignment="1">
      <alignment vertical="center" wrapText="1"/>
    </xf>
    <xf numFmtId="168" fontId="27" fillId="0" borderId="8" xfId="18" applyNumberFormat="1" applyFont="1" applyFill="1" applyBorder="1" applyAlignment="1">
      <alignment horizontal="center" vertical="center" wrapText="1"/>
    </xf>
    <xf numFmtId="171" fontId="27" fillId="2" borderId="19" xfId="18" applyNumberFormat="1" applyFont="1" applyFill="1" applyBorder="1" applyAlignment="1">
      <alignment horizontal="center" vertical="center" wrapText="1"/>
    </xf>
    <xf numFmtId="171" fontId="27" fillId="2" borderId="29" xfId="18" applyNumberFormat="1" applyFont="1" applyFill="1" applyBorder="1" applyAlignment="1">
      <alignment horizontal="center" vertical="center" wrapText="1"/>
    </xf>
    <xf numFmtId="171" fontId="27" fillId="2" borderId="28" xfId="18" applyNumberFormat="1" applyFont="1" applyFill="1" applyBorder="1" applyAlignment="1">
      <alignment horizontal="center" vertical="center" wrapText="1"/>
    </xf>
    <xf numFmtId="1" fontId="27" fillId="2" borderId="21" xfId="18" applyNumberFormat="1" applyFont="1" applyFill="1" applyBorder="1" applyAlignment="1">
      <alignment horizontal="center" vertical="center" wrapText="1"/>
    </xf>
    <xf numFmtId="1" fontId="27" fillId="2" borderId="37" xfId="18" applyNumberFormat="1" applyFont="1" applyFill="1" applyBorder="1" applyAlignment="1">
      <alignment horizontal="center" vertical="center" wrapText="1"/>
    </xf>
    <xf numFmtId="1" fontId="27" fillId="2" borderId="30" xfId="18" applyNumberFormat="1" applyFont="1" applyFill="1" applyBorder="1" applyAlignment="1">
      <alignment horizontal="center" vertical="center" wrapText="1"/>
    </xf>
    <xf numFmtId="168" fontId="27" fillId="2" borderId="8" xfId="18" applyNumberFormat="1" applyFont="1" applyFill="1" applyBorder="1" applyAlignment="1">
      <alignment horizontal="center" vertical="center" wrapText="1"/>
    </xf>
    <xf numFmtId="49" fontId="27" fillId="0" borderId="19" xfId="19" applyNumberFormat="1" applyFont="1" applyFill="1" applyBorder="1" applyAlignment="1">
      <alignment horizontal="justify" vertical="center" wrapText="1"/>
    </xf>
    <xf numFmtId="49" fontId="27" fillId="0" borderId="28" xfId="19" applyNumberFormat="1" applyFont="1" applyFill="1" applyBorder="1" applyAlignment="1">
      <alignment horizontal="justify" vertical="center" wrapText="1"/>
    </xf>
    <xf numFmtId="37" fontId="27" fillId="2" borderId="19" xfId="17" applyNumberFormat="1" applyFont="1" applyFill="1" applyBorder="1" applyAlignment="1">
      <alignment horizontal="center" vertical="center" wrapText="1"/>
    </xf>
    <xf numFmtId="37" fontId="27" fillId="2" borderId="29" xfId="17" applyNumberFormat="1" applyFont="1" applyFill="1" applyBorder="1" applyAlignment="1">
      <alignment horizontal="center" vertical="center" wrapText="1"/>
    </xf>
    <xf numFmtId="0" fontId="26" fillId="0" borderId="31" xfId="18" applyFont="1" applyFill="1" applyBorder="1" applyAlignment="1">
      <alignment horizontal="center" vertical="center" wrapText="1"/>
    </xf>
    <xf numFmtId="0" fontId="26" fillId="0" borderId="23" xfId="18" applyFont="1" applyFill="1" applyBorder="1" applyAlignment="1">
      <alignment horizontal="center" vertical="center" wrapText="1"/>
    </xf>
    <xf numFmtId="0" fontId="26" fillId="0" borderId="27" xfId="18" applyFont="1" applyFill="1" applyBorder="1" applyAlignment="1">
      <alignment horizontal="center" vertical="center" wrapText="1"/>
    </xf>
    <xf numFmtId="0" fontId="26" fillId="0" borderId="0" xfId="18" applyFont="1" applyFill="1" applyBorder="1" applyAlignment="1">
      <alignment horizontal="center" vertical="center" wrapText="1"/>
    </xf>
    <xf numFmtId="0" fontId="26" fillId="0" borderId="25" xfId="18" applyFont="1" applyFill="1" applyBorder="1" applyAlignment="1">
      <alignment horizontal="center" vertical="center" wrapText="1"/>
    </xf>
    <xf numFmtId="0" fontId="26" fillId="0" borderId="11" xfId="18" applyFont="1" applyFill="1" applyBorder="1" applyAlignment="1">
      <alignment horizontal="center" vertical="center" wrapText="1"/>
    </xf>
    <xf numFmtId="0" fontId="27" fillId="2" borderId="23" xfId="18" applyFont="1" applyFill="1" applyBorder="1" applyAlignment="1">
      <alignment horizontal="center" vertical="center" wrapText="1"/>
    </xf>
    <xf numFmtId="0" fontId="27" fillId="2" borderId="11" xfId="18" applyFont="1" applyFill="1" applyBorder="1" applyAlignment="1">
      <alignment horizontal="center" vertical="center" wrapText="1"/>
    </xf>
    <xf numFmtId="0" fontId="27" fillId="2" borderId="8" xfId="1" applyNumberFormat="1" applyFont="1" applyFill="1" applyBorder="1" applyAlignment="1">
      <alignment horizontal="center" vertical="center" wrapText="1"/>
    </xf>
    <xf numFmtId="0" fontId="27" fillId="2" borderId="20" xfId="18" applyFont="1" applyFill="1" applyBorder="1" applyAlignment="1">
      <alignment horizontal="left" vertical="center" wrapText="1"/>
    </xf>
    <xf numFmtId="0" fontId="27" fillId="2" borderId="12" xfId="18" applyFont="1" applyFill="1" applyBorder="1" applyAlignment="1">
      <alignment horizontal="left" vertical="center" wrapText="1"/>
    </xf>
    <xf numFmtId="1" fontId="27" fillId="2" borderId="8" xfId="18" quotePrefix="1" applyNumberFormat="1" applyFont="1" applyFill="1" applyBorder="1" applyAlignment="1">
      <alignment horizontal="center" vertical="center" wrapText="1"/>
    </xf>
    <xf numFmtId="10" fontId="27" fillId="2" borderId="8" xfId="2" applyNumberFormat="1" applyFont="1" applyFill="1" applyBorder="1" applyAlignment="1">
      <alignment horizontal="center" vertical="center" wrapText="1"/>
    </xf>
    <xf numFmtId="42" fontId="27" fillId="2" borderId="8" xfId="17" applyNumberFormat="1" applyFont="1" applyFill="1" applyBorder="1" applyAlignment="1">
      <alignment horizontal="center" vertical="center" wrapText="1"/>
    </xf>
    <xf numFmtId="0" fontId="27" fillId="2" borderId="31" xfId="18" applyFont="1" applyFill="1" applyBorder="1" applyAlignment="1">
      <alignment horizontal="justify" vertical="center" wrapText="1"/>
    </xf>
    <xf numFmtId="0" fontId="27" fillId="2" borderId="27" xfId="18" applyFont="1" applyFill="1" applyBorder="1" applyAlignment="1">
      <alignment horizontal="justify" vertical="center" wrapText="1"/>
    </xf>
    <xf numFmtId="0" fontId="27" fillId="2" borderId="25" xfId="18" applyFont="1" applyFill="1" applyBorder="1" applyAlignment="1">
      <alignment horizontal="justify" vertical="center" wrapText="1"/>
    </xf>
    <xf numFmtId="0" fontId="27" fillId="0" borderId="8" xfId="1" applyNumberFormat="1" applyFont="1" applyFill="1" applyBorder="1" applyAlignment="1">
      <alignment horizontal="center" vertical="center" wrapText="1"/>
    </xf>
    <xf numFmtId="0" fontId="27" fillId="2" borderId="19" xfId="18" applyFont="1" applyFill="1" applyBorder="1" applyAlignment="1">
      <alignment horizontal="center" vertical="center"/>
    </xf>
    <xf numFmtId="0" fontId="27" fillId="2" borderId="29" xfId="18" applyFont="1" applyFill="1" applyBorder="1" applyAlignment="1">
      <alignment horizontal="center" vertical="center"/>
    </xf>
    <xf numFmtId="42" fontId="27" fillId="2" borderId="19" xfId="17" applyNumberFormat="1" applyFont="1" applyFill="1" applyBorder="1" applyAlignment="1">
      <alignment horizontal="center" vertical="center" wrapText="1"/>
    </xf>
    <xf numFmtId="42" fontId="27" fillId="2" borderId="29" xfId="17" applyNumberFormat="1" applyFont="1" applyFill="1" applyBorder="1" applyAlignment="1">
      <alignment horizontal="center" vertical="center" wrapText="1"/>
    </xf>
    <xf numFmtId="166" fontId="26" fillId="17" borderId="15" xfId="1" applyNumberFormat="1" applyFont="1" applyFill="1" applyBorder="1" applyAlignment="1">
      <alignment horizontal="center" vertical="center" textRotation="180" wrapText="1"/>
    </xf>
    <xf numFmtId="166" fontId="26" fillId="17" borderId="14" xfId="1" applyNumberFormat="1" applyFont="1" applyFill="1" applyBorder="1" applyAlignment="1">
      <alignment horizontal="center" vertical="center" textRotation="180" wrapText="1"/>
    </xf>
    <xf numFmtId="1" fontId="27" fillId="0" borderId="19" xfId="1" applyNumberFormat="1" applyFont="1" applyFill="1" applyBorder="1" applyAlignment="1">
      <alignment horizontal="center" vertical="center" wrapText="1"/>
    </xf>
    <xf numFmtId="1" fontId="27" fillId="0" borderId="29" xfId="1" applyNumberFormat="1" applyFont="1" applyFill="1" applyBorder="1" applyAlignment="1">
      <alignment horizontal="center" vertical="center" wrapText="1"/>
    </xf>
    <xf numFmtId="14" fontId="27" fillId="0" borderId="19" xfId="1" applyNumberFormat="1" applyFont="1" applyFill="1" applyBorder="1" applyAlignment="1">
      <alignment horizontal="center" vertical="center" wrapText="1"/>
    </xf>
    <xf numFmtId="0" fontId="27" fillId="0" borderId="21" xfId="1" applyNumberFormat="1" applyFont="1" applyFill="1" applyBorder="1" applyAlignment="1">
      <alignment horizontal="center" vertical="center" wrapText="1"/>
    </xf>
    <xf numFmtId="0" fontId="27" fillId="0" borderId="37" xfId="1" applyNumberFormat="1" applyFont="1" applyFill="1" applyBorder="1" applyAlignment="1">
      <alignment horizontal="center" vertical="center" wrapText="1"/>
    </xf>
    <xf numFmtId="0" fontId="27" fillId="0" borderId="30" xfId="1" applyNumberFormat="1" applyFont="1" applyFill="1" applyBorder="1" applyAlignment="1">
      <alignment horizontal="center" vertical="center" wrapText="1"/>
    </xf>
    <xf numFmtId="1" fontId="27" fillId="2" borderId="19" xfId="18" quotePrefix="1" applyNumberFormat="1" applyFont="1" applyFill="1" applyBorder="1" applyAlignment="1">
      <alignment horizontal="center" vertical="center" wrapText="1"/>
    </xf>
    <xf numFmtId="1" fontId="27" fillId="2" borderId="29" xfId="18" quotePrefix="1" applyNumberFormat="1" applyFont="1" applyFill="1" applyBorder="1" applyAlignment="1">
      <alignment horizontal="center" vertical="center" wrapText="1"/>
    </xf>
    <xf numFmtId="1" fontId="27" fillId="2" borderId="28" xfId="18" quotePrefix="1" applyNumberFormat="1" applyFont="1" applyFill="1" applyBorder="1" applyAlignment="1">
      <alignment horizontal="center" vertical="center" wrapText="1"/>
    </xf>
    <xf numFmtId="1" fontId="27" fillId="2" borderId="19" xfId="18" applyNumberFormat="1" applyFont="1" applyFill="1" applyBorder="1" applyAlignment="1">
      <alignment horizontal="center" vertical="center"/>
    </xf>
    <xf numFmtId="1" fontId="27" fillId="2" borderId="29" xfId="18" applyNumberFormat="1" applyFont="1" applyFill="1" applyBorder="1" applyAlignment="1">
      <alignment horizontal="center" vertical="center"/>
    </xf>
    <xf numFmtId="0" fontId="17" fillId="0" borderId="8" xfId="1" applyNumberFormat="1" applyFont="1" applyFill="1" applyBorder="1" applyAlignment="1">
      <alignment horizontal="center" vertical="center" wrapText="1"/>
    </xf>
    <xf numFmtId="14" fontId="17" fillId="0" borderId="8" xfId="1" applyNumberFormat="1" applyFont="1" applyFill="1" applyBorder="1" applyAlignment="1">
      <alignment horizontal="center" vertical="center" wrapText="1"/>
    </xf>
    <xf numFmtId="0" fontId="26" fillId="0" borderId="32" xfId="18" applyFont="1" applyBorder="1" applyAlignment="1">
      <alignment horizontal="right" vertical="center"/>
    </xf>
    <xf numFmtId="0" fontId="26" fillId="0" borderId="33" xfId="18" applyFont="1" applyBorder="1" applyAlignment="1">
      <alignment horizontal="right" vertical="center"/>
    </xf>
    <xf numFmtId="0" fontId="26" fillId="0" borderId="34" xfId="18" applyFont="1" applyBorder="1" applyAlignment="1">
      <alignment horizontal="right" vertical="center"/>
    </xf>
    <xf numFmtId="0" fontId="27" fillId="0" borderId="8" xfId="18" applyFont="1" applyFill="1" applyBorder="1" applyAlignment="1">
      <alignment horizontal="justify" vertical="center" wrapText="1"/>
    </xf>
    <xf numFmtId="1" fontId="27" fillId="2" borderId="8" xfId="18" applyNumberFormat="1" applyFont="1" applyFill="1" applyBorder="1" applyAlignment="1">
      <alignment horizontal="center" vertical="center" wrapText="1"/>
    </xf>
    <xf numFmtId="0" fontId="27" fillId="2" borderId="0" xfId="18" applyFont="1" applyFill="1" applyBorder="1" applyAlignment="1">
      <alignment horizontal="center" vertical="center" wrapText="1"/>
    </xf>
    <xf numFmtId="42" fontId="27" fillId="0" borderId="8" xfId="17" applyFont="1" applyFill="1" applyBorder="1" applyAlignment="1">
      <alignment horizontal="center" vertical="center" wrapText="1"/>
    </xf>
    <xf numFmtId="0" fontId="26" fillId="2" borderId="0" xfId="0" applyFont="1" applyFill="1" applyAlignment="1">
      <alignment horizontal="center" vertical="center" wrapText="1"/>
    </xf>
    <xf numFmtId="0" fontId="27" fillId="2" borderId="19" xfId="0" applyFont="1" applyFill="1" applyBorder="1" applyAlignment="1">
      <alignment horizontal="justify" vertical="top" wrapText="1"/>
    </xf>
    <xf numFmtId="0" fontId="27" fillId="2" borderId="29" xfId="0" applyFont="1" applyFill="1" applyBorder="1" applyAlignment="1">
      <alignment horizontal="justify" vertical="top" wrapText="1"/>
    </xf>
    <xf numFmtId="3" fontId="27" fillId="2" borderId="37" xfId="0" applyNumberFormat="1" applyFont="1" applyFill="1" applyBorder="1" applyAlignment="1">
      <alignment horizontal="center" vertical="center" wrapText="1"/>
    </xf>
    <xf numFmtId="0" fontId="27" fillId="0" borderId="19" xfId="0" applyFont="1" applyFill="1" applyBorder="1" applyAlignment="1">
      <alignment horizontal="justify" vertical="top" wrapText="1"/>
    </xf>
    <xf numFmtId="0" fontId="27" fillId="0" borderId="29" xfId="0" applyFont="1" applyFill="1" applyBorder="1" applyAlignment="1">
      <alignment horizontal="justify" vertical="top" wrapText="1"/>
    </xf>
    <xf numFmtId="165" fontId="27" fillId="2" borderId="21" xfId="0" applyNumberFormat="1" applyFont="1" applyFill="1" applyBorder="1" applyAlignment="1">
      <alignment horizontal="center" vertical="center" wrapText="1"/>
    </xf>
    <xf numFmtId="165" fontId="27" fillId="2" borderId="37" xfId="0" applyNumberFormat="1" applyFont="1" applyFill="1" applyBorder="1" applyAlignment="1">
      <alignment horizontal="center" vertical="center" wrapText="1"/>
    </xf>
    <xf numFmtId="165" fontId="27" fillId="2" borderId="30" xfId="0" applyNumberFormat="1" applyFont="1" applyFill="1" applyBorder="1" applyAlignment="1">
      <alignment horizontal="center" vertical="center" wrapText="1"/>
    </xf>
    <xf numFmtId="0" fontId="17" fillId="2" borderId="19" xfId="0" applyFont="1" applyFill="1" applyBorder="1" applyAlignment="1">
      <alignment horizontal="justify" vertical="center"/>
    </xf>
    <xf numFmtId="0" fontId="17" fillId="2" borderId="29" xfId="0" applyFont="1" applyFill="1" applyBorder="1" applyAlignment="1">
      <alignment horizontal="justify" vertical="center"/>
    </xf>
    <xf numFmtId="0" fontId="17" fillId="2" borderId="28" xfId="0" applyFont="1" applyFill="1" applyBorder="1" applyAlignment="1">
      <alignment horizontal="justify" vertical="center"/>
    </xf>
    <xf numFmtId="1" fontId="27" fillId="2" borderId="21" xfId="0" applyNumberFormat="1" applyFont="1" applyFill="1" applyBorder="1" applyAlignment="1">
      <alignment horizontal="center" vertical="center" wrapText="1"/>
    </xf>
    <xf numFmtId="1" fontId="27" fillId="2" borderId="37" xfId="0" applyNumberFormat="1" applyFont="1" applyFill="1" applyBorder="1" applyAlignment="1">
      <alignment horizontal="center" vertical="center" wrapText="1"/>
    </xf>
    <xf numFmtId="1" fontId="27" fillId="2" borderId="30" xfId="0" applyNumberFormat="1" applyFont="1" applyFill="1" applyBorder="1" applyAlignment="1">
      <alignment horizontal="center" vertical="center" wrapText="1"/>
    </xf>
    <xf numFmtId="14" fontId="27" fillId="2" borderId="19" xfId="0" applyNumberFormat="1" applyFont="1" applyFill="1" applyBorder="1" applyAlignment="1">
      <alignment horizontal="center" vertical="center" wrapText="1"/>
    </xf>
    <xf numFmtId="14" fontId="27" fillId="2" borderId="29" xfId="0" applyNumberFormat="1" applyFont="1" applyFill="1" applyBorder="1" applyAlignment="1">
      <alignment horizontal="center" vertical="center" wrapText="1"/>
    </xf>
    <xf numFmtId="14" fontId="27" fillId="2" borderId="28" xfId="0" applyNumberFormat="1" applyFont="1" applyFill="1" applyBorder="1" applyAlignment="1">
      <alignment horizontal="center" vertical="center" wrapText="1"/>
    </xf>
    <xf numFmtId="0" fontId="42" fillId="3" borderId="31" xfId="0" applyFont="1" applyFill="1" applyBorder="1" applyAlignment="1">
      <alignment horizontal="center" vertical="center" wrapText="1"/>
    </xf>
    <xf numFmtId="0" fontId="42" fillId="3" borderId="27" xfId="0" applyFont="1" applyFill="1" applyBorder="1" applyAlignment="1">
      <alignment horizontal="center" vertical="center" wrapText="1"/>
    </xf>
    <xf numFmtId="0" fontId="26" fillId="0" borderId="20" xfId="0" applyFont="1" applyBorder="1" applyAlignment="1">
      <alignment horizontal="center" vertical="center"/>
    </xf>
    <xf numFmtId="0" fontId="26" fillId="0" borderId="31"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3"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42" fillId="3" borderId="25" xfId="0" applyFont="1" applyFill="1" applyBorder="1" applyAlignment="1">
      <alignment horizontal="center" vertical="center" wrapText="1"/>
    </xf>
    <xf numFmtId="3" fontId="16" fillId="4" borderId="14" xfId="0" applyNumberFormat="1" applyFont="1" applyFill="1" applyBorder="1" applyAlignment="1">
      <alignment horizontal="center" vertical="center" wrapText="1"/>
    </xf>
    <xf numFmtId="3" fontId="16" fillId="4" borderId="15" xfId="0" applyNumberFormat="1" applyFont="1" applyFill="1" applyBorder="1" applyAlignment="1">
      <alignment horizontal="center" vertical="center" wrapText="1"/>
    </xf>
    <xf numFmtId="0" fontId="16" fillId="4" borderId="31" xfId="0" applyFont="1" applyFill="1" applyBorder="1" applyAlignment="1">
      <alignment horizontal="center" vertical="center" textRotation="90" wrapText="1"/>
    </xf>
    <xf numFmtId="0" fontId="16" fillId="4" borderId="25" xfId="0" applyFont="1" applyFill="1" applyBorder="1" applyAlignment="1">
      <alignment horizontal="center" vertical="center" textRotation="90" wrapText="1"/>
    </xf>
    <xf numFmtId="168" fontId="42" fillId="3" borderId="31" xfId="0" applyNumberFormat="1" applyFont="1" applyFill="1" applyBorder="1" applyAlignment="1">
      <alignment horizontal="center" vertical="center" wrapText="1"/>
    </xf>
    <xf numFmtId="168" fontId="42" fillId="3" borderId="25" xfId="0" applyNumberFormat="1" applyFont="1" applyFill="1" applyBorder="1" applyAlignment="1">
      <alignment horizontal="center" vertical="center" wrapText="1"/>
    </xf>
    <xf numFmtId="1" fontId="26" fillId="10" borderId="18" xfId="0" applyNumberFormat="1" applyFont="1" applyFill="1" applyBorder="1" applyAlignment="1">
      <alignment horizontal="center" vertical="center" wrapText="1"/>
    </xf>
    <xf numFmtId="1" fontId="26" fillId="10" borderId="36" xfId="0" applyNumberFormat="1" applyFont="1" applyFill="1" applyBorder="1" applyAlignment="1">
      <alignment horizontal="center" vertical="center" wrapText="1"/>
    </xf>
    <xf numFmtId="169" fontId="26" fillId="10" borderId="31" xfId="0" applyNumberFormat="1" applyFont="1" applyFill="1" applyBorder="1" applyAlignment="1">
      <alignment horizontal="center" vertical="center" wrapText="1"/>
    </xf>
    <xf numFmtId="169" fontId="26" fillId="10" borderId="27" xfId="0" applyNumberFormat="1" applyFont="1" applyFill="1" applyBorder="1" applyAlignment="1">
      <alignment horizontal="center" vertical="center" wrapText="1"/>
    </xf>
    <xf numFmtId="183" fontId="27" fillId="2" borderId="27" xfId="0" applyNumberFormat="1" applyFont="1" applyFill="1" applyBorder="1" applyAlignment="1">
      <alignment horizontal="center" vertical="center" wrapText="1"/>
    </xf>
    <xf numFmtId="165" fontId="26" fillId="10" borderId="31" xfId="0" applyNumberFormat="1" applyFont="1" applyFill="1" applyBorder="1" applyAlignment="1">
      <alignment horizontal="center" vertical="center" wrapText="1"/>
    </xf>
    <xf numFmtId="165" fontId="26" fillId="10" borderId="27" xfId="0" applyNumberFormat="1" applyFont="1" applyFill="1" applyBorder="1" applyAlignment="1">
      <alignment horizontal="center" vertical="center" wrapText="1"/>
    </xf>
    <xf numFmtId="3" fontId="26" fillId="10" borderId="21" xfId="0" applyNumberFormat="1" applyFont="1" applyFill="1" applyBorder="1" applyAlignment="1">
      <alignment horizontal="center" vertical="center" wrapText="1"/>
    </xf>
    <xf numFmtId="3" fontId="26" fillId="10" borderId="37" xfId="0" applyNumberFormat="1" applyFont="1" applyFill="1" applyBorder="1" applyAlignment="1">
      <alignment horizontal="center" vertical="center" wrapText="1"/>
    </xf>
    <xf numFmtId="1" fontId="27" fillId="2" borderId="39"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0" borderId="13" xfId="0" applyFont="1" applyBorder="1" applyAlignment="1">
      <alignment horizontal="center" vertical="center"/>
    </xf>
    <xf numFmtId="0" fontId="15" fillId="0" borderId="8" xfId="0" applyFont="1" applyFill="1" applyBorder="1" applyAlignment="1">
      <alignment horizontal="center" vertical="center"/>
    </xf>
    <xf numFmtId="0" fontId="15" fillId="0" borderId="8" xfId="0" applyFont="1" applyBorder="1" applyAlignment="1">
      <alignment horizontal="justify" vertical="center"/>
    </xf>
    <xf numFmtId="0" fontId="15" fillId="0" borderId="9" xfId="0" applyFont="1" applyBorder="1" applyAlignment="1">
      <alignment horizontal="justify" vertical="center"/>
    </xf>
    <xf numFmtId="14" fontId="15" fillId="19" borderId="8" xfId="0" applyNumberFormat="1" applyFont="1" applyFill="1" applyBorder="1" applyAlignment="1">
      <alignment horizontal="center" vertical="center" wrapText="1"/>
    </xf>
    <xf numFmtId="3" fontId="15" fillId="19" borderId="9" xfId="0" applyNumberFormat="1" applyFont="1" applyFill="1" applyBorder="1" applyAlignment="1">
      <alignment horizontal="center" vertical="center" wrapText="1"/>
    </xf>
    <xf numFmtId="0" fontId="15" fillId="19" borderId="18" xfId="0" applyFont="1" applyFill="1" applyBorder="1" applyAlignment="1">
      <alignment horizontal="center" vertical="center"/>
    </xf>
    <xf numFmtId="0" fontId="15" fillId="19" borderId="41" xfId="0" applyFont="1" applyFill="1" applyBorder="1" applyAlignment="1">
      <alignment horizontal="center" vertical="center"/>
    </xf>
    <xf numFmtId="0" fontId="15" fillId="19" borderId="19" xfId="0" applyFont="1" applyFill="1" applyBorder="1" applyAlignment="1">
      <alignment horizontal="center" vertical="center" wrapText="1"/>
    </xf>
    <xf numFmtId="0" fontId="15" fillId="19" borderId="29" xfId="0" applyFont="1" applyFill="1" applyBorder="1" applyAlignment="1">
      <alignment horizontal="center" vertical="center" wrapText="1"/>
    </xf>
    <xf numFmtId="0" fontId="15" fillId="19" borderId="19" xfId="0" applyFont="1" applyFill="1" applyBorder="1" applyAlignment="1">
      <alignment horizontal="center" vertical="center"/>
    </xf>
    <xf numFmtId="0" fontId="15" fillId="19" borderId="29" xfId="0" applyFont="1" applyFill="1" applyBorder="1" applyAlignment="1">
      <alignment horizontal="center" vertical="center"/>
    </xf>
    <xf numFmtId="0" fontId="15" fillId="19" borderId="19" xfId="0" applyNumberFormat="1" applyFont="1" applyFill="1" applyBorder="1" applyAlignment="1">
      <alignment horizontal="center" vertical="center" wrapText="1"/>
    </xf>
    <xf numFmtId="0" fontId="15" fillId="19" borderId="28" xfId="0" applyNumberFormat="1" applyFont="1" applyFill="1" applyBorder="1" applyAlignment="1">
      <alignment horizontal="center" vertical="center" wrapText="1"/>
    </xf>
    <xf numFmtId="3" fontId="15" fillId="19" borderId="19" xfId="0" applyNumberFormat="1" applyFont="1" applyFill="1" applyBorder="1" applyAlignment="1">
      <alignment horizontal="center" vertical="center" wrapText="1"/>
    </xf>
    <xf numFmtId="3" fontId="15" fillId="19" borderId="28" xfId="0" applyNumberFormat="1" applyFont="1" applyFill="1" applyBorder="1" applyAlignment="1">
      <alignment horizontal="center" vertical="center" wrapText="1"/>
    </xf>
    <xf numFmtId="41" fontId="17" fillId="2" borderId="19" xfId="6" applyFont="1" applyFill="1" applyBorder="1" applyAlignment="1">
      <alignment horizontal="center" vertical="center" wrapText="1"/>
    </xf>
    <xf numFmtId="41" fontId="17" fillId="2" borderId="29" xfId="6" applyFont="1" applyFill="1" applyBorder="1" applyAlignment="1">
      <alignment horizontal="center" vertical="center" wrapText="1"/>
    </xf>
    <xf numFmtId="0" fontId="15" fillId="5" borderId="14" xfId="0" applyFont="1" applyFill="1" applyBorder="1" applyAlignment="1">
      <alignment horizontal="left" vertical="center" wrapText="1"/>
    </xf>
    <xf numFmtId="0" fontId="15" fillId="5" borderId="15" xfId="0" applyFont="1" applyFill="1" applyBorder="1" applyAlignment="1">
      <alignment horizontal="left" vertical="center" wrapText="1"/>
    </xf>
    <xf numFmtId="0" fontId="15" fillId="11" borderId="14" xfId="0" applyFont="1" applyFill="1" applyBorder="1" applyAlignment="1">
      <alignment horizontal="left" vertical="center" wrapText="1"/>
    </xf>
    <xf numFmtId="0" fontId="15" fillId="11" borderId="15" xfId="0" applyFont="1" applyFill="1" applyBorder="1" applyAlignment="1">
      <alignment horizontal="left" vertical="center" wrapText="1"/>
    </xf>
    <xf numFmtId="0" fontId="15" fillId="11" borderId="17" xfId="0" applyFont="1" applyFill="1" applyBorder="1" applyAlignment="1">
      <alignment horizontal="left" vertical="center" wrapText="1"/>
    </xf>
    <xf numFmtId="0" fontId="15" fillId="7" borderId="8" xfId="0" applyFont="1" applyFill="1" applyBorder="1" applyAlignment="1">
      <alignment horizontal="left" vertical="center" wrapText="1"/>
    </xf>
    <xf numFmtId="0" fontId="15" fillId="7" borderId="9" xfId="0" applyFont="1" applyFill="1" applyBorder="1" applyAlignment="1">
      <alignment horizontal="left" vertical="center" wrapText="1"/>
    </xf>
    <xf numFmtId="49" fontId="17" fillId="2" borderId="19"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14" fontId="17" fillId="0" borderId="19" xfId="0" applyNumberFormat="1" applyFont="1" applyFill="1" applyBorder="1" applyAlignment="1">
      <alignment horizontal="center" vertical="center" wrapText="1"/>
    </xf>
    <xf numFmtId="14" fontId="17" fillId="0" borderId="29" xfId="0" applyNumberFormat="1" applyFont="1" applyFill="1" applyBorder="1" applyAlignment="1">
      <alignment horizontal="center" vertical="center" wrapText="1"/>
    </xf>
    <xf numFmtId="41" fontId="17" fillId="0" borderId="19" xfId="6" applyFont="1" applyFill="1" applyBorder="1" applyAlignment="1">
      <alignment horizontal="center" vertical="center" wrapText="1"/>
    </xf>
    <xf numFmtId="41" fontId="17" fillId="0" borderId="29" xfId="6" applyFont="1" applyFill="1" applyBorder="1" applyAlignment="1">
      <alignment horizontal="center" vertical="center" wrapText="1"/>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7" fillId="0" borderId="21" xfId="0" applyNumberFormat="1" applyFont="1" applyFill="1" applyBorder="1" applyAlignment="1">
      <alignment horizontal="center" vertical="center" wrapText="1"/>
    </xf>
    <xf numFmtId="0" fontId="17" fillId="0" borderId="37" xfId="0" applyNumberFormat="1" applyFont="1" applyFill="1" applyBorder="1" applyAlignment="1">
      <alignment horizontal="center" vertical="center" wrapText="1"/>
    </xf>
    <xf numFmtId="172" fontId="17" fillId="2" borderId="19" xfId="2" applyNumberFormat="1" applyFont="1" applyFill="1" applyBorder="1" applyAlignment="1">
      <alignment horizontal="center" vertical="center" wrapText="1"/>
    </xf>
    <xf numFmtId="172" fontId="17" fillId="2" borderId="29" xfId="2" applyNumberFormat="1" applyFont="1" applyFill="1" applyBorder="1" applyAlignment="1">
      <alignment horizontal="center" vertical="center" wrapText="1"/>
    </xf>
  </cellXfs>
  <cellStyles count="24">
    <cellStyle name="Excel Built-in Normal" xfId="16"/>
    <cellStyle name="Excel Built-in Normal 2" xfId="19"/>
    <cellStyle name="Millares" xfId="1" builtinId="3"/>
    <cellStyle name="Millares [0]" xfId="6" builtinId="6"/>
    <cellStyle name="Millares [0] 2" xfId="13"/>
    <cellStyle name="Millares 2" xfId="10"/>
    <cellStyle name="Millares 2 2" xfId="21"/>
    <cellStyle name="Millares 3 2" xfId="15"/>
    <cellStyle name="Millares 3 3" xfId="5"/>
    <cellStyle name="Millares 4" xfId="7"/>
    <cellStyle name="Moneda [0]" xfId="17" builtinId="7"/>
    <cellStyle name="Moneda [0] 2 3" xfId="23"/>
    <cellStyle name="Moneda 2" xfId="11"/>
    <cellStyle name="Normal" xfId="0" builtinId="0"/>
    <cellStyle name="Normal 2" xfId="14"/>
    <cellStyle name="Normal 2 2" xfId="9"/>
    <cellStyle name="Normal 2 2 2" xfId="3"/>
    <cellStyle name="Normal 3" xfId="4"/>
    <cellStyle name="Normal 4" xfId="20"/>
    <cellStyle name="Normal 7" xfId="18"/>
    <cellStyle name="Porcentaje" xfId="2" builtinId="5"/>
    <cellStyle name="Porcentaje 2" xfId="8"/>
    <cellStyle name="Porcentaje 2 2" xfId="22"/>
    <cellStyle name="Porcentual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523876</xdr:colOff>
      <xdr:row>6</xdr:row>
      <xdr:rowOff>13607</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6" y="0"/>
          <a:ext cx="923925" cy="1213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609601</xdr:colOff>
      <xdr:row>0</xdr:row>
      <xdr:rowOff>0</xdr:rowOff>
    </xdr:from>
    <xdr:to>
      <xdr:col>1</xdr:col>
      <xdr:colOff>432162</xdr:colOff>
      <xdr:row>2</xdr:row>
      <xdr:rowOff>134469</xdr:rowOff>
    </xdr:to>
    <xdr:pic>
      <xdr:nvPicPr>
        <xdr:cNvPr id="2" name="Imagen 1" descr="C:\Users\AUXPLANEACION03\Desktop\Gobernacion_del_quindio.jp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1" y="0"/>
          <a:ext cx="784586" cy="744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217714</xdr:colOff>
      <xdr:row>3</xdr:row>
      <xdr:rowOff>163285</xdr:rowOff>
    </xdr:to>
    <xdr:pic>
      <xdr:nvPicPr>
        <xdr:cNvPr id="2" name="Imagen 1" descr="C:\Users\AUXPLANEACION03\Desktop\Gobernacion_del_quindio.jpg">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666750" cy="82051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27215</xdr:colOff>
      <xdr:row>0</xdr:row>
      <xdr:rowOff>204107</xdr:rowOff>
    </xdr:from>
    <xdr:to>
      <xdr:col>4</xdr:col>
      <xdr:colOff>103910</xdr:colOff>
      <xdr:row>5</xdr:row>
      <xdr:rowOff>185303</xdr:rowOff>
    </xdr:to>
    <xdr:pic>
      <xdr:nvPicPr>
        <xdr:cNvPr id="2" name="Imagen 1" descr="C:\Users\AUXPLANEACION03\Desktop\Gobernacion_del_quindio.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790" y="204107"/>
          <a:ext cx="1324470" cy="121944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7CE4CC2B-74FD-45B9-AE03-C7511F7B09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463" y="176893"/>
          <a:ext cx="993321" cy="925286"/>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193563</xdr:colOff>
      <xdr:row>0</xdr:row>
      <xdr:rowOff>57832</xdr:rowOff>
    </xdr:from>
    <xdr:to>
      <xdr:col>1</xdr:col>
      <xdr:colOff>114301</xdr:colOff>
      <xdr:row>4</xdr:row>
      <xdr:rowOff>132705</xdr:rowOff>
    </xdr:to>
    <xdr:pic>
      <xdr:nvPicPr>
        <xdr:cNvPr id="2" name="Imagen 1" descr="C:\Users\AUXPLANEACION03\Desktop\Gobernacion_del_quindio.jpg">
          <a:extLst>
            <a:ext uri="{FF2B5EF4-FFF2-40B4-BE49-F238E27FC236}">
              <a16:creationId xmlns:a16="http://schemas.microsoft.com/office/drawing/2014/main" xmlns="" id="{E553A36A-3B5E-45ED-9C0F-9145F9E3C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563" y="57832"/>
          <a:ext cx="1139938" cy="1017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1</xdr:col>
      <xdr:colOff>507206</xdr:colOff>
      <xdr:row>4</xdr:row>
      <xdr:rowOff>63274</xdr:rowOff>
    </xdr:to>
    <xdr:pic>
      <xdr:nvPicPr>
        <xdr:cNvPr id="2" name="Imagen 1" descr="C:\Users\AUXPLANEACION03\Desktop\Gobernacion_del_quindio.jpg">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1127692" cy="104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412750</xdr:colOff>
      <xdr:row>3</xdr:row>
      <xdr:rowOff>158750</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1004661" cy="920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552449</xdr:colOff>
      <xdr:row>0</xdr:row>
      <xdr:rowOff>0</xdr:rowOff>
    </xdr:from>
    <xdr:to>
      <xdr:col>2</xdr:col>
      <xdr:colOff>472167</xdr:colOff>
      <xdr:row>5</xdr:row>
      <xdr:rowOff>76200</xdr:rowOff>
    </xdr:to>
    <xdr:pic>
      <xdr:nvPicPr>
        <xdr:cNvPr id="2" name="Imagen 1" descr="C:\Users\AUXPLANEACION03\Desktop\Gobernacion_del_quindio.jpg">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49" y="0"/>
          <a:ext cx="738868"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244929</xdr:colOff>
      <xdr:row>3</xdr:row>
      <xdr:rowOff>136071</xdr:rowOff>
    </xdr:to>
    <xdr:pic>
      <xdr:nvPicPr>
        <xdr:cNvPr id="2" name="Imagen 1" descr="C:\Users\AUXPLANEACION03\Desktop\Gobernacion_del_quindio.jp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693965" cy="7647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888" y="176893"/>
          <a:ext cx="993321" cy="925286"/>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865910</xdr:colOff>
      <xdr:row>0</xdr:row>
      <xdr:rowOff>34638</xdr:rowOff>
    </xdr:from>
    <xdr:to>
      <xdr:col>2</xdr:col>
      <xdr:colOff>838200</xdr:colOff>
      <xdr:row>4</xdr:row>
      <xdr:rowOff>190500</xdr:rowOff>
    </xdr:to>
    <xdr:pic>
      <xdr:nvPicPr>
        <xdr:cNvPr id="2" name="Imagen 1" descr="C:\Users\AUXPLANEACION03\Desktop\Gobernacion_del_quindio.jpg">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910" y="34638"/>
          <a:ext cx="1115290" cy="99406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798286</xdr:colOff>
      <xdr:row>2</xdr:row>
      <xdr:rowOff>302078</xdr:rowOff>
    </xdr:to>
    <xdr:pic>
      <xdr:nvPicPr>
        <xdr:cNvPr id="2" name="Imagen 1" descr="C:\Users\AUXPLANEACION03\Desktop\Gobernacion_del_quindio.jpg">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0"/>
          <a:ext cx="1150711" cy="949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2382</xdr:colOff>
      <xdr:row>0</xdr:row>
      <xdr:rowOff>152402</xdr:rowOff>
    </xdr:from>
    <xdr:to>
      <xdr:col>2</xdr:col>
      <xdr:colOff>245703</xdr:colOff>
      <xdr:row>3</xdr:row>
      <xdr:rowOff>201707</xdr:rowOff>
    </xdr:to>
    <xdr:pic>
      <xdr:nvPicPr>
        <xdr:cNvPr id="2" name="Imagen 1" descr="C:\Users\AUXPLANEACION03\Desktop\Gobernacion_del_quindio.jpg">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557" y="152402"/>
          <a:ext cx="729096" cy="916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535782</xdr:colOff>
      <xdr:row>0</xdr:row>
      <xdr:rowOff>323850</xdr:rowOff>
    </xdr:from>
    <xdr:to>
      <xdr:col>2</xdr:col>
      <xdr:colOff>672981</xdr:colOff>
      <xdr:row>4</xdr:row>
      <xdr:rowOff>266700</xdr:rowOff>
    </xdr:to>
    <xdr:pic>
      <xdr:nvPicPr>
        <xdr:cNvPr id="2" name="Imagen 1" descr="C:\Users\AUXPLANEACION03\Desktop\Gobernacion_del_quindio.jpg">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782" y="323850"/>
          <a:ext cx="1184949"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20RAMIREZ/Dropbox/Edades_Simples_198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Q37"/>
  <sheetViews>
    <sheetView showGridLines="0" tabSelected="1" topLeftCell="I1" zoomScale="50" zoomScaleNormal="50" workbookViewId="0">
      <selection activeCell="X21" sqref="X21"/>
    </sheetView>
  </sheetViews>
  <sheetFormatPr baseColWidth="10" defaultColWidth="11.42578125" defaultRowHeight="15.75" x14ac:dyDescent="0.25"/>
  <cols>
    <col min="1" max="1" width="17.5703125" style="363" customWidth="1"/>
    <col min="2" max="2" width="6" style="363" customWidth="1"/>
    <col min="3" max="3" width="14.5703125" style="363" customWidth="1"/>
    <col min="4" max="4" width="22.85546875" style="363" customWidth="1"/>
    <col min="5" max="5" width="7.42578125" style="363" customWidth="1"/>
    <col min="6" max="6" width="12.7109375" style="363" customWidth="1"/>
    <col min="7" max="7" width="16.85546875" style="363" customWidth="1"/>
    <col min="8" max="8" width="28.28515625" style="363" customWidth="1"/>
    <col min="9" max="9" width="0.42578125" style="363" customWidth="1"/>
    <col min="10" max="10" width="17.7109375" style="486" customWidth="1"/>
    <col min="11" max="11" width="29.7109375" style="486" customWidth="1"/>
    <col min="12" max="12" width="22.85546875" style="486" customWidth="1"/>
    <col min="13" max="13" width="24.7109375" style="486" customWidth="1"/>
    <col min="14" max="14" width="37.85546875" style="486" customWidth="1"/>
    <col min="15" max="15" width="25.5703125" style="486" customWidth="1"/>
    <col min="16" max="16" width="31.5703125" style="486" customWidth="1"/>
    <col min="17" max="17" width="18.140625" style="487" customWidth="1"/>
    <col min="18" max="18" width="24.85546875" style="486" customWidth="1"/>
    <col min="19" max="19" width="27" style="486" customWidth="1"/>
    <col min="20" max="20" width="26.7109375" style="486" customWidth="1"/>
    <col min="21" max="21" width="27.7109375" style="486" customWidth="1"/>
    <col min="22" max="22" width="23.42578125" style="363" customWidth="1"/>
    <col min="23" max="23" width="16.28515625" style="363" customWidth="1"/>
    <col min="24" max="24" width="17.140625" style="363" customWidth="1"/>
    <col min="25" max="41" width="11.42578125" style="363"/>
    <col min="42" max="42" width="16.85546875" style="363" customWidth="1"/>
    <col min="43" max="43" width="28" style="363" customWidth="1"/>
    <col min="44" max="16384" width="11.42578125" style="363"/>
  </cols>
  <sheetData>
    <row r="1" spans="1:43" x14ac:dyDescent="0.25">
      <c r="A1" s="2123" t="s">
        <v>625</v>
      </c>
      <c r="B1" s="2124"/>
      <c r="C1" s="2124"/>
      <c r="D1" s="2124"/>
      <c r="E1" s="2124"/>
      <c r="F1" s="2124"/>
      <c r="G1" s="2124"/>
      <c r="H1" s="2124"/>
      <c r="I1" s="2124"/>
      <c r="J1" s="2124"/>
      <c r="K1" s="2124"/>
      <c r="L1" s="2124"/>
      <c r="M1" s="2124"/>
      <c r="N1" s="2124"/>
      <c r="O1" s="2124"/>
      <c r="P1" s="2124"/>
      <c r="Q1" s="2124"/>
      <c r="R1" s="2124"/>
      <c r="S1" s="2124"/>
      <c r="T1" s="2124"/>
      <c r="U1" s="2124"/>
      <c r="V1" s="2124"/>
      <c r="W1" s="2124"/>
      <c r="X1" s="2124"/>
      <c r="Y1" s="2124"/>
      <c r="Z1" s="2124"/>
      <c r="AA1" s="2124"/>
      <c r="AB1" s="2124"/>
      <c r="AC1" s="2124"/>
      <c r="AD1" s="2124"/>
      <c r="AE1" s="2124"/>
      <c r="AF1" s="2124"/>
      <c r="AG1" s="2124"/>
      <c r="AH1" s="2124"/>
      <c r="AI1" s="2124"/>
      <c r="AJ1" s="2124"/>
      <c r="AK1" s="2124"/>
      <c r="AL1" s="2124"/>
      <c r="AM1" s="2124"/>
      <c r="AN1" s="2124"/>
      <c r="AO1" s="2125"/>
      <c r="AP1" s="362" t="s">
        <v>0</v>
      </c>
      <c r="AQ1" s="362" t="s">
        <v>1</v>
      </c>
    </row>
    <row r="2" spans="1:43" x14ac:dyDescent="0.25">
      <c r="A2" s="2124"/>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c r="AC2" s="2124"/>
      <c r="AD2" s="2124"/>
      <c r="AE2" s="2124"/>
      <c r="AF2" s="2124"/>
      <c r="AG2" s="2124"/>
      <c r="AH2" s="2124"/>
      <c r="AI2" s="2124"/>
      <c r="AJ2" s="2124"/>
      <c r="AK2" s="2124"/>
      <c r="AL2" s="2124"/>
      <c r="AM2" s="2124"/>
      <c r="AN2" s="2124"/>
      <c r="AO2" s="2125"/>
      <c r="AP2" s="364" t="s">
        <v>2</v>
      </c>
      <c r="AQ2" s="365" t="s">
        <v>255</v>
      </c>
    </row>
    <row r="3" spans="1:43" x14ac:dyDescent="0.25">
      <c r="A3" s="2124"/>
      <c r="B3" s="2124"/>
      <c r="C3" s="2124"/>
      <c r="D3" s="2124"/>
      <c r="E3" s="2124"/>
      <c r="F3" s="2124"/>
      <c r="G3" s="2124"/>
      <c r="H3" s="2124"/>
      <c r="I3" s="2124"/>
      <c r="J3" s="2124"/>
      <c r="K3" s="2124"/>
      <c r="L3" s="2124"/>
      <c r="M3" s="2124"/>
      <c r="N3" s="2124"/>
      <c r="O3" s="2124"/>
      <c r="P3" s="2124"/>
      <c r="Q3" s="2124"/>
      <c r="R3" s="2124"/>
      <c r="S3" s="2124"/>
      <c r="T3" s="2124"/>
      <c r="U3" s="2124"/>
      <c r="V3" s="2124"/>
      <c r="W3" s="2124"/>
      <c r="X3" s="2124"/>
      <c r="Y3" s="2124"/>
      <c r="Z3" s="2124"/>
      <c r="AA3" s="2124"/>
      <c r="AB3" s="2124"/>
      <c r="AC3" s="2124"/>
      <c r="AD3" s="2124"/>
      <c r="AE3" s="2124"/>
      <c r="AF3" s="2124"/>
      <c r="AG3" s="2124"/>
      <c r="AH3" s="2124"/>
      <c r="AI3" s="2124"/>
      <c r="AJ3" s="2124"/>
      <c r="AK3" s="2124"/>
      <c r="AL3" s="2124"/>
      <c r="AM3" s="2124"/>
      <c r="AN3" s="2124"/>
      <c r="AO3" s="2125"/>
      <c r="AP3" s="362" t="s">
        <v>4</v>
      </c>
      <c r="AQ3" s="362" t="s">
        <v>256</v>
      </c>
    </row>
    <row r="4" spans="1:43" x14ac:dyDescent="0.25">
      <c r="A4" s="2126"/>
      <c r="B4" s="2126"/>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7"/>
      <c r="AP4" s="362" t="s">
        <v>6</v>
      </c>
      <c r="AQ4" s="366" t="s">
        <v>7</v>
      </c>
    </row>
    <row r="5" spans="1:43" x14ac:dyDescent="0.25">
      <c r="A5" s="2128" t="s">
        <v>8</v>
      </c>
      <c r="B5" s="2128"/>
      <c r="C5" s="2128"/>
      <c r="D5" s="2128"/>
      <c r="E5" s="2128"/>
      <c r="F5" s="2128"/>
      <c r="G5" s="2128"/>
      <c r="H5" s="2128"/>
      <c r="I5" s="2128"/>
      <c r="J5" s="2128"/>
      <c r="K5" s="2128"/>
      <c r="L5" s="2128"/>
      <c r="M5" s="2128"/>
      <c r="N5" s="2130" t="s">
        <v>9</v>
      </c>
      <c r="O5" s="2130"/>
      <c r="P5" s="2130"/>
      <c r="Q5" s="2130"/>
      <c r="R5" s="2130"/>
      <c r="S5" s="2130"/>
      <c r="T5" s="2130"/>
      <c r="U5" s="2130"/>
      <c r="V5" s="2130"/>
      <c r="W5" s="2130"/>
      <c r="X5" s="2130"/>
      <c r="Y5" s="2130"/>
      <c r="Z5" s="2130"/>
      <c r="AA5" s="2130"/>
      <c r="AB5" s="2130"/>
      <c r="AC5" s="2130"/>
      <c r="AD5" s="2130"/>
      <c r="AE5" s="2130"/>
      <c r="AF5" s="2130"/>
      <c r="AG5" s="2130"/>
      <c r="AH5" s="2130"/>
      <c r="AI5" s="2130"/>
      <c r="AJ5" s="2130"/>
      <c r="AK5" s="2130"/>
      <c r="AL5" s="2130"/>
      <c r="AM5" s="2130"/>
      <c r="AN5" s="2130"/>
      <c r="AO5" s="2130"/>
      <c r="AP5" s="2130"/>
      <c r="AQ5" s="2130"/>
    </row>
    <row r="6" spans="1:43" x14ac:dyDescent="0.25">
      <c r="A6" s="2129"/>
      <c r="B6" s="2129"/>
      <c r="C6" s="2129"/>
      <c r="D6" s="2129"/>
      <c r="E6" s="2129"/>
      <c r="F6" s="2129"/>
      <c r="G6" s="2129"/>
      <c r="H6" s="2129"/>
      <c r="I6" s="2129"/>
      <c r="J6" s="2129"/>
      <c r="K6" s="2129"/>
      <c r="L6" s="2129"/>
      <c r="M6" s="2129"/>
      <c r="N6" s="367"/>
      <c r="O6" s="368"/>
      <c r="P6" s="368"/>
      <c r="Q6" s="369"/>
      <c r="R6" s="368"/>
      <c r="S6" s="368"/>
      <c r="T6" s="368"/>
      <c r="U6" s="368"/>
      <c r="V6" s="370"/>
      <c r="W6" s="370"/>
      <c r="X6" s="370"/>
      <c r="Y6" s="2131" t="s">
        <v>10</v>
      </c>
      <c r="Z6" s="2129"/>
      <c r="AA6" s="2129"/>
      <c r="AB6" s="2129"/>
      <c r="AC6" s="2129"/>
      <c r="AD6" s="2129"/>
      <c r="AE6" s="2129"/>
      <c r="AF6" s="2129"/>
      <c r="AG6" s="2129"/>
      <c r="AH6" s="2129"/>
      <c r="AI6" s="2129"/>
      <c r="AJ6" s="2129"/>
      <c r="AK6" s="2129"/>
      <c r="AL6" s="2129"/>
      <c r="AM6" s="2132"/>
      <c r="AN6" s="371"/>
      <c r="AO6" s="370"/>
      <c r="AP6" s="370"/>
      <c r="AQ6" s="372"/>
    </row>
    <row r="7" spans="1:43" ht="27.75" customHeight="1" x14ac:dyDescent="0.25">
      <c r="A7" s="2133" t="s">
        <v>11</v>
      </c>
      <c r="B7" s="2136" t="s">
        <v>12</v>
      </c>
      <c r="C7" s="2137"/>
      <c r="D7" s="2137" t="s">
        <v>11</v>
      </c>
      <c r="E7" s="2136" t="s">
        <v>13</v>
      </c>
      <c r="F7" s="2137"/>
      <c r="G7" s="2137" t="s">
        <v>11</v>
      </c>
      <c r="H7" s="2136" t="s">
        <v>14</v>
      </c>
      <c r="I7" s="2137"/>
      <c r="J7" s="2137" t="s">
        <v>11</v>
      </c>
      <c r="K7" s="2136" t="s">
        <v>15</v>
      </c>
      <c r="L7" s="2119" t="s">
        <v>16</v>
      </c>
      <c r="M7" s="2119" t="s">
        <v>17</v>
      </c>
      <c r="N7" s="2119" t="s">
        <v>18</v>
      </c>
      <c r="O7" s="2119" t="s">
        <v>19</v>
      </c>
      <c r="P7" s="2119" t="s">
        <v>9</v>
      </c>
      <c r="Q7" s="2142" t="s">
        <v>20</v>
      </c>
      <c r="R7" s="2145" t="s">
        <v>21</v>
      </c>
      <c r="S7" s="2119" t="s">
        <v>22</v>
      </c>
      <c r="T7" s="2136" t="s">
        <v>23</v>
      </c>
      <c r="U7" s="2119" t="s">
        <v>24</v>
      </c>
      <c r="V7" s="2116" t="s">
        <v>21</v>
      </c>
      <c r="W7" s="373"/>
      <c r="X7" s="2119" t="s">
        <v>25</v>
      </c>
      <c r="Y7" s="2122" t="s">
        <v>26</v>
      </c>
      <c r="Z7" s="2122"/>
      <c r="AA7" s="2109" t="s">
        <v>27</v>
      </c>
      <c r="AB7" s="2109"/>
      <c r="AC7" s="2109"/>
      <c r="AD7" s="2109"/>
      <c r="AE7" s="2106" t="s">
        <v>28</v>
      </c>
      <c r="AF7" s="2107"/>
      <c r="AG7" s="2107"/>
      <c r="AH7" s="2107"/>
      <c r="AI7" s="2107"/>
      <c r="AJ7" s="2108"/>
      <c r="AK7" s="2109" t="s">
        <v>29</v>
      </c>
      <c r="AL7" s="2109"/>
      <c r="AM7" s="2109"/>
      <c r="AN7" s="2092" t="s">
        <v>30</v>
      </c>
      <c r="AO7" s="2095" t="s">
        <v>31</v>
      </c>
      <c r="AP7" s="2095" t="s">
        <v>32</v>
      </c>
      <c r="AQ7" s="2148" t="s">
        <v>33</v>
      </c>
    </row>
    <row r="8" spans="1:43" ht="15.75" customHeight="1" x14ac:dyDescent="0.25">
      <c r="A8" s="2134"/>
      <c r="B8" s="2138"/>
      <c r="C8" s="2139"/>
      <c r="D8" s="2139"/>
      <c r="E8" s="2138"/>
      <c r="F8" s="2139"/>
      <c r="G8" s="2139"/>
      <c r="H8" s="2138"/>
      <c r="I8" s="2139"/>
      <c r="J8" s="2139"/>
      <c r="K8" s="2138"/>
      <c r="L8" s="2120"/>
      <c r="M8" s="2120"/>
      <c r="N8" s="2120"/>
      <c r="O8" s="2120"/>
      <c r="P8" s="2120"/>
      <c r="Q8" s="2143"/>
      <c r="R8" s="2146"/>
      <c r="S8" s="2120"/>
      <c r="T8" s="2138"/>
      <c r="U8" s="2120"/>
      <c r="V8" s="2117"/>
      <c r="W8" s="2151" t="s">
        <v>11</v>
      </c>
      <c r="X8" s="2120"/>
      <c r="Y8" s="2110" t="s">
        <v>34</v>
      </c>
      <c r="Z8" s="2113" t="s">
        <v>35</v>
      </c>
      <c r="AA8" s="2110" t="s">
        <v>36</v>
      </c>
      <c r="AB8" s="2110" t="s">
        <v>37</v>
      </c>
      <c r="AC8" s="2110" t="s">
        <v>257</v>
      </c>
      <c r="AD8" s="2110" t="s">
        <v>39</v>
      </c>
      <c r="AE8" s="2110" t="s">
        <v>40</v>
      </c>
      <c r="AF8" s="2110" t="s">
        <v>41</v>
      </c>
      <c r="AG8" s="2110" t="s">
        <v>42</v>
      </c>
      <c r="AH8" s="2110" t="s">
        <v>43</v>
      </c>
      <c r="AI8" s="2110" t="s">
        <v>44</v>
      </c>
      <c r="AJ8" s="2110" t="s">
        <v>45</v>
      </c>
      <c r="AK8" s="2110" t="s">
        <v>46</v>
      </c>
      <c r="AL8" s="2110" t="s">
        <v>47</v>
      </c>
      <c r="AM8" s="2110" t="s">
        <v>48</v>
      </c>
      <c r="AN8" s="2093"/>
      <c r="AO8" s="2096"/>
      <c r="AP8" s="2096"/>
      <c r="AQ8" s="2149"/>
    </row>
    <row r="9" spans="1:43" x14ac:dyDescent="0.25">
      <c r="A9" s="2134"/>
      <c r="B9" s="2138"/>
      <c r="C9" s="2139"/>
      <c r="D9" s="2139"/>
      <c r="E9" s="2138"/>
      <c r="F9" s="2139"/>
      <c r="G9" s="2139"/>
      <c r="H9" s="2138"/>
      <c r="I9" s="2139"/>
      <c r="J9" s="2139"/>
      <c r="K9" s="2138"/>
      <c r="L9" s="2120"/>
      <c r="M9" s="2120"/>
      <c r="N9" s="2120"/>
      <c r="O9" s="2120"/>
      <c r="P9" s="2120"/>
      <c r="Q9" s="2143"/>
      <c r="R9" s="2146"/>
      <c r="S9" s="2120"/>
      <c r="T9" s="2138"/>
      <c r="U9" s="2120"/>
      <c r="V9" s="2117"/>
      <c r="W9" s="2151"/>
      <c r="X9" s="2120"/>
      <c r="Y9" s="2111"/>
      <c r="Z9" s="2114"/>
      <c r="AA9" s="2111"/>
      <c r="AB9" s="2111"/>
      <c r="AC9" s="2111"/>
      <c r="AD9" s="2111"/>
      <c r="AE9" s="2111"/>
      <c r="AF9" s="2111"/>
      <c r="AG9" s="2111"/>
      <c r="AH9" s="2111"/>
      <c r="AI9" s="2111"/>
      <c r="AJ9" s="2111"/>
      <c r="AK9" s="2111"/>
      <c r="AL9" s="2111"/>
      <c r="AM9" s="2111"/>
      <c r="AN9" s="2093"/>
      <c r="AO9" s="2096"/>
      <c r="AP9" s="2096"/>
      <c r="AQ9" s="2149"/>
    </row>
    <row r="10" spans="1:43" x14ac:dyDescent="0.25">
      <c r="A10" s="2134"/>
      <c r="B10" s="2138"/>
      <c r="C10" s="2139"/>
      <c r="D10" s="2139"/>
      <c r="E10" s="2138"/>
      <c r="F10" s="2139"/>
      <c r="G10" s="2139"/>
      <c r="H10" s="2138"/>
      <c r="I10" s="2139"/>
      <c r="J10" s="2139"/>
      <c r="K10" s="2138"/>
      <c r="L10" s="2120"/>
      <c r="M10" s="2120"/>
      <c r="N10" s="2120"/>
      <c r="O10" s="2120"/>
      <c r="P10" s="2120"/>
      <c r="Q10" s="2143"/>
      <c r="R10" s="2146"/>
      <c r="S10" s="2120"/>
      <c r="T10" s="2138"/>
      <c r="U10" s="2120"/>
      <c r="V10" s="2117"/>
      <c r="W10" s="2151"/>
      <c r="X10" s="2120"/>
      <c r="Y10" s="2111"/>
      <c r="Z10" s="2114"/>
      <c r="AA10" s="2111"/>
      <c r="AB10" s="2111"/>
      <c r="AC10" s="2111"/>
      <c r="AD10" s="2111"/>
      <c r="AE10" s="2111"/>
      <c r="AF10" s="2111"/>
      <c r="AG10" s="2111"/>
      <c r="AH10" s="2111"/>
      <c r="AI10" s="2111"/>
      <c r="AJ10" s="2111"/>
      <c r="AK10" s="2111"/>
      <c r="AL10" s="2111"/>
      <c r="AM10" s="2111"/>
      <c r="AN10" s="2093"/>
      <c r="AO10" s="2096"/>
      <c r="AP10" s="2096"/>
      <c r="AQ10" s="2149"/>
    </row>
    <row r="11" spans="1:43" x14ac:dyDescent="0.25">
      <c r="A11" s="2134"/>
      <c r="B11" s="2138"/>
      <c r="C11" s="2139"/>
      <c r="D11" s="2139"/>
      <c r="E11" s="2138"/>
      <c r="F11" s="2139"/>
      <c r="G11" s="2139"/>
      <c r="H11" s="2138"/>
      <c r="I11" s="2139"/>
      <c r="J11" s="2139"/>
      <c r="K11" s="2138"/>
      <c r="L11" s="2120"/>
      <c r="M11" s="2120"/>
      <c r="N11" s="2120"/>
      <c r="O11" s="2120"/>
      <c r="P11" s="2120"/>
      <c r="Q11" s="2143"/>
      <c r="R11" s="2146"/>
      <c r="S11" s="2120"/>
      <c r="T11" s="2138"/>
      <c r="U11" s="2120"/>
      <c r="V11" s="2117"/>
      <c r="W11" s="2151"/>
      <c r="X11" s="2120"/>
      <c r="Y11" s="2111"/>
      <c r="Z11" s="2114"/>
      <c r="AA11" s="2111"/>
      <c r="AB11" s="2111"/>
      <c r="AC11" s="2111"/>
      <c r="AD11" s="2111"/>
      <c r="AE11" s="2111"/>
      <c r="AF11" s="2111"/>
      <c r="AG11" s="2111"/>
      <c r="AH11" s="2111"/>
      <c r="AI11" s="2111"/>
      <c r="AJ11" s="2111"/>
      <c r="AK11" s="2111"/>
      <c r="AL11" s="2111"/>
      <c r="AM11" s="2111"/>
      <c r="AN11" s="2093"/>
      <c r="AO11" s="2096"/>
      <c r="AP11" s="2096"/>
      <c r="AQ11" s="2149"/>
    </row>
    <row r="12" spans="1:43" x14ac:dyDescent="0.25">
      <c r="A12" s="2134"/>
      <c r="B12" s="2138"/>
      <c r="C12" s="2139"/>
      <c r="D12" s="2139"/>
      <c r="E12" s="2138"/>
      <c r="F12" s="2139"/>
      <c r="G12" s="2139"/>
      <c r="H12" s="2138"/>
      <c r="I12" s="2139"/>
      <c r="J12" s="2139"/>
      <c r="K12" s="2138"/>
      <c r="L12" s="2120"/>
      <c r="M12" s="2120"/>
      <c r="N12" s="2120"/>
      <c r="O12" s="2120"/>
      <c r="P12" s="2120"/>
      <c r="Q12" s="2143"/>
      <c r="R12" s="2146"/>
      <c r="S12" s="2120"/>
      <c r="T12" s="2138"/>
      <c r="U12" s="2120"/>
      <c r="V12" s="2117"/>
      <c r="W12" s="2151"/>
      <c r="X12" s="2120"/>
      <c r="Y12" s="2111"/>
      <c r="Z12" s="2114"/>
      <c r="AA12" s="2111"/>
      <c r="AB12" s="2111"/>
      <c r="AC12" s="2111"/>
      <c r="AD12" s="2111"/>
      <c r="AE12" s="2111"/>
      <c r="AF12" s="2111"/>
      <c r="AG12" s="2111"/>
      <c r="AH12" s="2111"/>
      <c r="AI12" s="2111"/>
      <c r="AJ12" s="2111"/>
      <c r="AK12" s="2111"/>
      <c r="AL12" s="2111"/>
      <c r="AM12" s="2111"/>
      <c r="AN12" s="2093"/>
      <c r="AO12" s="2096"/>
      <c r="AP12" s="2096"/>
      <c r="AQ12" s="2149"/>
    </row>
    <row r="13" spans="1:43" x14ac:dyDescent="0.25">
      <c r="A13" s="2134"/>
      <c r="B13" s="2138"/>
      <c r="C13" s="2139"/>
      <c r="D13" s="2139"/>
      <c r="E13" s="2138"/>
      <c r="F13" s="2139"/>
      <c r="G13" s="2139"/>
      <c r="H13" s="2138"/>
      <c r="I13" s="2139"/>
      <c r="J13" s="2139"/>
      <c r="K13" s="2138"/>
      <c r="L13" s="2120"/>
      <c r="M13" s="2120"/>
      <c r="N13" s="2120"/>
      <c r="O13" s="2120"/>
      <c r="P13" s="2120"/>
      <c r="Q13" s="2143"/>
      <c r="R13" s="2146"/>
      <c r="S13" s="2120"/>
      <c r="T13" s="2138"/>
      <c r="U13" s="2120"/>
      <c r="V13" s="2117"/>
      <c r="W13" s="2151"/>
      <c r="X13" s="2120"/>
      <c r="Y13" s="2111"/>
      <c r="Z13" s="2114"/>
      <c r="AA13" s="2111"/>
      <c r="AB13" s="2111"/>
      <c r="AC13" s="2111"/>
      <c r="AD13" s="2111"/>
      <c r="AE13" s="2111"/>
      <c r="AF13" s="2111"/>
      <c r="AG13" s="2111"/>
      <c r="AH13" s="2111"/>
      <c r="AI13" s="2111"/>
      <c r="AJ13" s="2111"/>
      <c r="AK13" s="2111"/>
      <c r="AL13" s="2111"/>
      <c r="AM13" s="2111"/>
      <c r="AN13" s="2093"/>
      <c r="AO13" s="2096"/>
      <c r="AP13" s="2096"/>
      <c r="AQ13" s="2149"/>
    </row>
    <row r="14" spans="1:43" ht="25.5" customHeight="1" x14ac:dyDescent="0.25">
      <c r="A14" s="2134"/>
      <c r="B14" s="2138"/>
      <c r="C14" s="2139"/>
      <c r="D14" s="2139"/>
      <c r="E14" s="2138"/>
      <c r="F14" s="2139"/>
      <c r="G14" s="2139"/>
      <c r="H14" s="2138"/>
      <c r="I14" s="2139"/>
      <c r="J14" s="2139"/>
      <c r="K14" s="2138"/>
      <c r="L14" s="2120"/>
      <c r="M14" s="2120"/>
      <c r="N14" s="2120"/>
      <c r="O14" s="2120"/>
      <c r="P14" s="2120"/>
      <c r="Q14" s="2143"/>
      <c r="R14" s="2146"/>
      <c r="S14" s="2120"/>
      <c r="T14" s="2138"/>
      <c r="U14" s="2120"/>
      <c r="V14" s="2117"/>
      <c r="W14" s="2151"/>
      <c r="X14" s="2120"/>
      <c r="Y14" s="2111"/>
      <c r="Z14" s="2114"/>
      <c r="AA14" s="2111"/>
      <c r="AB14" s="2111"/>
      <c r="AC14" s="2111"/>
      <c r="AD14" s="2111"/>
      <c r="AE14" s="2111"/>
      <c r="AF14" s="2111"/>
      <c r="AG14" s="2111"/>
      <c r="AH14" s="2111"/>
      <c r="AI14" s="2111"/>
      <c r="AJ14" s="2111"/>
      <c r="AK14" s="2111"/>
      <c r="AL14" s="2111"/>
      <c r="AM14" s="2111"/>
      <c r="AN14" s="2093"/>
      <c r="AO14" s="2096"/>
      <c r="AP14" s="2096"/>
      <c r="AQ14" s="2149"/>
    </row>
    <row r="15" spans="1:43" ht="15.75" hidden="1" customHeight="1" x14ac:dyDescent="0.25">
      <c r="A15" s="2135"/>
      <c r="B15" s="2140"/>
      <c r="C15" s="2141"/>
      <c r="D15" s="2141"/>
      <c r="E15" s="2140"/>
      <c r="F15" s="2141"/>
      <c r="G15" s="2141"/>
      <c r="H15" s="2140"/>
      <c r="I15" s="2141"/>
      <c r="J15" s="2141"/>
      <c r="K15" s="2140"/>
      <c r="L15" s="2121"/>
      <c r="M15" s="2121"/>
      <c r="N15" s="2121"/>
      <c r="O15" s="2121"/>
      <c r="P15" s="2121"/>
      <c r="Q15" s="2144"/>
      <c r="R15" s="2147"/>
      <c r="S15" s="2121"/>
      <c r="T15" s="2140"/>
      <c r="U15" s="2121"/>
      <c r="V15" s="2118"/>
      <c r="W15" s="2152"/>
      <c r="X15" s="2121"/>
      <c r="Y15" s="2112"/>
      <c r="Z15" s="2115"/>
      <c r="AA15" s="2112"/>
      <c r="AB15" s="2112"/>
      <c r="AC15" s="2112"/>
      <c r="AD15" s="2112"/>
      <c r="AE15" s="2112"/>
      <c r="AF15" s="2112"/>
      <c r="AG15" s="2112"/>
      <c r="AH15" s="2112"/>
      <c r="AI15" s="2112"/>
      <c r="AJ15" s="2112"/>
      <c r="AK15" s="2112"/>
      <c r="AL15" s="2112"/>
      <c r="AM15" s="2112"/>
      <c r="AN15" s="2094"/>
      <c r="AO15" s="2097"/>
      <c r="AP15" s="2097"/>
      <c r="AQ15" s="2150"/>
    </row>
    <row r="16" spans="1:43" x14ac:dyDescent="0.25">
      <c r="A16" s="377">
        <v>5</v>
      </c>
      <c r="B16" s="378" t="s">
        <v>49</v>
      </c>
      <c r="C16" s="378"/>
      <c r="D16" s="378"/>
      <c r="E16" s="378"/>
      <c r="F16" s="378"/>
      <c r="G16" s="378"/>
      <c r="H16" s="378"/>
      <c r="I16" s="378"/>
      <c r="J16" s="379"/>
      <c r="K16" s="379"/>
      <c r="L16" s="379"/>
      <c r="M16" s="379"/>
      <c r="N16" s="379"/>
      <c r="O16" s="379"/>
      <c r="P16" s="379"/>
      <c r="Q16" s="380"/>
      <c r="R16" s="381"/>
      <c r="S16" s="379"/>
      <c r="T16" s="379"/>
      <c r="U16" s="379"/>
      <c r="V16" s="382"/>
      <c r="W16" s="383"/>
      <c r="X16" s="384"/>
      <c r="Y16" s="378"/>
      <c r="Z16" s="378"/>
      <c r="AA16" s="378"/>
      <c r="AB16" s="378"/>
      <c r="AC16" s="378"/>
      <c r="AD16" s="378"/>
      <c r="AE16" s="378"/>
      <c r="AF16" s="378"/>
      <c r="AG16" s="378"/>
      <c r="AH16" s="378"/>
      <c r="AI16" s="378"/>
      <c r="AJ16" s="378"/>
      <c r="AK16" s="378"/>
      <c r="AL16" s="378"/>
      <c r="AM16" s="378"/>
      <c r="AN16" s="378"/>
      <c r="AO16" s="385"/>
      <c r="AP16" s="385"/>
      <c r="AQ16" s="386"/>
    </row>
    <row r="17" spans="1:43" x14ac:dyDescent="0.25">
      <c r="A17" s="2069"/>
      <c r="B17" s="2070"/>
      <c r="C17" s="2071"/>
      <c r="D17" s="387">
        <v>28</v>
      </c>
      <c r="E17" s="388" t="s">
        <v>258</v>
      </c>
      <c r="F17" s="388"/>
      <c r="G17" s="388"/>
      <c r="H17" s="388"/>
      <c r="I17" s="388"/>
      <c r="J17" s="389"/>
      <c r="K17" s="389"/>
      <c r="L17" s="389"/>
      <c r="M17" s="389"/>
      <c r="N17" s="389"/>
      <c r="O17" s="389"/>
      <c r="P17" s="389"/>
      <c r="Q17" s="390"/>
      <c r="R17" s="391"/>
      <c r="S17" s="389"/>
      <c r="T17" s="389"/>
      <c r="U17" s="389"/>
      <c r="V17" s="392"/>
      <c r="W17" s="393"/>
      <c r="X17" s="394"/>
      <c r="Y17" s="388"/>
      <c r="Z17" s="388"/>
      <c r="AA17" s="388"/>
      <c r="AB17" s="388"/>
      <c r="AC17" s="388"/>
      <c r="AD17" s="388"/>
      <c r="AE17" s="388"/>
      <c r="AF17" s="388"/>
      <c r="AG17" s="388"/>
      <c r="AH17" s="388"/>
      <c r="AI17" s="388"/>
      <c r="AJ17" s="388"/>
      <c r="AK17" s="388"/>
      <c r="AL17" s="388"/>
      <c r="AM17" s="388"/>
      <c r="AN17" s="388"/>
      <c r="AO17" s="395"/>
      <c r="AP17" s="395"/>
      <c r="AQ17" s="396"/>
    </row>
    <row r="18" spans="1:43" x14ac:dyDescent="0.25">
      <c r="A18" s="2072"/>
      <c r="B18" s="2073"/>
      <c r="C18" s="2074"/>
      <c r="D18" s="2075"/>
      <c r="E18" s="2076"/>
      <c r="F18" s="2077"/>
      <c r="G18" s="398">
        <v>89</v>
      </c>
      <c r="H18" s="399" t="s">
        <v>259</v>
      </c>
      <c r="I18" s="399"/>
      <c r="J18" s="400"/>
      <c r="K18" s="400"/>
      <c r="L18" s="400"/>
      <c r="M18" s="400"/>
      <c r="N18" s="400"/>
      <c r="O18" s="400"/>
      <c r="P18" s="400"/>
      <c r="Q18" s="401"/>
      <c r="R18" s="402"/>
      <c r="S18" s="400"/>
      <c r="T18" s="400"/>
      <c r="U18" s="400"/>
      <c r="V18" s="403"/>
      <c r="W18" s="404"/>
      <c r="X18" s="405"/>
      <c r="Y18" s="399"/>
      <c r="Z18" s="399"/>
      <c r="AA18" s="399"/>
      <c r="AB18" s="399"/>
      <c r="AC18" s="399"/>
      <c r="AD18" s="399"/>
      <c r="AE18" s="399"/>
      <c r="AF18" s="399"/>
      <c r="AG18" s="399"/>
      <c r="AH18" s="399"/>
      <c r="AI18" s="399"/>
      <c r="AJ18" s="399"/>
      <c r="AK18" s="399"/>
      <c r="AL18" s="399"/>
      <c r="AM18" s="399"/>
      <c r="AN18" s="399"/>
      <c r="AO18" s="406"/>
      <c r="AP18" s="406"/>
      <c r="AQ18" s="407"/>
    </row>
    <row r="19" spans="1:43" ht="72.75" customHeight="1" x14ac:dyDescent="0.25">
      <c r="A19" s="2072"/>
      <c r="B19" s="2073"/>
      <c r="C19" s="2074"/>
      <c r="D19" s="2078"/>
      <c r="E19" s="2079"/>
      <c r="F19" s="2080"/>
      <c r="G19" s="2081"/>
      <c r="H19" s="2082"/>
      <c r="I19" s="2055"/>
      <c r="J19" s="2086">
        <v>282</v>
      </c>
      <c r="K19" s="2088" t="s">
        <v>260</v>
      </c>
      <c r="L19" s="2088" t="s">
        <v>261</v>
      </c>
      <c r="M19" s="2086">
        <v>2</v>
      </c>
      <c r="N19" s="2086" t="s">
        <v>262</v>
      </c>
      <c r="O19" s="2086" t="s">
        <v>263</v>
      </c>
      <c r="P19" s="2098" t="s">
        <v>264</v>
      </c>
      <c r="Q19" s="2100">
        <v>1</v>
      </c>
      <c r="R19" s="2102">
        <f>V19+V20</f>
        <v>110000000</v>
      </c>
      <c r="S19" s="2104" t="s">
        <v>265</v>
      </c>
      <c r="T19" s="2104" t="s">
        <v>266</v>
      </c>
      <c r="U19" s="410" t="s">
        <v>267</v>
      </c>
      <c r="V19" s="411">
        <f>80000000-5000000</f>
        <v>75000000</v>
      </c>
      <c r="W19" s="412">
        <v>20</v>
      </c>
      <c r="X19" s="413" t="s">
        <v>268</v>
      </c>
      <c r="Y19" s="2044">
        <v>292684</v>
      </c>
      <c r="Z19" s="2044">
        <v>282326</v>
      </c>
      <c r="AA19" s="2044">
        <v>135912</v>
      </c>
      <c r="AB19" s="2044">
        <v>45122</v>
      </c>
      <c r="AC19" s="2044">
        <v>307101</v>
      </c>
      <c r="AD19" s="2044">
        <v>86875</v>
      </c>
      <c r="AE19" s="2044">
        <v>2145</v>
      </c>
      <c r="AF19" s="2044">
        <v>12718</v>
      </c>
      <c r="AG19" s="2044">
        <v>26</v>
      </c>
      <c r="AH19" s="2044">
        <v>37</v>
      </c>
      <c r="AI19" s="2044">
        <v>0</v>
      </c>
      <c r="AJ19" s="2044">
        <v>0</v>
      </c>
      <c r="AK19" s="2044">
        <v>53164</v>
      </c>
      <c r="AL19" s="2044">
        <v>16982</v>
      </c>
      <c r="AM19" s="2044">
        <v>60013</v>
      </c>
      <c r="AN19" s="2044">
        <v>575010</v>
      </c>
      <c r="AO19" s="2046">
        <v>43101</v>
      </c>
      <c r="AP19" s="2046">
        <v>43465</v>
      </c>
      <c r="AQ19" s="2090" t="s">
        <v>269</v>
      </c>
    </row>
    <row r="20" spans="1:43" ht="72.75" customHeight="1" x14ac:dyDescent="0.25">
      <c r="A20" s="2072"/>
      <c r="B20" s="2073"/>
      <c r="C20" s="2074"/>
      <c r="D20" s="2078"/>
      <c r="E20" s="2079"/>
      <c r="F20" s="2080"/>
      <c r="G20" s="2083"/>
      <c r="H20" s="2084"/>
      <c r="I20" s="2085"/>
      <c r="J20" s="2087"/>
      <c r="K20" s="2089"/>
      <c r="L20" s="2089"/>
      <c r="M20" s="2087"/>
      <c r="N20" s="2087"/>
      <c r="O20" s="2087"/>
      <c r="P20" s="2099"/>
      <c r="Q20" s="2101"/>
      <c r="R20" s="2103"/>
      <c r="S20" s="2105"/>
      <c r="T20" s="2105"/>
      <c r="U20" s="410" t="s">
        <v>270</v>
      </c>
      <c r="V20" s="411">
        <f>30000000+5000000</f>
        <v>35000000</v>
      </c>
      <c r="W20" s="416">
        <v>88</v>
      </c>
      <c r="X20" s="417" t="s">
        <v>271</v>
      </c>
      <c r="Y20" s="2068"/>
      <c r="Z20" s="2068"/>
      <c r="AA20" s="2068"/>
      <c r="AB20" s="2068"/>
      <c r="AC20" s="2068"/>
      <c r="AD20" s="2068"/>
      <c r="AE20" s="2068"/>
      <c r="AF20" s="2068"/>
      <c r="AG20" s="2068"/>
      <c r="AH20" s="2068"/>
      <c r="AI20" s="2068"/>
      <c r="AJ20" s="2068"/>
      <c r="AK20" s="2068"/>
      <c r="AL20" s="2068"/>
      <c r="AM20" s="2068"/>
      <c r="AN20" s="2068"/>
      <c r="AO20" s="2067"/>
      <c r="AP20" s="2067"/>
      <c r="AQ20" s="2091"/>
    </row>
    <row r="21" spans="1:43" s="423" customFormat="1" ht="120" x14ac:dyDescent="0.25">
      <c r="A21" s="2072"/>
      <c r="B21" s="2073"/>
      <c r="C21" s="2074"/>
      <c r="D21" s="2078"/>
      <c r="E21" s="2079"/>
      <c r="F21" s="2080"/>
      <c r="G21" s="2083"/>
      <c r="H21" s="2084"/>
      <c r="I21" s="2085"/>
      <c r="J21" s="2065">
        <v>283</v>
      </c>
      <c r="K21" s="2049" t="s">
        <v>272</v>
      </c>
      <c r="L21" s="2049" t="s">
        <v>273</v>
      </c>
      <c r="M21" s="2065">
        <v>1</v>
      </c>
      <c r="N21" s="418"/>
      <c r="O21" s="2065" t="s">
        <v>274</v>
      </c>
      <c r="P21" s="2049" t="s">
        <v>275</v>
      </c>
      <c r="Q21" s="2066">
        <v>1</v>
      </c>
      <c r="R21" s="2063">
        <f>SUM(V21:V23)</f>
        <v>85000000</v>
      </c>
      <c r="S21" s="2049" t="s">
        <v>276</v>
      </c>
      <c r="T21" s="419" t="s">
        <v>277</v>
      </c>
      <c r="U21" s="410" t="s">
        <v>278</v>
      </c>
      <c r="V21" s="420">
        <f>26250000+50000000</f>
        <v>76250000</v>
      </c>
      <c r="W21" s="421">
        <v>20</v>
      </c>
      <c r="X21" s="422" t="s">
        <v>61</v>
      </c>
      <c r="Y21" s="2062">
        <v>850</v>
      </c>
      <c r="Z21" s="2062">
        <v>550</v>
      </c>
      <c r="AA21" s="2062">
        <v>400</v>
      </c>
      <c r="AB21" s="2062">
        <v>0</v>
      </c>
      <c r="AC21" s="2062">
        <v>950</v>
      </c>
      <c r="AD21" s="2062">
        <v>50</v>
      </c>
      <c r="AE21" s="2062">
        <v>0</v>
      </c>
      <c r="AF21" s="2062">
        <v>30</v>
      </c>
      <c r="AG21" s="2062">
        <v>0</v>
      </c>
      <c r="AH21" s="2062">
        <v>0</v>
      </c>
      <c r="AI21" s="2062">
        <v>0</v>
      </c>
      <c r="AJ21" s="2062">
        <v>0</v>
      </c>
      <c r="AK21" s="2062">
        <v>0</v>
      </c>
      <c r="AL21" s="2062">
        <v>0</v>
      </c>
      <c r="AM21" s="2062">
        <v>0</v>
      </c>
      <c r="AN21" s="2062">
        <v>1400</v>
      </c>
      <c r="AO21" s="2053">
        <v>43101</v>
      </c>
      <c r="AP21" s="2053">
        <v>43465</v>
      </c>
      <c r="AQ21" s="2042" t="s">
        <v>279</v>
      </c>
    </row>
    <row r="22" spans="1:43" s="423" customFormat="1" ht="105" x14ac:dyDescent="0.25">
      <c r="A22" s="2072"/>
      <c r="B22" s="2073"/>
      <c r="C22" s="2074"/>
      <c r="D22" s="2078"/>
      <c r="E22" s="2079"/>
      <c r="F22" s="2080"/>
      <c r="G22" s="2083"/>
      <c r="H22" s="2084"/>
      <c r="I22" s="2085"/>
      <c r="J22" s="2065"/>
      <c r="K22" s="2049"/>
      <c r="L22" s="2049"/>
      <c r="M22" s="2065"/>
      <c r="N22" s="424" t="s">
        <v>280</v>
      </c>
      <c r="O22" s="2065"/>
      <c r="P22" s="2049"/>
      <c r="Q22" s="2066"/>
      <c r="R22" s="2063"/>
      <c r="S22" s="2049"/>
      <c r="T22" s="410" t="s">
        <v>281</v>
      </c>
      <c r="U22" s="410" t="s">
        <v>282</v>
      </c>
      <c r="V22" s="420">
        <v>7000000</v>
      </c>
      <c r="W22" s="425">
        <v>88</v>
      </c>
      <c r="X22" s="422" t="s">
        <v>283</v>
      </c>
      <c r="Y22" s="2062"/>
      <c r="Z22" s="2062"/>
      <c r="AA22" s="2062"/>
      <c r="AB22" s="2062"/>
      <c r="AC22" s="2062"/>
      <c r="AD22" s="2062"/>
      <c r="AE22" s="2062"/>
      <c r="AF22" s="2062"/>
      <c r="AG22" s="2062"/>
      <c r="AH22" s="2062"/>
      <c r="AI22" s="2062"/>
      <c r="AJ22" s="2062"/>
      <c r="AK22" s="2062"/>
      <c r="AL22" s="2062"/>
      <c r="AM22" s="2062"/>
      <c r="AN22" s="2062"/>
      <c r="AO22" s="2053"/>
      <c r="AP22" s="2053"/>
      <c r="AQ22" s="2042"/>
    </row>
    <row r="23" spans="1:43" s="423" customFormat="1" ht="101.25" customHeight="1" x14ac:dyDescent="0.25">
      <c r="A23" s="2072"/>
      <c r="B23" s="2073"/>
      <c r="C23" s="2074"/>
      <c r="D23" s="2078"/>
      <c r="E23" s="2079"/>
      <c r="F23" s="2080"/>
      <c r="G23" s="2083"/>
      <c r="H23" s="2084"/>
      <c r="I23" s="2085"/>
      <c r="J23" s="2065"/>
      <c r="K23" s="2049"/>
      <c r="L23" s="2049"/>
      <c r="M23" s="2065"/>
      <c r="N23" s="426" t="s">
        <v>284</v>
      </c>
      <c r="O23" s="2065"/>
      <c r="P23" s="2049"/>
      <c r="Q23" s="2066"/>
      <c r="R23" s="2063"/>
      <c r="S23" s="2049"/>
      <c r="T23" s="410" t="s">
        <v>285</v>
      </c>
      <c r="U23" s="410" t="s">
        <v>286</v>
      </c>
      <c r="V23" s="420">
        <v>1750000</v>
      </c>
      <c r="W23" s="427"/>
      <c r="X23" s="429"/>
      <c r="Y23" s="2062"/>
      <c r="Z23" s="2062"/>
      <c r="AA23" s="2062"/>
      <c r="AB23" s="2062"/>
      <c r="AC23" s="2062"/>
      <c r="AD23" s="2062"/>
      <c r="AE23" s="2062"/>
      <c r="AF23" s="2062"/>
      <c r="AG23" s="2062"/>
      <c r="AH23" s="2062"/>
      <c r="AI23" s="2062"/>
      <c r="AJ23" s="2062"/>
      <c r="AK23" s="2062"/>
      <c r="AL23" s="2062"/>
      <c r="AM23" s="2062"/>
      <c r="AN23" s="2062"/>
      <c r="AO23" s="2053"/>
      <c r="AP23" s="2053"/>
      <c r="AQ23" s="2042"/>
    </row>
    <row r="24" spans="1:43" s="423" customFormat="1" ht="122.25" customHeight="1" x14ac:dyDescent="0.25">
      <c r="A24" s="2072"/>
      <c r="B24" s="2073"/>
      <c r="C24" s="2074"/>
      <c r="D24" s="2078"/>
      <c r="E24" s="2079"/>
      <c r="F24" s="2080"/>
      <c r="G24" s="2083"/>
      <c r="H24" s="2084"/>
      <c r="I24" s="2085"/>
      <c r="J24" s="2047">
        <v>284</v>
      </c>
      <c r="K24" s="2048" t="s">
        <v>287</v>
      </c>
      <c r="L24" s="2049" t="s">
        <v>288</v>
      </c>
      <c r="M24" s="2065">
        <v>1</v>
      </c>
      <c r="N24" s="418" t="s">
        <v>289</v>
      </c>
      <c r="O24" s="2065" t="s">
        <v>290</v>
      </c>
      <c r="P24" s="2049" t="s">
        <v>291</v>
      </c>
      <c r="Q24" s="2066">
        <v>1</v>
      </c>
      <c r="R24" s="2063">
        <f>SUM(V24:V25)</f>
        <v>173000000</v>
      </c>
      <c r="S24" s="2049" t="s">
        <v>292</v>
      </c>
      <c r="T24" s="428" t="s">
        <v>265</v>
      </c>
      <c r="U24" s="260" t="s">
        <v>293</v>
      </c>
      <c r="V24" s="411">
        <f>73000000+90000000</f>
        <v>163000000</v>
      </c>
      <c r="W24" s="421">
        <v>20</v>
      </c>
      <c r="X24" s="678" t="s">
        <v>294</v>
      </c>
      <c r="Y24" s="2064">
        <v>292684</v>
      </c>
      <c r="Z24" s="2062">
        <v>282326</v>
      </c>
      <c r="AA24" s="2062">
        <v>135912</v>
      </c>
      <c r="AB24" s="2062">
        <v>45122</v>
      </c>
      <c r="AC24" s="2062">
        <v>307101</v>
      </c>
      <c r="AD24" s="2062">
        <v>86875</v>
      </c>
      <c r="AE24" s="2062">
        <v>2145</v>
      </c>
      <c r="AF24" s="2062">
        <v>12718</v>
      </c>
      <c r="AG24" s="2062">
        <v>26</v>
      </c>
      <c r="AH24" s="2062">
        <v>37</v>
      </c>
      <c r="AI24" s="2062">
        <v>0</v>
      </c>
      <c r="AJ24" s="2062">
        <v>0</v>
      </c>
      <c r="AK24" s="2062">
        <v>53164</v>
      </c>
      <c r="AL24" s="2062">
        <v>16982</v>
      </c>
      <c r="AM24" s="2062">
        <v>60013</v>
      </c>
      <c r="AN24" s="2062">
        <v>575010</v>
      </c>
      <c r="AO24" s="2053">
        <v>43101</v>
      </c>
      <c r="AP24" s="2053">
        <v>43465</v>
      </c>
      <c r="AQ24" s="2042" t="s">
        <v>295</v>
      </c>
    </row>
    <row r="25" spans="1:43" s="423" customFormat="1" ht="135" x14ac:dyDescent="0.25">
      <c r="A25" s="2072"/>
      <c r="B25" s="2073"/>
      <c r="C25" s="2074"/>
      <c r="D25" s="2078"/>
      <c r="E25" s="2079"/>
      <c r="F25" s="2080"/>
      <c r="G25" s="2083"/>
      <c r="H25" s="2084"/>
      <c r="I25" s="2085"/>
      <c r="J25" s="2047"/>
      <c r="K25" s="2048"/>
      <c r="L25" s="2049"/>
      <c r="M25" s="2065"/>
      <c r="N25" s="430" t="s">
        <v>289</v>
      </c>
      <c r="O25" s="2065"/>
      <c r="P25" s="2049"/>
      <c r="Q25" s="2066"/>
      <c r="R25" s="2063"/>
      <c r="S25" s="2049"/>
      <c r="T25" s="431" t="s">
        <v>296</v>
      </c>
      <c r="U25" s="260" t="s">
        <v>297</v>
      </c>
      <c r="V25" s="411">
        <v>10000000</v>
      </c>
      <c r="W25" s="427">
        <v>88</v>
      </c>
      <c r="X25" s="679" t="s">
        <v>191</v>
      </c>
      <c r="Y25" s="2064"/>
      <c r="Z25" s="2062"/>
      <c r="AA25" s="2062"/>
      <c r="AB25" s="2062"/>
      <c r="AC25" s="2062"/>
      <c r="AD25" s="2062"/>
      <c r="AE25" s="2062"/>
      <c r="AF25" s="2062"/>
      <c r="AG25" s="2062"/>
      <c r="AH25" s="2062"/>
      <c r="AI25" s="2062"/>
      <c r="AJ25" s="2062"/>
      <c r="AK25" s="2062"/>
      <c r="AL25" s="2062"/>
      <c r="AM25" s="2062"/>
      <c r="AN25" s="2062"/>
      <c r="AO25" s="2053"/>
      <c r="AP25" s="2053"/>
      <c r="AQ25" s="2042"/>
    </row>
    <row r="26" spans="1:43" s="423" customFormat="1" ht="120" x14ac:dyDescent="0.25">
      <c r="A26" s="2072"/>
      <c r="B26" s="2073"/>
      <c r="C26" s="2074"/>
      <c r="D26" s="2078"/>
      <c r="E26" s="2079"/>
      <c r="F26" s="2080"/>
      <c r="G26" s="2083"/>
      <c r="H26" s="2084"/>
      <c r="I26" s="2085"/>
      <c r="J26" s="222">
        <v>285</v>
      </c>
      <c r="K26" s="260" t="s">
        <v>298</v>
      </c>
      <c r="L26" s="410" t="s">
        <v>299</v>
      </c>
      <c r="M26" s="432">
        <v>1</v>
      </c>
      <c r="N26" s="433" t="s">
        <v>300</v>
      </c>
      <c r="O26" s="432" t="s">
        <v>301</v>
      </c>
      <c r="P26" s="410" t="s">
        <v>302</v>
      </c>
      <c r="Q26" s="434">
        <v>1</v>
      </c>
      <c r="R26" s="435">
        <f>V26</f>
        <v>210000000</v>
      </c>
      <c r="S26" s="260" t="s">
        <v>303</v>
      </c>
      <c r="T26" s="260" t="s">
        <v>304</v>
      </c>
      <c r="U26" s="260" t="s">
        <v>305</v>
      </c>
      <c r="V26" s="420">
        <f>70000000+30000000+110000000</f>
        <v>210000000</v>
      </c>
      <c r="W26" s="425" t="s">
        <v>64</v>
      </c>
      <c r="X26" s="429" t="s">
        <v>306</v>
      </c>
      <c r="Y26" s="436">
        <v>292684</v>
      </c>
      <c r="Z26" s="436">
        <v>282326</v>
      </c>
      <c r="AA26" s="436">
        <v>135912</v>
      </c>
      <c r="AB26" s="436">
        <v>45122</v>
      </c>
      <c r="AC26" s="436">
        <v>307101</v>
      </c>
      <c r="AD26" s="436">
        <v>86875</v>
      </c>
      <c r="AE26" s="436">
        <v>2145</v>
      </c>
      <c r="AF26" s="436">
        <v>12718</v>
      </c>
      <c r="AG26" s="436">
        <v>26</v>
      </c>
      <c r="AH26" s="436">
        <v>37</v>
      </c>
      <c r="AI26" s="436">
        <v>0</v>
      </c>
      <c r="AJ26" s="436">
        <v>0</v>
      </c>
      <c r="AK26" s="436">
        <v>53164</v>
      </c>
      <c r="AL26" s="436">
        <v>16982</v>
      </c>
      <c r="AM26" s="436">
        <v>60013</v>
      </c>
      <c r="AN26" s="436">
        <v>575010</v>
      </c>
      <c r="AO26" s="437">
        <v>43101</v>
      </c>
      <c r="AP26" s="437">
        <v>43465</v>
      </c>
      <c r="AQ26" s="438" t="s">
        <v>295</v>
      </c>
    </row>
    <row r="27" spans="1:43" s="423" customFormat="1" ht="105" x14ac:dyDescent="0.25">
      <c r="A27" s="2072"/>
      <c r="B27" s="2073"/>
      <c r="C27" s="2074"/>
      <c r="D27" s="2078"/>
      <c r="E27" s="2079"/>
      <c r="F27" s="2080"/>
      <c r="G27" s="2083"/>
      <c r="H27" s="2084"/>
      <c r="I27" s="2085"/>
      <c r="J27" s="222">
        <v>280</v>
      </c>
      <c r="K27" s="260" t="s">
        <v>307</v>
      </c>
      <c r="L27" s="410" t="s">
        <v>308</v>
      </c>
      <c r="M27" s="439">
        <v>1</v>
      </c>
      <c r="N27" s="440"/>
      <c r="O27" s="2054" t="s">
        <v>309</v>
      </c>
      <c r="P27" s="2056" t="s">
        <v>310</v>
      </c>
      <c r="Q27" s="441">
        <f>SUM(V27/R27)</f>
        <v>4.5512470416894232E-3</v>
      </c>
      <c r="R27" s="2058">
        <f>SUM(V27:V32)</f>
        <v>5493000000</v>
      </c>
      <c r="S27" s="2056" t="s">
        <v>311</v>
      </c>
      <c r="T27" s="410" t="s">
        <v>312</v>
      </c>
      <c r="U27" s="410" t="s">
        <v>313</v>
      </c>
      <c r="V27" s="411">
        <v>25000000</v>
      </c>
      <c r="W27" s="442"/>
      <c r="X27" s="413"/>
      <c r="Y27" s="2060">
        <v>292684</v>
      </c>
      <c r="Z27" s="2043">
        <v>282326</v>
      </c>
      <c r="AA27" s="2043">
        <v>135912</v>
      </c>
      <c r="AB27" s="2043">
        <v>45122</v>
      </c>
      <c r="AC27" s="2043">
        <v>307101</v>
      </c>
      <c r="AD27" s="2043">
        <v>86875</v>
      </c>
      <c r="AE27" s="2043">
        <v>2145</v>
      </c>
      <c r="AF27" s="2043">
        <v>12718</v>
      </c>
      <c r="AG27" s="2043">
        <v>26</v>
      </c>
      <c r="AH27" s="2043">
        <v>37</v>
      </c>
      <c r="AI27" s="2043">
        <v>0</v>
      </c>
      <c r="AJ27" s="2043">
        <v>0</v>
      </c>
      <c r="AK27" s="2043">
        <v>53164</v>
      </c>
      <c r="AL27" s="2043">
        <v>16982</v>
      </c>
      <c r="AM27" s="2043">
        <v>60013</v>
      </c>
      <c r="AN27" s="2043">
        <v>575010</v>
      </c>
      <c r="AO27" s="2045">
        <v>43101</v>
      </c>
      <c r="AP27" s="2045">
        <v>43465</v>
      </c>
      <c r="AQ27" s="438" t="s">
        <v>314</v>
      </c>
    </row>
    <row r="28" spans="1:43" s="423" customFormat="1" ht="75" customHeight="1" x14ac:dyDescent="0.25">
      <c r="A28" s="2072"/>
      <c r="B28" s="2073"/>
      <c r="C28" s="2074"/>
      <c r="D28" s="2078"/>
      <c r="E28" s="2079"/>
      <c r="F28" s="2080"/>
      <c r="G28" s="2083"/>
      <c r="H28" s="2084"/>
      <c r="I28" s="2085"/>
      <c r="J28" s="2047">
        <v>281</v>
      </c>
      <c r="K28" s="2048" t="s">
        <v>315</v>
      </c>
      <c r="L28" s="2049" t="s">
        <v>316</v>
      </c>
      <c r="M28" s="2050">
        <v>1</v>
      </c>
      <c r="N28" s="443"/>
      <c r="O28" s="2054"/>
      <c r="P28" s="2056"/>
      <c r="Q28" s="2051">
        <f>SUM(V28:V29)/R27</f>
        <v>2.4394684143455306E-2</v>
      </c>
      <c r="R28" s="2058"/>
      <c r="S28" s="2056"/>
      <c r="T28" s="2049" t="s">
        <v>317</v>
      </c>
      <c r="U28" s="410" t="s">
        <v>318</v>
      </c>
      <c r="V28" s="411">
        <v>9000000</v>
      </c>
      <c r="W28" s="444">
        <v>20</v>
      </c>
      <c r="X28" s="445" t="s">
        <v>268</v>
      </c>
      <c r="Y28" s="2060"/>
      <c r="Z28" s="2043"/>
      <c r="AA28" s="2043"/>
      <c r="AB28" s="2043"/>
      <c r="AC28" s="2043"/>
      <c r="AD28" s="2043"/>
      <c r="AE28" s="2043"/>
      <c r="AF28" s="2043"/>
      <c r="AG28" s="2043"/>
      <c r="AH28" s="2043"/>
      <c r="AI28" s="2043"/>
      <c r="AJ28" s="2043"/>
      <c r="AK28" s="2043"/>
      <c r="AL28" s="2043"/>
      <c r="AM28" s="2043"/>
      <c r="AN28" s="2043"/>
      <c r="AO28" s="2045"/>
      <c r="AP28" s="2045"/>
      <c r="AQ28" s="2042" t="s">
        <v>319</v>
      </c>
    </row>
    <row r="29" spans="1:43" s="423" customFormat="1" ht="60" x14ac:dyDescent="0.25">
      <c r="A29" s="2072"/>
      <c r="B29" s="2073"/>
      <c r="C29" s="2074"/>
      <c r="D29" s="2078"/>
      <c r="E29" s="2079"/>
      <c r="F29" s="2080"/>
      <c r="G29" s="2083"/>
      <c r="H29" s="2084"/>
      <c r="I29" s="2085"/>
      <c r="J29" s="2047"/>
      <c r="K29" s="2048"/>
      <c r="L29" s="2049"/>
      <c r="M29" s="2050"/>
      <c r="N29" s="443" t="s">
        <v>320</v>
      </c>
      <c r="O29" s="2054"/>
      <c r="P29" s="2056"/>
      <c r="Q29" s="2052"/>
      <c r="R29" s="2058"/>
      <c r="S29" s="2056"/>
      <c r="T29" s="2049"/>
      <c r="U29" s="410" t="s">
        <v>321</v>
      </c>
      <c r="V29" s="411">
        <f>75000000+50000000</f>
        <v>125000000</v>
      </c>
      <c r="W29" s="444">
        <v>88</v>
      </c>
      <c r="X29" s="445" t="s">
        <v>322</v>
      </c>
      <c r="Y29" s="2060"/>
      <c r="Z29" s="2043"/>
      <c r="AA29" s="2043"/>
      <c r="AB29" s="2043"/>
      <c r="AC29" s="2043"/>
      <c r="AD29" s="2043"/>
      <c r="AE29" s="2043"/>
      <c r="AF29" s="2043"/>
      <c r="AG29" s="2043"/>
      <c r="AH29" s="2043"/>
      <c r="AI29" s="2043"/>
      <c r="AJ29" s="2043"/>
      <c r="AK29" s="2043"/>
      <c r="AL29" s="2043"/>
      <c r="AM29" s="2043"/>
      <c r="AN29" s="2043"/>
      <c r="AO29" s="2045"/>
      <c r="AP29" s="2045"/>
      <c r="AQ29" s="2042"/>
    </row>
    <row r="30" spans="1:43" s="423" customFormat="1" ht="96.75" customHeight="1" x14ac:dyDescent="0.25">
      <c r="A30" s="2072"/>
      <c r="B30" s="2073"/>
      <c r="C30" s="2074"/>
      <c r="D30" s="2078"/>
      <c r="E30" s="2079"/>
      <c r="F30" s="2080"/>
      <c r="G30" s="2083"/>
      <c r="H30" s="2084"/>
      <c r="I30" s="2085"/>
      <c r="J30" s="222">
        <v>286</v>
      </c>
      <c r="K30" s="260" t="s">
        <v>323</v>
      </c>
      <c r="L30" s="410" t="s">
        <v>324</v>
      </c>
      <c r="M30" s="439">
        <v>1</v>
      </c>
      <c r="N30" s="443" t="s">
        <v>325</v>
      </c>
      <c r="O30" s="2054"/>
      <c r="P30" s="2056"/>
      <c r="Q30" s="219">
        <f>V30/R27</f>
        <v>3.0038230475150193E-2</v>
      </c>
      <c r="R30" s="2058"/>
      <c r="S30" s="2056"/>
      <c r="T30" s="410" t="s">
        <v>326</v>
      </c>
      <c r="U30" s="410" t="s">
        <v>326</v>
      </c>
      <c r="V30" s="411">
        <f>85000000+80000000</f>
        <v>165000000</v>
      </c>
      <c r="W30" s="444">
        <v>46</v>
      </c>
      <c r="X30" s="445" t="s">
        <v>327</v>
      </c>
      <c r="Y30" s="2060"/>
      <c r="Z30" s="2043"/>
      <c r="AA30" s="2043"/>
      <c r="AB30" s="2043"/>
      <c r="AC30" s="2043"/>
      <c r="AD30" s="2043"/>
      <c r="AE30" s="2043"/>
      <c r="AF30" s="2043"/>
      <c r="AG30" s="2043"/>
      <c r="AH30" s="2043"/>
      <c r="AI30" s="2043"/>
      <c r="AJ30" s="2043"/>
      <c r="AK30" s="2043"/>
      <c r="AL30" s="2043"/>
      <c r="AM30" s="2043"/>
      <c r="AN30" s="2043"/>
      <c r="AO30" s="2045"/>
      <c r="AP30" s="2045"/>
      <c r="AQ30" s="2042" t="s">
        <v>328</v>
      </c>
    </row>
    <row r="31" spans="1:43" s="423" customFormat="1" ht="60" x14ac:dyDescent="0.25">
      <c r="A31" s="2072"/>
      <c r="B31" s="2073"/>
      <c r="C31" s="2074"/>
      <c r="D31" s="2078"/>
      <c r="E31" s="2079"/>
      <c r="F31" s="2080"/>
      <c r="G31" s="2083"/>
      <c r="H31" s="2084"/>
      <c r="I31" s="2085"/>
      <c r="J31" s="222">
        <v>287</v>
      </c>
      <c r="K31" s="260" t="s">
        <v>329</v>
      </c>
      <c r="L31" s="410" t="s">
        <v>330</v>
      </c>
      <c r="M31" s="439">
        <v>1</v>
      </c>
      <c r="N31" s="443" t="s">
        <v>331</v>
      </c>
      <c r="O31" s="2054"/>
      <c r="P31" s="2056"/>
      <c r="Q31" s="219">
        <f>V31/R27</f>
        <v>3.0766430001820499E-2</v>
      </c>
      <c r="R31" s="2058"/>
      <c r="S31" s="2056"/>
      <c r="T31" s="410" t="s">
        <v>332</v>
      </c>
      <c r="U31" s="410" t="s">
        <v>333</v>
      </c>
      <c r="V31" s="411">
        <f>109000000+60000000</f>
        <v>169000000</v>
      </c>
      <c r="W31" s="444"/>
      <c r="X31" s="445"/>
      <c r="Y31" s="2060"/>
      <c r="Z31" s="2043"/>
      <c r="AA31" s="2043"/>
      <c r="AB31" s="2043"/>
      <c r="AC31" s="2043"/>
      <c r="AD31" s="2043"/>
      <c r="AE31" s="2043"/>
      <c r="AF31" s="2043"/>
      <c r="AG31" s="2043"/>
      <c r="AH31" s="2043"/>
      <c r="AI31" s="2043"/>
      <c r="AJ31" s="2043"/>
      <c r="AK31" s="2043"/>
      <c r="AL31" s="2043"/>
      <c r="AM31" s="2043"/>
      <c r="AN31" s="2043"/>
      <c r="AO31" s="2045"/>
      <c r="AP31" s="2045"/>
      <c r="AQ31" s="2042"/>
    </row>
    <row r="32" spans="1:43" s="423" customFormat="1" ht="195.75" thickBot="1" x14ac:dyDescent="0.3">
      <c r="A32" s="2072"/>
      <c r="B32" s="2073"/>
      <c r="C32" s="2074"/>
      <c r="D32" s="2078"/>
      <c r="E32" s="2079"/>
      <c r="F32" s="2080"/>
      <c r="G32" s="2083"/>
      <c r="H32" s="2084"/>
      <c r="I32" s="2085"/>
      <c r="J32" s="422">
        <v>289</v>
      </c>
      <c r="K32" s="433" t="s">
        <v>334</v>
      </c>
      <c r="L32" s="433" t="s">
        <v>335</v>
      </c>
      <c r="M32" s="446">
        <v>1</v>
      </c>
      <c r="N32" s="443"/>
      <c r="O32" s="2055"/>
      <c r="P32" s="2057"/>
      <c r="Q32" s="209">
        <f>V32/R27</f>
        <v>0.91024940833788459</v>
      </c>
      <c r="R32" s="2059"/>
      <c r="S32" s="2057"/>
      <c r="T32" s="433" t="s">
        <v>336</v>
      </c>
      <c r="U32" s="433" t="s">
        <v>337</v>
      </c>
      <c r="V32" s="447">
        <v>5000000000</v>
      </c>
      <c r="W32" s="448"/>
      <c r="X32" s="449"/>
      <c r="Y32" s="2061"/>
      <c r="Z32" s="2044"/>
      <c r="AA32" s="2044"/>
      <c r="AB32" s="2044"/>
      <c r="AC32" s="2044"/>
      <c r="AD32" s="2044"/>
      <c r="AE32" s="2044"/>
      <c r="AF32" s="2044"/>
      <c r="AG32" s="2044"/>
      <c r="AH32" s="2044"/>
      <c r="AI32" s="2044"/>
      <c r="AJ32" s="2044"/>
      <c r="AK32" s="2044"/>
      <c r="AL32" s="2044"/>
      <c r="AM32" s="2044"/>
      <c r="AN32" s="2044"/>
      <c r="AO32" s="2046"/>
      <c r="AP32" s="2046"/>
      <c r="AQ32" s="450" t="s">
        <v>338</v>
      </c>
    </row>
    <row r="33" spans="1:43" ht="16.5" thickBot="1" x14ac:dyDescent="0.3">
      <c r="A33" s="451"/>
      <c r="B33" s="452"/>
      <c r="C33" s="452"/>
      <c r="D33" s="452"/>
      <c r="E33" s="452"/>
      <c r="F33" s="452"/>
      <c r="G33" s="452"/>
      <c r="H33" s="452"/>
      <c r="I33" s="452"/>
      <c r="J33" s="453"/>
      <c r="K33" s="454"/>
      <c r="L33" s="455"/>
      <c r="M33" s="456"/>
      <c r="N33" s="454"/>
      <c r="O33" s="455"/>
      <c r="P33" s="455"/>
      <c r="Q33" s="457"/>
      <c r="R33" s="458">
        <f>R27+R26+R24+R21+R19</f>
        <v>6071000000</v>
      </c>
      <c r="S33" s="459"/>
      <c r="T33" s="454"/>
      <c r="U33" s="460"/>
      <c r="V33" s="461">
        <f>SUM(V19:V32)</f>
        <v>6071000000</v>
      </c>
      <c r="W33" s="462"/>
      <c r="X33" s="463"/>
      <c r="Y33" s="464"/>
      <c r="Z33" s="464"/>
      <c r="AA33" s="464"/>
      <c r="AB33" s="464"/>
      <c r="AC33" s="464"/>
      <c r="AD33" s="464"/>
      <c r="AE33" s="463"/>
      <c r="AF33" s="463"/>
      <c r="AG33" s="463"/>
      <c r="AH33" s="463"/>
      <c r="AI33" s="463"/>
      <c r="AJ33" s="463"/>
      <c r="AK33" s="463"/>
      <c r="AL33" s="463"/>
      <c r="AM33" s="463"/>
      <c r="AN33" s="463"/>
      <c r="AO33" s="465"/>
      <c r="AP33" s="465"/>
      <c r="AQ33" s="466"/>
    </row>
    <row r="34" spans="1:43" ht="33" customHeight="1" x14ac:dyDescent="0.25">
      <c r="A34" s="467"/>
      <c r="B34" s="467"/>
      <c r="C34" s="467"/>
      <c r="D34" s="467"/>
      <c r="E34" s="467"/>
      <c r="F34" s="467"/>
      <c r="G34" s="467"/>
      <c r="H34" s="467"/>
      <c r="I34" s="467"/>
      <c r="J34" s="468"/>
      <c r="K34" s="469"/>
      <c r="L34" s="470"/>
      <c r="M34" s="470"/>
      <c r="N34" s="470"/>
      <c r="O34" s="470"/>
      <c r="P34" s="469"/>
      <c r="Q34" s="471"/>
      <c r="R34" s="472"/>
      <c r="S34" s="469"/>
      <c r="T34" s="469"/>
      <c r="U34" s="469"/>
      <c r="V34" s="473"/>
      <c r="W34" s="474"/>
      <c r="X34" s="475"/>
      <c r="Y34" s="476"/>
      <c r="Z34" s="476"/>
      <c r="AA34" s="476"/>
      <c r="AB34" s="476"/>
      <c r="AC34" s="476"/>
      <c r="AD34" s="476"/>
      <c r="AE34" s="476"/>
      <c r="AF34" s="476"/>
      <c r="AG34" s="476"/>
      <c r="AH34" s="476"/>
      <c r="AI34" s="476"/>
      <c r="AJ34" s="476"/>
      <c r="AK34" s="476"/>
      <c r="AL34" s="476"/>
      <c r="AM34" s="476"/>
      <c r="AN34" s="476"/>
      <c r="AO34" s="476"/>
      <c r="AP34" s="476"/>
      <c r="AQ34" s="476"/>
    </row>
    <row r="35" spans="1:43" x14ac:dyDescent="0.25">
      <c r="A35" s="467"/>
      <c r="B35" s="467"/>
      <c r="C35" s="467"/>
      <c r="D35" s="467"/>
      <c r="E35" s="467"/>
      <c r="F35" s="467"/>
      <c r="G35" s="467"/>
      <c r="H35" s="467"/>
      <c r="I35" s="467"/>
      <c r="J35" s="468"/>
      <c r="K35" s="477"/>
      <c r="L35" s="468"/>
      <c r="M35" s="468"/>
      <c r="N35" s="468"/>
      <c r="O35" s="468"/>
      <c r="P35" s="477"/>
      <c r="Q35" s="478"/>
      <c r="R35" s="479"/>
      <c r="S35" s="477"/>
      <c r="T35" s="477"/>
      <c r="U35" s="477"/>
      <c r="V35" s="476"/>
      <c r="W35" s="480"/>
      <c r="X35" s="481"/>
      <c r="Y35" s="476"/>
      <c r="Z35" s="476"/>
      <c r="AA35" s="476"/>
      <c r="AB35" s="476"/>
      <c r="AC35" s="476"/>
      <c r="AD35" s="476"/>
      <c r="AE35" s="476"/>
      <c r="AF35" s="476"/>
      <c r="AG35" s="476"/>
      <c r="AH35" s="476"/>
      <c r="AI35" s="476"/>
      <c r="AJ35" s="476"/>
      <c r="AK35" s="476"/>
      <c r="AL35" s="476"/>
      <c r="AM35" s="476"/>
      <c r="AN35" s="476"/>
      <c r="AO35" s="476"/>
      <c r="AP35" s="476"/>
      <c r="AQ35" s="476"/>
    </row>
    <row r="36" spans="1:43" x14ac:dyDescent="0.25">
      <c r="A36" s="482"/>
      <c r="B36" s="483" t="s">
        <v>339</v>
      </c>
      <c r="C36" s="483"/>
      <c r="D36" s="483"/>
      <c r="E36" s="483"/>
      <c r="F36" s="484"/>
      <c r="G36" s="467"/>
      <c r="H36" s="467"/>
      <c r="I36" s="467"/>
      <c r="J36" s="468"/>
      <c r="K36" s="477"/>
      <c r="L36" s="468"/>
      <c r="M36" s="468"/>
      <c r="N36" s="468"/>
      <c r="O36" s="468"/>
      <c r="P36" s="477"/>
      <c r="Q36" s="478"/>
      <c r="R36" s="479"/>
      <c r="S36" s="477"/>
      <c r="T36" s="477"/>
      <c r="U36" s="477"/>
      <c r="V36" s="476"/>
      <c r="W36" s="480"/>
      <c r="X36" s="481"/>
      <c r="Y36" s="476"/>
      <c r="Z36" s="476"/>
      <c r="AA36" s="476"/>
      <c r="AB36" s="476"/>
      <c r="AC36" s="476"/>
      <c r="AD36" s="476"/>
      <c r="AE36" s="476"/>
      <c r="AF36" s="476"/>
      <c r="AG36" s="476"/>
      <c r="AH36" s="476"/>
      <c r="AI36" s="476"/>
      <c r="AJ36" s="476"/>
      <c r="AK36" s="476"/>
      <c r="AL36" s="476"/>
      <c r="AM36" s="476"/>
      <c r="AN36" s="476"/>
      <c r="AO36" s="476"/>
      <c r="AP36" s="476"/>
      <c r="AQ36" s="476"/>
    </row>
    <row r="37" spans="1:43" x14ac:dyDescent="0.25">
      <c r="B37" s="485" t="s">
        <v>340</v>
      </c>
    </row>
  </sheetData>
  <sheetProtection password="CBEB" sheet="1" objects="1" scenarios="1"/>
  <mergeCells count="167">
    <mergeCell ref="A1:AO4"/>
    <mergeCell ref="A5:M6"/>
    <mergeCell ref="N5:AQ5"/>
    <mergeCell ref="Y6:AM6"/>
    <mergeCell ref="A7:A15"/>
    <mergeCell ref="B7:C15"/>
    <mergeCell ref="D7:D15"/>
    <mergeCell ref="E7:F15"/>
    <mergeCell ref="G7:G15"/>
    <mergeCell ref="H7:I15"/>
    <mergeCell ref="P7:P15"/>
    <mergeCell ref="Q7:Q15"/>
    <mergeCell ref="R7:R15"/>
    <mergeCell ref="S7:S15"/>
    <mergeCell ref="T7:T15"/>
    <mergeCell ref="U7:U15"/>
    <mergeCell ref="J7:J15"/>
    <mergeCell ref="K7:K15"/>
    <mergeCell ref="L7:L15"/>
    <mergeCell ref="M7:M15"/>
    <mergeCell ref="N7:N15"/>
    <mergeCell ref="O7:O15"/>
    <mergeCell ref="AQ7:AQ15"/>
    <mergeCell ref="W8:W15"/>
    <mergeCell ref="AK8:AK15"/>
    <mergeCell ref="AL8:AL15"/>
    <mergeCell ref="AM8:AM15"/>
    <mergeCell ref="Y8:Y15"/>
    <mergeCell ref="Z8:Z15"/>
    <mergeCell ref="AA8:AA15"/>
    <mergeCell ref="AB8:AB15"/>
    <mergeCell ref="AC8:AC15"/>
    <mergeCell ref="V7:V15"/>
    <mergeCell ref="X7:X15"/>
    <mergeCell ref="Y7:Z7"/>
    <mergeCell ref="AA7:AD7"/>
    <mergeCell ref="AN7:AN15"/>
    <mergeCell ref="AO7:AO15"/>
    <mergeCell ref="AP7:AP15"/>
    <mergeCell ref="M19:M20"/>
    <mergeCell ref="N19:N20"/>
    <mergeCell ref="O19:O20"/>
    <mergeCell ref="P19:P20"/>
    <mergeCell ref="Q19:Q20"/>
    <mergeCell ref="R19:R20"/>
    <mergeCell ref="AF19:AF20"/>
    <mergeCell ref="AG19:AG20"/>
    <mergeCell ref="AH19:AH20"/>
    <mergeCell ref="S19:S20"/>
    <mergeCell ref="T19:T20"/>
    <mergeCell ref="Y19:Y20"/>
    <mergeCell ref="AE7:AJ7"/>
    <mergeCell ref="AK7:AM7"/>
    <mergeCell ref="AD8:AD15"/>
    <mergeCell ref="AE8:AE15"/>
    <mergeCell ref="AF8:AF15"/>
    <mergeCell ref="AG8:AG15"/>
    <mergeCell ref="AH8:AH15"/>
    <mergeCell ref="AI8:AI15"/>
    <mergeCell ref="AJ8:AJ15"/>
    <mergeCell ref="A17:C32"/>
    <mergeCell ref="D18:F32"/>
    <mergeCell ref="G19:I32"/>
    <mergeCell ref="J19:J20"/>
    <mergeCell ref="K19:K20"/>
    <mergeCell ref="L19:L20"/>
    <mergeCell ref="AP19:AP20"/>
    <mergeCell ref="AQ19:AQ20"/>
    <mergeCell ref="J21:J23"/>
    <mergeCell ref="K21:K23"/>
    <mergeCell ref="L21:L23"/>
    <mergeCell ref="M21:M23"/>
    <mergeCell ref="O21:O23"/>
    <mergeCell ref="P21:P23"/>
    <mergeCell ref="Q21:Q23"/>
    <mergeCell ref="AI19:AI20"/>
    <mergeCell ref="AJ19:AJ20"/>
    <mergeCell ref="AK19:AK20"/>
    <mergeCell ref="AL19:AL20"/>
    <mergeCell ref="AM19:AM20"/>
    <mergeCell ref="AN19:AN20"/>
    <mergeCell ref="AC19:AC20"/>
    <mergeCell ref="AD19:AD20"/>
    <mergeCell ref="AE19:AE20"/>
    <mergeCell ref="AG21:AG23"/>
    <mergeCell ref="AH21:AH23"/>
    <mergeCell ref="R21:R23"/>
    <mergeCell ref="S21:S23"/>
    <mergeCell ref="Y21:Y23"/>
    <mergeCell ref="Z21:Z23"/>
    <mergeCell ref="AA21:AA23"/>
    <mergeCell ref="AB21:AB23"/>
    <mergeCell ref="AO19:AO20"/>
    <mergeCell ref="Z19:Z20"/>
    <mergeCell ref="AA19:AA20"/>
    <mergeCell ref="AB19:AB20"/>
    <mergeCell ref="Y24:Y25"/>
    <mergeCell ref="Z24:Z25"/>
    <mergeCell ref="AA24:AA25"/>
    <mergeCell ref="AB24:AB25"/>
    <mergeCell ref="AO21:AO23"/>
    <mergeCell ref="AP21:AP23"/>
    <mergeCell ref="AQ21:AQ23"/>
    <mergeCell ref="J24:J25"/>
    <mergeCell ref="K24:K25"/>
    <mergeCell ref="L24:L25"/>
    <mergeCell ref="M24:M25"/>
    <mergeCell ref="O24:O25"/>
    <mergeCell ref="P24:P25"/>
    <mergeCell ref="Q24:Q25"/>
    <mergeCell ref="AI21:AI23"/>
    <mergeCell ref="AJ21:AJ23"/>
    <mergeCell ref="AK21:AK23"/>
    <mergeCell ref="AL21:AL23"/>
    <mergeCell ref="AM21:AM23"/>
    <mergeCell ref="AN21:AN23"/>
    <mergeCell ref="AC21:AC23"/>
    <mergeCell ref="AD21:AD23"/>
    <mergeCell ref="AE21:AE23"/>
    <mergeCell ref="AF21:AF23"/>
    <mergeCell ref="AO24:AO25"/>
    <mergeCell ref="AP24:AP25"/>
    <mergeCell ref="AQ24:AQ25"/>
    <mergeCell ref="O27:O32"/>
    <mergeCell ref="P27:P32"/>
    <mergeCell ref="R27:R32"/>
    <mergeCell ref="S27:S32"/>
    <mergeCell ref="Y27:Y32"/>
    <mergeCell ref="Z27:Z32"/>
    <mergeCell ref="AA27:AA32"/>
    <mergeCell ref="AI24:AI25"/>
    <mergeCell ref="AJ24:AJ25"/>
    <mergeCell ref="AK24:AK25"/>
    <mergeCell ref="AL24:AL25"/>
    <mergeCell ref="AM24:AM25"/>
    <mergeCell ref="AN24:AN25"/>
    <mergeCell ref="AC24:AC25"/>
    <mergeCell ref="AD24:AD25"/>
    <mergeCell ref="AE24:AE25"/>
    <mergeCell ref="AF24:AF25"/>
    <mergeCell ref="AG24:AG25"/>
    <mergeCell ref="AH24:AH25"/>
    <mergeCell ref="R24:R25"/>
    <mergeCell ref="S24:S25"/>
    <mergeCell ref="AQ28:AQ29"/>
    <mergeCell ref="AQ30:AQ31"/>
    <mergeCell ref="AN27:AN32"/>
    <mergeCell ref="AO27:AO32"/>
    <mergeCell ref="AP27:AP32"/>
    <mergeCell ref="J28:J29"/>
    <mergeCell ref="K28:K29"/>
    <mergeCell ref="L28:L29"/>
    <mergeCell ref="M28:M29"/>
    <mergeCell ref="Q28:Q29"/>
    <mergeCell ref="T28:T29"/>
    <mergeCell ref="AH27:AH32"/>
    <mergeCell ref="AI27:AI32"/>
    <mergeCell ref="AJ27:AJ32"/>
    <mergeCell ref="AK27:AK32"/>
    <mergeCell ref="AL27:AL32"/>
    <mergeCell ref="AM27:AM32"/>
    <mergeCell ref="AB27:AB32"/>
    <mergeCell ref="AC27:AC32"/>
    <mergeCell ref="AD27:AD32"/>
    <mergeCell ref="AE27:AE32"/>
    <mergeCell ref="AF27:AF32"/>
    <mergeCell ref="AG27:AG3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K99"/>
  <sheetViews>
    <sheetView showGridLines="0" topLeftCell="P3" zoomScale="70" zoomScaleNormal="70" zoomScalePageLayoutView="80" workbookViewId="0">
      <selection sqref="A1:AO4"/>
    </sheetView>
  </sheetViews>
  <sheetFormatPr baseColWidth="10" defaultColWidth="11.42578125" defaultRowHeight="14.25" customHeight="1" x14ac:dyDescent="0.25"/>
  <cols>
    <col min="1" max="1" width="13.28515625" style="363" customWidth="1"/>
    <col min="2" max="2" width="2.42578125" style="363" customWidth="1"/>
    <col min="3" max="3" width="20" style="363" customWidth="1"/>
    <col min="4" max="4" width="14.140625" style="363" customWidth="1"/>
    <col min="5" max="5" width="10" style="363" customWidth="1"/>
    <col min="6" max="6" width="9.85546875" style="363" customWidth="1"/>
    <col min="7" max="7" width="14" style="363" customWidth="1"/>
    <col min="8" max="8" width="11.42578125" style="363"/>
    <col min="9" max="9" width="13.140625" style="363" customWidth="1"/>
    <col min="10" max="10" width="15" style="363" customWidth="1"/>
    <col min="11" max="11" width="50.42578125" style="486" customWidth="1"/>
    <col min="12" max="12" width="36.28515625" style="486" customWidth="1"/>
    <col min="13" max="13" width="26.5703125" style="363" customWidth="1"/>
    <col min="14" max="14" width="32.85546875" style="1771" customWidth="1"/>
    <col min="15" max="15" width="28.42578125" style="363" customWidth="1"/>
    <col min="16" max="16" width="35" style="486" customWidth="1"/>
    <col min="17" max="17" width="15.42578125" style="363" customWidth="1"/>
    <col min="18" max="18" width="30.42578125" style="363" bestFit="1" customWidth="1"/>
    <col min="19" max="19" width="34.85546875" style="486" customWidth="1"/>
    <col min="20" max="20" width="41" style="486" customWidth="1"/>
    <col min="21" max="21" width="42.7109375" style="486" customWidth="1"/>
    <col min="22" max="22" width="31.7109375" style="363" customWidth="1"/>
    <col min="23" max="23" width="16.85546875" style="363" customWidth="1"/>
    <col min="24" max="24" width="33" style="363" customWidth="1"/>
    <col min="25" max="25" width="11.28515625" style="363" bestFit="1" customWidth="1"/>
    <col min="26" max="26" width="11.7109375" style="363" bestFit="1" customWidth="1"/>
    <col min="27" max="27" width="11.5703125" style="363" customWidth="1"/>
    <col min="28" max="28" width="11.140625" style="363" customWidth="1"/>
    <col min="29" max="29" width="14.140625" style="363" bestFit="1" customWidth="1"/>
    <col min="30" max="30" width="11.5703125" style="363" customWidth="1"/>
    <col min="31" max="31" width="6.85546875" style="363" customWidth="1"/>
    <col min="32" max="32" width="8.5703125" style="363" customWidth="1"/>
    <col min="33" max="33" width="7.42578125" style="363" customWidth="1"/>
    <col min="34" max="34" width="6.140625" style="363" customWidth="1"/>
    <col min="35" max="35" width="9.7109375" style="363" customWidth="1"/>
    <col min="36" max="36" width="9.140625" style="363" customWidth="1"/>
    <col min="37" max="37" width="8.140625" style="363" customWidth="1"/>
    <col min="38" max="38" width="7.5703125" style="363" customWidth="1"/>
    <col min="39" max="39" width="8.42578125" style="363" customWidth="1"/>
    <col min="40" max="40" width="8.5703125" style="363" customWidth="1"/>
    <col min="41" max="41" width="16.7109375" style="363" customWidth="1"/>
    <col min="42" max="42" width="22.5703125" style="363" customWidth="1"/>
    <col min="43" max="43" width="26.42578125" style="486" customWidth="1"/>
    <col min="44" max="16384" width="11.42578125" style="363"/>
  </cols>
  <sheetData>
    <row r="1" spans="1:63" s="485" customFormat="1" ht="25.5" customHeight="1" x14ac:dyDescent="0.2">
      <c r="A1" s="2153" t="s">
        <v>2516</v>
      </c>
      <c r="B1" s="2154"/>
      <c r="C1" s="2154"/>
      <c r="D1" s="2154"/>
      <c r="E1" s="2154"/>
      <c r="F1" s="2154"/>
      <c r="G1" s="2154"/>
      <c r="H1" s="2154"/>
      <c r="I1" s="2154"/>
      <c r="J1" s="2154"/>
      <c r="K1" s="2154"/>
      <c r="L1" s="2154"/>
      <c r="M1" s="2154"/>
      <c r="N1" s="2154"/>
      <c r="O1" s="2154"/>
      <c r="P1" s="2154"/>
      <c r="Q1" s="2154"/>
      <c r="R1" s="2154"/>
      <c r="S1" s="2154"/>
      <c r="T1" s="2154"/>
      <c r="U1" s="2154"/>
      <c r="V1" s="2154"/>
      <c r="W1" s="2154"/>
      <c r="X1" s="2154"/>
      <c r="Y1" s="2154"/>
      <c r="Z1" s="2154"/>
      <c r="AA1" s="2154"/>
      <c r="AB1" s="2154"/>
      <c r="AC1" s="2154"/>
      <c r="AD1" s="2154"/>
      <c r="AE1" s="2154"/>
      <c r="AF1" s="2154"/>
      <c r="AG1" s="2154"/>
      <c r="AH1" s="2154"/>
      <c r="AI1" s="2154"/>
      <c r="AJ1" s="2154"/>
      <c r="AK1" s="2154"/>
      <c r="AL1" s="2154"/>
      <c r="AM1" s="2154"/>
      <c r="AN1" s="2154"/>
      <c r="AO1" s="2155"/>
      <c r="AP1" s="738" t="s">
        <v>0</v>
      </c>
      <c r="AQ1" s="1793" t="s">
        <v>1</v>
      </c>
      <c r="AR1" s="467"/>
      <c r="AS1" s="467"/>
      <c r="AT1" s="467"/>
      <c r="AU1" s="467"/>
      <c r="AV1" s="467"/>
      <c r="AW1" s="467"/>
      <c r="AX1" s="467"/>
      <c r="AY1" s="467"/>
      <c r="AZ1" s="467"/>
      <c r="BA1" s="467"/>
      <c r="BB1" s="467"/>
      <c r="BC1" s="467"/>
      <c r="BD1" s="467"/>
      <c r="BE1" s="467"/>
      <c r="BF1" s="467"/>
      <c r="BG1" s="467"/>
      <c r="BH1" s="467"/>
      <c r="BI1" s="467"/>
      <c r="BJ1" s="467"/>
      <c r="BK1" s="467"/>
    </row>
    <row r="2" spans="1:63" s="485" customFormat="1" ht="25.5" customHeight="1" x14ac:dyDescent="0.2">
      <c r="A2" s="2156"/>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c r="AC2" s="2124"/>
      <c r="AD2" s="2124"/>
      <c r="AE2" s="2124"/>
      <c r="AF2" s="2124"/>
      <c r="AG2" s="2124"/>
      <c r="AH2" s="2124"/>
      <c r="AI2" s="2124"/>
      <c r="AJ2" s="2124"/>
      <c r="AK2" s="2124"/>
      <c r="AL2" s="2124"/>
      <c r="AM2" s="2124"/>
      <c r="AN2" s="2124"/>
      <c r="AO2" s="2125"/>
      <c r="AP2" s="364" t="s">
        <v>2</v>
      </c>
      <c r="AQ2" s="1794" t="s">
        <v>3</v>
      </c>
      <c r="AR2" s="467"/>
      <c r="AS2" s="467"/>
      <c r="AT2" s="467"/>
      <c r="AU2" s="467"/>
      <c r="AV2" s="467"/>
      <c r="AW2" s="467"/>
      <c r="AX2" s="467"/>
      <c r="AY2" s="467"/>
      <c r="AZ2" s="467"/>
      <c r="BA2" s="467"/>
      <c r="BB2" s="467"/>
      <c r="BC2" s="467"/>
      <c r="BD2" s="467"/>
      <c r="BE2" s="467"/>
      <c r="BF2" s="467"/>
      <c r="BG2" s="467"/>
      <c r="BH2" s="467"/>
      <c r="BI2" s="467"/>
      <c r="BJ2" s="467"/>
      <c r="BK2" s="467"/>
    </row>
    <row r="3" spans="1:63" s="485" customFormat="1" ht="25.5" customHeight="1" x14ac:dyDescent="0.2">
      <c r="A3" s="2156"/>
      <c r="B3" s="2124"/>
      <c r="C3" s="2124"/>
      <c r="D3" s="2124"/>
      <c r="E3" s="2124"/>
      <c r="F3" s="2124"/>
      <c r="G3" s="2124"/>
      <c r="H3" s="2124"/>
      <c r="I3" s="2124"/>
      <c r="J3" s="2124"/>
      <c r="K3" s="2124"/>
      <c r="L3" s="2124"/>
      <c r="M3" s="2124"/>
      <c r="N3" s="2124"/>
      <c r="O3" s="2124"/>
      <c r="P3" s="2124"/>
      <c r="Q3" s="2124"/>
      <c r="R3" s="2124"/>
      <c r="S3" s="2124"/>
      <c r="T3" s="2124"/>
      <c r="U3" s="2124"/>
      <c r="V3" s="2124"/>
      <c r="W3" s="2124"/>
      <c r="X3" s="2124"/>
      <c r="Y3" s="2124"/>
      <c r="Z3" s="2124"/>
      <c r="AA3" s="2124"/>
      <c r="AB3" s="2124"/>
      <c r="AC3" s="2124"/>
      <c r="AD3" s="2124"/>
      <c r="AE3" s="2124"/>
      <c r="AF3" s="2124"/>
      <c r="AG3" s="2124"/>
      <c r="AH3" s="2124"/>
      <c r="AI3" s="2124"/>
      <c r="AJ3" s="2124"/>
      <c r="AK3" s="2124"/>
      <c r="AL3" s="2124"/>
      <c r="AM3" s="2124"/>
      <c r="AN3" s="2124"/>
      <c r="AO3" s="2125"/>
      <c r="AP3" s="362" t="s">
        <v>4</v>
      </c>
      <c r="AQ3" s="1795" t="s">
        <v>5</v>
      </c>
      <c r="AR3" s="467"/>
      <c r="AS3" s="467"/>
      <c r="AT3" s="467"/>
      <c r="AU3" s="467"/>
      <c r="AV3" s="467"/>
      <c r="AW3" s="467"/>
      <c r="AX3" s="467"/>
      <c r="AY3" s="467"/>
      <c r="AZ3" s="467"/>
      <c r="BA3" s="467"/>
      <c r="BB3" s="467"/>
      <c r="BC3" s="467"/>
      <c r="BD3" s="467"/>
      <c r="BE3" s="467"/>
      <c r="BF3" s="467"/>
      <c r="BG3" s="467"/>
      <c r="BH3" s="467"/>
      <c r="BI3" s="467"/>
      <c r="BJ3" s="467"/>
      <c r="BK3" s="467"/>
    </row>
    <row r="4" spans="1:63" s="485" customFormat="1" ht="25.5" customHeight="1" x14ac:dyDescent="0.2">
      <c r="A4" s="2157"/>
      <c r="B4" s="2126"/>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7"/>
      <c r="AP4" s="362" t="s">
        <v>6</v>
      </c>
      <c r="AQ4" s="1796" t="s">
        <v>7</v>
      </c>
      <c r="AR4" s="467"/>
      <c r="AS4" s="467"/>
      <c r="AT4" s="467"/>
      <c r="AU4" s="467"/>
      <c r="AV4" s="467"/>
      <c r="AW4" s="467"/>
      <c r="AX4" s="467"/>
      <c r="AY4" s="467"/>
      <c r="AZ4" s="467"/>
      <c r="BA4" s="467"/>
      <c r="BB4" s="467"/>
      <c r="BC4" s="467"/>
      <c r="BD4" s="467"/>
      <c r="BE4" s="467"/>
      <c r="BF4" s="467"/>
      <c r="BG4" s="467"/>
      <c r="BH4" s="467"/>
      <c r="BI4" s="467"/>
      <c r="BJ4" s="467"/>
      <c r="BK4" s="467"/>
    </row>
    <row r="5" spans="1:63" s="485" customFormat="1" ht="42" customHeight="1" x14ac:dyDescent="0.2">
      <c r="A5" s="2254" t="s">
        <v>8</v>
      </c>
      <c r="B5" s="2128"/>
      <c r="C5" s="2128"/>
      <c r="D5" s="2128"/>
      <c r="E5" s="2128"/>
      <c r="F5" s="2128"/>
      <c r="G5" s="2128"/>
      <c r="H5" s="2128"/>
      <c r="I5" s="2128"/>
      <c r="J5" s="2128"/>
      <c r="K5" s="2128"/>
      <c r="L5" s="2128"/>
      <c r="M5" s="2128"/>
      <c r="N5" s="2130" t="s">
        <v>9</v>
      </c>
      <c r="O5" s="2130"/>
      <c r="P5" s="2130"/>
      <c r="Q5" s="2130"/>
      <c r="R5" s="2130"/>
      <c r="S5" s="2130"/>
      <c r="T5" s="2130"/>
      <c r="U5" s="2130"/>
      <c r="V5" s="2130"/>
      <c r="W5" s="2130"/>
      <c r="X5" s="2130"/>
      <c r="Y5" s="2130"/>
      <c r="Z5" s="2130"/>
      <c r="AA5" s="2130"/>
      <c r="AB5" s="2130"/>
      <c r="AC5" s="2130"/>
      <c r="AD5" s="2130"/>
      <c r="AE5" s="2130"/>
      <c r="AF5" s="2130"/>
      <c r="AG5" s="2130"/>
      <c r="AH5" s="2130"/>
      <c r="AI5" s="2130"/>
      <c r="AJ5" s="2130"/>
      <c r="AK5" s="2130"/>
      <c r="AL5" s="2130"/>
      <c r="AM5" s="2130"/>
      <c r="AN5" s="2130"/>
      <c r="AO5" s="2130"/>
      <c r="AP5" s="2130"/>
      <c r="AQ5" s="2162"/>
      <c r="AR5" s="467"/>
      <c r="AS5" s="467"/>
      <c r="AT5" s="467"/>
      <c r="AU5" s="467"/>
      <c r="AV5" s="467"/>
      <c r="AW5" s="467"/>
      <c r="AX5" s="467"/>
      <c r="AY5" s="467"/>
      <c r="AZ5" s="467"/>
      <c r="BA5" s="467"/>
      <c r="BB5" s="467"/>
      <c r="BC5" s="467"/>
      <c r="BD5" s="467"/>
      <c r="BE5" s="467"/>
      <c r="BF5" s="467"/>
      <c r="BG5" s="467"/>
      <c r="BH5" s="467"/>
      <c r="BI5" s="467"/>
      <c r="BJ5" s="467"/>
      <c r="BK5" s="467"/>
    </row>
    <row r="6" spans="1:63" s="485" customFormat="1" ht="24" customHeight="1" x14ac:dyDescent="0.2">
      <c r="A6" s="3027"/>
      <c r="B6" s="3028"/>
      <c r="C6" s="3028"/>
      <c r="D6" s="3028"/>
      <c r="E6" s="3028"/>
      <c r="F6" s="3028"/>
      <c r="G6" s="3028"/>
      <c r="H6" s="3028"/>
      <c r="I6" s="3028"/>
      <c r="J6" s="3028"/>
      <c r="K6" s="3028"/>
      <c r="L6" s="3028"/>
      <c r="M6" s="3028"/>
      <c r="N6" s="1797"/>
      <c r="O6" s="1798"/>
      <c r="P6" s="1799"/>
      <c r="Q6" s="1798"/>
      <c r="R6" s="1798"/>
      <c r="S6" s="1799"/>
      <c r="T6" s="1799"/>
      <c r="U6" s="1799"/>
      <c r="V6" s="1798"/>
      <c r="W6" s="1798"/>
      <c r="X6" s="1798"/>
      <c r="Y6" s="3029" t="s">
        <v>10</v>
      </c>
      <c r="Z6" s="3028"/>
      <c r="AA6" s="3028"/>
      <c r="AB6" s="3028"/>
      <c r="AC6" s="3028"/>
      <c r="AD6" s="3028"/>
      <c r="AE6" s="3028"/>
      <c r="AF6" s="3028"/>
      <c r="AG6" s="3028"/>
      <c r="AH6" s="3028"/>
      <c r="AI6" s="3028"/>
      <c r="AJ6" s="3028"/>
      <c r="AK6" s="3028"/>
      <c r="AL6" s="3028"/>
      <c r="AM6" s="3030"/>
      <c r="AN6" s="1777"/>
      <c r="AO6" s="491"/>
      <c r="AP6" s="491"/>
      <c r="AQ6" s="1800"/>
      <c r="AR6" s="467"/>
      <c r="AS6" s="467"/>
      <c r="AT6" s="467"/>
      <c r="AU6" s="467"/>
      <c r="AV6" s="467"/>
      <c r="AW6" s="467"/>
      <c r="AX6" s="467"/>
      <c r="AY6" s="467"/>
      <c r="AZ6" s="467"/>
      <c r="BA6" s="467"/>
      <c r="BB6" s="467"/>
      <c r="BC6" s="467"/>
      <c r="BD6" s="467"/>
      <c r="BE6" s="467"/>
      <c r="BF6" s="467"/>
      <c r="BG6" s="467"/>
      <c r="BH6" s="467"/>
      <c r="BI6" s="467"/>
      <c r="BJ6" s="467"/>
      <c r="BK6" s="467"/>
    </row>
    <row r="7" spans="1:63" s="648" customFormat="1" ht="36" customHeight="1" x14ac:dyDescent="0.2">
      <c r="A7" s="2256" t="s">
        <v>11</v>
      </c>
      <c r="B7" s="2136" t="s">
        <v>12</v>
      </c>
      <c r="C7" s="2137"/>
      <c r="D7" s="2137" t="s">
        <v>11</v>
      </c>
      <c r="E7" s="2136" t="s">
        <v>13</v>
      </c>
      <c r="F7" s="2137"/>
      <c r="G7" s="2137" t="s">
        <v>11</v>
      </c>
      <c r="H7" s="2136" t="s">
        <v>14</v>
      </c>
      <c r="I7" s="2137"/>
      <c r="J7" s="2137" t="s">
        <v>11</v>
      </c>
      <c r="K7" s="2136" t="s">
        <v>15</v>
      </c>
      <c r="L7" s="2119" t="s">
        <v>16</v>
      </c>
      <c r="M7" s="2119" t="s">
        <v>17</v>
      </c>
      <c r="N7" s="2119" t="s">
        <v>18</v>
      </c>
      <c r="O7" s="2119" t="s">
        <v>19</v>
      </c>
      <c r="P7" s="2119" t="s">
        <v>9</v>
      </c>
      <c r="Q7" s="2180" t="s">
        <v>20</v>
      </c>
      <c r="R7" s="2145" t="s">
        <v>21</v>
      </c>
      <c r="S7" s="2136" t="s">
        <v>22</v>
      </c>
      <c r="T7" s="2136" t="s">
        <v>23</v>
      </c>
      <c r="U7" s="2119" t="s">
        <v>24</v>
      </c>
      <c r="V7" s="2116" t="s">
        <v>21</v>
      </c>
      <c r="W7" s="373"/>
      <c r="X7" s="2119" t="s">
        <v>25</v>
      </c>
      <c r="Y7" s="2122" t="s">
        <v>26</v>
      </c>
      <c r="Z7" s="2122"/>
      <c r="AA7" s="2109" t="s">
        <v>27</v>
      </c>
      <c r="AB7" s="2109"/>
      <c r="AC7" s="2109"/>
      <c r="AD7" s="2109"/>
      <c r="AE7" s="2106" t="s">
        <v>28</v>
      </c>
      <c r="AF7" s="2107"/>
      <c r="AG7" s="2107"/>
      <c r="AH7" s="2107"/>
      <c r="AI7" s="2107"/>
      <c r="AJ7" s="2108"/>
      <c r="AK7" s="2109" t="s">
        <v>29</v>
      </c>
      <c r="AL7" s="2109"/>
      <c r="AM7" s="2109"/>
      <c r="AN7" s="2092" t="s">
        <v>30</v>
      </c>
      <c r="AO7" s="2095" t="s">
        <v>31</v>
      </c>
      <c r="AP7" s="2095" t="s">
        <v>32</v>
      </c>
      <c r="AQ7" s="2167" t="s">
        <v>33</v>
      </c>
      <c r="AR7" s="1757"/>
      <c r="AS7" s="1757"/>
      <c r="AT7" s="1757"/>
      <c r="AU7" s="1757"/>
      <c r="AV7" s="1757"/>
      <c r="AW7" s="1757"/>
      <c r="AX7" s="1757"/>
      <c r="AY7" s="1757"/>
      <c r="AZ7" s="1757"/>
      <c r="BA7" s="1757"/>
      <c r="BB7" s="1757"/>
      <c r="BC7" s="1757"/>
      <c r="BD7" s="1757"/>
      <c r="BE7" s="1757"/>
      <c r="BF7" s="1757"/>
      <c r="BG7" s="1757"/>
      <c r="BH7" s="1757"/>
      <c r="BI7" s="1757"/>
      <c r="BJ7" s="1757"/>
      <c r="BK7" s="1757"/>
    </row>
    <row r="8" spans="1:63" s="648" customFormat="1" ht="99" customHeight="1" x14ac:dyDescent="0.2">
      <c r="A8" s="2257"/>
      <c r="B8" s="2138"/>
      <c r="C8" s="2139"/>
      <c r="D8" s="2139"/>
      <c r="E8" s="2138"/>
      <c r="F8" s="2139"/>
      <c r="G8" s="2139"/>
      <c r="H8" s="2138"/>
      <c r="I8" s="2139"/>
      <c r="J8" s="2139"/>
      <c r="K8" s="2138"/>
      <c r="L8" s="2120"/>
      <c r="M8" s="2120"/>
      <c r="N8" s="2120"/>
      <c r="O8" s="2120"/>
      <c r="P8" s="2120"/>
      <c r="Q8" s="2181"/>
      <c r="R8" s="2146"/>
      <c r="S8" s="2138"/>
      <c r="T8" s="2138"/>
      <c r="U8" s="2120"/>
      <c r="V8" s="2117"/>
      <c r="W8" s="1740" t="s">
        <v>11</v>
      </c>
      <c r="X8" s="2120"/>
      <c r="Y8" s="1738" t="s">
        <v>34</v>
      </c>
      <c r="Z8" s="1739" t="s">
        <v>35</v>
      </c>
      <c r="AA8" s="655" t="s">
        <v>36</v>
      </c>
      <c r="AB8" s="655" t="s">
        <v>37</v>
      </c>
      <c r="AC8" s="655" t="s">
        <v>38</v>
      </c>
      <c r="AD8" s="655" t="s">
        <v>39</v>
      </c>
      <c r="AE8" s="655" t="s">
        <v>40</v>
      </c>
      <c r="AF8" s="655" t="s">
        <v>41</v>
      </c>
      <c r="AG8" s="655" t="s">
        <v>42</v>
      </c>
      <c r="AH8" s="655" t="s">
        <v>43</v>
      </c>
      <c r="AI8" s="655" t="s">
        <v>44</v>
      </c>
      <c r="AJ8" s="655" t="s">
        <v>45</v>
      </c>
      <c r="AK8" s="655" t="s">
        <v>46</v>
      </c>
      <c r="AL8" s="655" t="s">
        <v>47</v>
      </c>
      <c r="AM8" s="655" t="s">
        <v>48</v>
      </c>
      <c r="AN8" s="2094"/>
      <c r="AO8" s="2096"/>
      <c r="AP8" s="2096"/>
      <c r="AQ8" s="2168"/>
      <c r="AR8" s="1757"/>
      <c r="AS8" s="1757"/>
      <c r="AT8" s="1757"/>
      <c r="AU8" s="1757"/>
      <c r="AV8" s="1757"/>
      <c r="AW8" s="1757"/>
      <c r="AX8" s="1757"/>
      <c r="AY8" s="1757"/>
      <c r="AZ8" s="1757"/>
      <c r="BA8" s="1757"/>
      <c r="BB8" s="1757"/>
      <c r="BC8" s="1757"/>
      <c r="BD8" s="1757"/>
      <c r="BE8" s="1757"/>
      <c r="BF8" s="1757"/>
      <c r="BG8" s="1757"/>
      <c r="BH8" s="1757"/>
      <c r="BI8" s="1757"/>
      <c r="BJ8" s="1757"/>
      <c r="BK8" s="1757"/>
    </row>
    <row r="9" spans="1:63" ht="14.25" customHeight="1" x14ac:dyDescent="0.25">
      <c r="A9" s="1801">
        <v>3</v>
      </c>
      <c r="B9" s="1802"/>
      <c r="C9" s="1802" t="s">
        <v>347</v>
      </c>
      <c r="D9" s="1802"/>
      <c r="E9" s="1802"/>
      <c r="F9" s="1802"/>
      <c r="G9" s="1802"/>
      <c r="H9" s="1802"/>
      <c r="I9" s="1802"/>
      <c r="J9" s="1802"/>
      <c r="K9" s="955"/>
      <c r="L9" s="955"/>
      <c r="M9" s="1802"/>
      <c r="N9" s="1803"/>
      <c r="O9" s="1802"/>
      <c r="P9" s="955"/>
      <c r="Q9" s="1804"/>
      <c r="R9" s="1805"/>
      <c r="S9" s="955"/>
      <c r="T9" s="955"/>
      <c r="U9" s="955"/>
      <c r="V9" s="1805"/>
      <c r="W9" s="1802"/>
      <c r="X9" s="1802"/>
      <c r="Y9" s="1802"/>
      <c r="Z9" s="1802"/>
      <c r="AA9" s="1802"/>
      <c r="AB9" s="1802"/>
      <c r="AC9" s="1802"/>
      <c r="AD9" s="1802"/>
      <c r="AE9" s="1802"/>
      <c r="AF9" s="1802"/>
      <c r="AG9" s="1802"/>
      <c r="AH9" s="1806"/>
      <c r="AI9" s="955"/>
      <c r="AJ9" s="1807"/>
      <c r="AK9" s="1807"/>
      <c r="AL9" s="1807"/>
      <c r="AM9" s="1807"/>
      <c r="AN9" s="1807"/>
      <c r="AO9" s="1807"/>
      <c r="AP9" s="1807"/>
      <c r="AQ9" s="1808"/>
    </row>
    <row r="10" spans="1:63" ht="14.25" customHeight="1" x14ac:dyDescent="0.25">
      <c r="A10" s="1769"/>
      <c r="B10" s="1731"/>
      <c r="C10" s="1732"/>
      <c r="D10" s="1809">
        <v>5</v>
      </c>
      <c r="E10" s="1810" t="s">
        <v>2238</v>
      </c>
      <c r="F10" s="1810"/>
      <c r="G10" s="1810"/>
      <c r="H10" s="1810"/>
      <c r="I10" s="1810"/>
      <c r="J10" s="1810"/>
      <c r="K10" s="967"/>
      <c r="L10" s="967"/>
      <c r="M10" s="1810"/>
      <c r="N10" s="1034"/>
      <c r="O10" s="1810"/>
      <c r="P10" s="967"/>
      <c r="Q10" s="1811"/>
      <c r="R10" s="1812"/>
      <c r="S10" s="967"/>
      <c r="T10" s="967"/>
      <c r="U10" s="967"/>
      <c r="V10" s="1812"/>
      <c r="W10" s="1810"/>
      <c r="X10" s="1810"/>
      <c r="Y10" s="1810"/>
      <c r="Z10" s="1810"/>
      <c r="AA10" s="1810"/>
      <c r="AB10" s="1810"/>
      <c r="AC10" s="1810"/>
      <c r="AD10" s="1810"/>
      <c r="AE10" s="1810"/>
      <c r="AF10" s="1810"/>
      <c r="AG10" s="1810"/>
      <c r="AH10" s="1813"/>
      <c r="AI10" s="967"/>
      <c r="AJ10" s="1814"/>
      <c r="AK10" s="1814"/>
      <c r="AL10" s="1814"/>
      <c r="AM10" s="1814"/>
      <c r="AN10" s="1814"/>
      <c r="AO10" s="1814"/>
      <c r="AP10" s="1814"/>
      <c r="AQ10" s="1815"/>
    </row>
    <row r="11" spans="1:63" ht="14.25" customHeight="1" x14ac:dyDescent="0.25">
      <c r="A11" s="1770"/>
      <c r="B11" s="1733"/>
      <c r="C11" s="1733"/>
      <c r="D11" s="1816"/>
      <c r="E11" s="1817"/>
      <c r="F11" s="1818"/>
      <c r="G11" s="1819">
        <v>16</v>
      </c>
      <c r="H11" s="1742" t="s">
        <v>2239</v>
      </c>
      <c r="I11" s="1742"/>
      <c r="J11" s="1742"/>
      <c r="K11" s="400"/>
      <c r="L11" s="400"/>
      <c r="M11" s="1742"/>
      <c r="N11" s="405"/>
      <c r="O11" s="1742"/>
      <c r="P11" s="400"/>
      <c r="Q11" s="1820"/>
      <c r="R11" s="1821"/>
      <c r="S11" s="400"/>
      <c r="T11" s="400"/>
      <c r="U11" s="400"/>
      <c r="V11" s="1821"/>
      <c r="W11" s="1742"/>
      <c r="X11" s="1742"/>
      <c r="Y11" s="1742"/>
      <c r="Z11" s="1742"/>
      <c r="AA11" s="1742"/>
      <c r="AB11" s="1742"/>
      <c r="AC11" s="1742"/>
      <c r="AD11" s="1742"/>
      <c r="AE11" s="1561"/>
      <c r="AF11" s="1742"/>
      <c r="AG11" s="1742"/>
      <c r="AH11" s="1822"/>
      <c r="AI11" s="400"/>
      <c r="AJ11" s="1823"/>
      <c r="AK11" s="1823"/>
      <c r="AL11" s="1823"/>
      <c r="AM11" s="1823"/>
      <c r="AN11" s="1823"/>
      <c r="AO11" s="1823"/>
      <c r="AP11" s="1823"/>
      <c r="AQ11" s="1824"/>
    </row>
    <row r="12" spans="1:63" ht="204" customHeight="1" x14ac:dyDescent="0.25">
      <c r="A12" s="1770"/>
      <c r="B12" s="1733"/>
      <c r="C12" s="1733"/>
      <c r="D12" s="1797"/>
      <c r="E12" s="1825"/>
      <c r="F12" s="1826"/>
      <c r="G12" s="475"/>
      <c r="H12" s="475"/>
      <c r="I12" s="1827"/>
      <c r="J12" s="1759">
        <v>65</v>
      </c>
      <c r="K12" s="1760" t="s">
        <v>2240</v>
      </c>
      <c r="L12" s="1760" t="s">
        <v>2241</v>
      </c>
      <c r="M12" s="1734">
        <v>1</v>
      </c>
      <c r="N12" s="1758" t="s">
        <v>2522</v>
      </c>
      <c r="O12" s="2085" t="s">
        <v>2242</v>
      </c>
      <c r="P12" s="2057" t="s">
        <v>2243</v>
      </c>
      <c r="Q12" s="1828">
        <f>SUM(V12:V12)/R12</f>
        <v>0.30752593280303864</v>
      </c>
      <c r="R12" s="2732">
        <f>SUM(V12:V16)</f>
        <v>16219468230</v>
      </c>
      <c r="S12" s="2630" t="s">
        <v>2244</v>
      </c>
      <c r="T12" s="1829" t="s">
        <v>2245</v>
      </c>
      <c r="U12" s="1829" t="s">
        <v>2246</v>
      </c>
      <c r="V12" s="1932">
        <f>2640000000+1250000000+97827540+1000079557</f>
        <v>4987907097</v>
      </c>
      <c r="W12" s="2205" t="s">
        <v>2520</v>
      </c>
      <c r="X12" s="2086" t="s">
        <v>2521</v>
      </c>
      <c r="Y12" s="3008">
        <v>21554</v>
      </c>
      <c r="Z12" s="3008">
        <v>22392</v>
      </c>
      <c r="AA12" s="3008">
        <v>31677</v>
      </c>
      <c r="AB12" s="3008">
        <v>10302</v>
      </c>
      <c r="AC12" s="3008">
        <v>1874</v>
      </c>
      <c r="AD12" s="3008">
        <v>93</v>
      </c>
      <c r="AE12" s="3008">
        <v>238</v>
      </c>
      <c r="AF12" s="3008">
        <v>245</v>
      </c>
      <c r="AG12" s="3008">
        <v>0</v>
      </c>
      <c r="AH12" s="3008">
        <v>0</v>
      </c>
      <c r="AI12" s="3008">
        <v>0</v>
      </c>
      <c r="AJ12" s="3008">
        <v>0</v>
      </c>
      <c r="AK12" s="3008">
        <v>2629</v>
      </c>
      <c r="AL12" s="3008">
        <v>2665</v>
      </c>
      <c r="AM12" s="3008">
        <v>2683</v>
      </c>
      <c r="AN12" s="3008">
        <v>43946</v>
      </c>
      <c r="AO12" s="3019">
        <v>43101</v>
      </c>
      <c r="AP12" s="3019">
        <v>43465</v>
      </c>
      <c r="AQ12" s="3013" t="s">
        <v>2517</v>
      </c>
    </row>
    <row r="13" spans="1:63" ht="75" x14ac:dyDescent="0.25">
      <c r="A13" s="1770"/>
      <c r="B13" s="1733"/>
      <c r="C13" s="1733"/>
      <c r="D13" s="1797"/>
      <c r="E13" s="1825"/>
      <c r="F13" s="1826"/>
      <c r="G13" s="475"/>
      <c r="H13" s="475"/>
      <c r="I13" s="1827"/>
      <c r="J13" s="2628">
        <v>66</v>
      </c>
      <c r="K13" s="2057" t="s">
        <v>2247</v>
      </c>
      <c r="L13" s="2057" t="s">
        <v>2248</v>
      </c>
      <c r="M13" s="2081">
        <v>1</v>
      </c>
      <c r="N13" s="1759" t="s">
        <v>2249</v>
      </c>
      <c r="O13" s="2085"/>
      <c r="P13" s="2630"/>
      <c r="Q13" s="3024">
        <f>SUM(V13:V14)/R12</f>
        <v>0.62522155407310787</v>
      </c>
      <c r="R13" s="2732"/>
      <c r="S13" s="2630"/>
      <c r="T13" s="3022" t="s">
        <v>2250</v>
      </c>
      <c r="U13" s="1830" t="s">
        <v>2251</v>
      </c>
      <c r="V13" s="1791">
        <f>7780000000+622078305+1977067+35181428+740763200+643761133+30000000</f>
        <v>9853761133</v>
      </c>
      <c r="W13" s="2887"/>
      <c r="X13" s="2247"/>
      <c r="Y13" s="3008"/>
      <c r="Z13" s="3008"/>
      <c r="AA13" s="3008"/>
      <c r="AB13" s="3008"/>
      <c r="AC13" s="3008"/>
      <c r="AD13" s="3008"/>
      <c r="AE13" s="3008"/>
      <c r="AF13" s="3008"/>
      <c r="AG13" s="3008"/>
      <c r="AH13" s="3008"/>
      <c r="AI13" s="3008"/>
      <c r="AJ13" s="3008"/>
      <c r="AK13" s="3008"/>
      <c r="AL13" s="3008"/>
      <c r="AM13" s="3008"/>
      <c r="AN13" s="3008"/>
      <c r="AO13" s="3008"/>
      <c r="AP13" s="3008"/>
      <c r="AQ13" s="3013"/>
    </row>
    <row r="14" spans="1:63" ht="57.75" customHeight="1" x14ac:dyDescent="0.25">
      <c r="A14" s="1770"/>
      <c r="B14" s="1733"/>
      <c r="C14" s="1733"/>
      <c r="D14" s="1797"/>
      <c r="E14" s="1825"/>
      <c r="F14" s="1826"/>
      <c r="G14" s="475"/>
      <c r="H14" s="475"/>
      <c r="I14" s="1827"/>
      <c r="J14" s="2639"/>
      <c r="K14" s="2648"/>
      <c r="L14" s="2648"/>
      <c r="M14" s="2746"/>
      <c r="N14" s="1759" t="s">
        <v>2252</v>
      </c>
      <c r="O14" s="2085"/>
      <c r="P14" s="2630"/>
      <c r="Q14" s="3025"/>
      <c r="R14" s="2732"/>
      <c r="S14" s="2630"/>
      <c r="T14" s="3026"/>
      <c r="U14" s="1831" t="s">
        <v>2253</v>
      </c>
      <c r="V14" s="1755">
        <f>287000000</f>
        <v>287000000</v>
      </c>
      <c r="W14" s="2887"/>
      <c r="X14" s="2247"/>
      <c r="Y14" s="3008"/>
      <c r="Z14" s="3008"/>
      <c r="AA14" s="3008"/>
      <c r="AB14" s="3008"/>
      <c r="AC14" s="3008"/>
      <c r="AD14" s="3008"/>
      <c r="AE14" s="3008"/>
      <c r="AF14" s="3008"/>
      <c r="AG14" s="3008"/>
      <c r="AH14" s="3008"/>
      <c r="AI14" s="3008"/>
      <c r="AJ14" s="3008"/>
      <c r="AK14" s="3008"/>
      <c r="AL14" s="3008"/>
      <c r="AM14" s="3008"/>
      <c r="AN14" s="3008"/>
      <c r="AO14" s="3008"/>
      <c r="AP14" s="3008"/>
      <c r="AQ14" s="3013"/>
    </row>
    <row r="15" spans="1:63" s="1832" customFormat="1" ht="45" customHeight="1" x14ac:dyDescent="0.25">
      <c r="A15" s="1770"/>
      <c r="B15" s="1733"/>
      <c r="C15" s="1733"/>
      <c r="D15" s="1797"/>
      <c r="E15" s="1825"/>
      <c r="F15" s="1826"/>
      <c r="G15" s="475"/>
      <c r="H15" s="475"/>
      <c r="I15" s="1827"/>
      <c r="J15" s="2628">
        <v>67</v>
      </c>
      <c r="K15" s="2057" t="s">
        <v>2254</v>
      </c>
      <c r="L15" s="2057" t="s">
        <v>2255</v>
      </c>
      <c r="M15" s="2081">
        <v>1</v>
      </c>
      <c r="N15" s="1759" t="s">
        <v>2256</v>
      </c>
      <c r="O15" s="2085"/>
      <c r="P15" s="2630"/>
      <c r="Q15" s="3020">
        <f>SUM(V15:V16)/R12</f>
        <v>6.7252513123853511E-2</v>
      </c>
      <c r="R15" s="2732"/>
      <c r="S15" s="2630"/>
      <c r="T15" s="3022" t="s">
        <v>2257</v>
      </c>
      <c r="U15" s="3022" t="s">
        <v>2258</v>
      </c>
      <c r="V15" s="1765">
        <v>190800000</v>
      </c>
      <c r="W15" s="2887"/>
      <c r="X15" s="2247"/>
      <c r="Y15" s="3008"/>
      <c r="Z15" s="3008"/>
      <c r="AA15" s="3008"/>
      <c r="AB15" s="3008"/>
      <c r="AC15" s="3008"/>
      <c r="AD15" s="3008"/>
      <c r="AE15" s="3008"/>
      <c r="AF15" s="3008"/>
      <c r="AG15" s="3008"/>
      <c r="AH15" s="3008"/>
      <c r="AI15" s="3008"/>
      <c r="AJ15" s="3008"/>
      <c r="AK15" s="3008"/>
      <c r="AL15" s="3008"/>
      <c r="AM15" s="3008"/>
      <c r="AN15" s="3008"/>
      <c r="AO15" s="3008"/>
      <c r="AP15" s="3008"/>
      <c r="AQ15" s="3013"/>
    </row>
    <row r="16" spans="1:63" ht="111.75" customHeight="1" x14ac:dyDescent="0.25">
      <c r="A16" s="1770"/>
      <c r="B16" s="1733"/>
      <c r="C16" s="1733"/>
      <c r="D16" s="1797"/>
      <c r="E16" s="1825"/>
      <c r="F16" s="1826"/>
      <c r="G16" s="475"/>
      <c r="H16" s="475"/>
      <c r="I16" s="1827"/>
      <c r="J16" s="2629"/>
      <c r="K16" s="2630"/>
      <c r="L16" s="2630"/>
      <c r="M16" s="2083"/>
      <c r="N16" s="1833" t="s">
        <v>2259</v>
      </c>
      <c r="O16" s="2085"/>
      <c r="P16" s="2648"/>
      <c r="Q16" s="3021"/>
      <c r="R16" s="2732"/>
      <c r="S16" s="2630"/>
      <c r="T16" s="3023"/>
      <c r="U16" s="3023"/>
      <c r="V16" s="1791">
        <v>900000000</v>
      </c>
      <c r="W16" s="2220"/>
      <c r="X16" s="2087"/>
      <c r="Y16" s="3008"/>
      <c r="Z16" s="3008"/>
      <c r="AA16" s="3008"/>
      <c r="AB16" s="3008"/>
      <c r="AC16" s="3008"/>
      <c r="AD16" s="3008"/>
      <c r="AE16" s="3008"/>
      <c r="AF16" s="3008"/>
      <c r="AG16" s="3008"/>
      <c r="AH16" s="3008"/>
      <c r="AI16" s="3008"/>
      <c r="AJ16" s="3008"/>
      <c r="AK16" s="3008"/>
      <c r="AL16" s="3008"/>
      <c r="AM16" s="3008"/>
      <c r="AN16" s="3008"/>
      <c r="AO16" s="3008"/>
      <c r="AP16" s="3008"/>
      <c r="AQ16" s="3013"/>
    </row>
    <row r="17" spans="1:43" ht="14.25" customHeight="1" x14ac:dyDescent="0.25">
      <c r="A17" s="1834"/>
      <c r="B17" s="1835"/>
      <c r="C17" s="1835"/>
      <c r="D17" s="1836"/>
      <c r="E17" s="1835"/>
      <c r="F17" s="1837"/>
      <c r="G17" s="1838">
        <v>17</v>
      </c>
      <c r="H17" s="754" t="s">
        <v>2260</v>
      </c>
      <c r="I17" s="754"/>
      <c r="J17" s="399"/>
      <c r="K17" s="400"/>
      <c r="L17" s="400"/>
      <c r="M17" s="399"/>
      <c r="N17" s="1699"/>
      <c r="O17" s="399"/>
      <c r="P17" s="400"/>
      <c r="Q17" s="399"/>
      <c r="R17" s="1839"/>
      <c r="S17" s="400"/>
      <c r="T17" s="400"/>
      <c r="U17" s="400"/>
      <c r="V17" s="1839"/>
      <c r="W17" s="399"/>
      <c r="X17" s="399"/>
      <c r="Y17" s="399"/>
      <c r="Z17" s="399"/>
      <c r="AA17" s="399"/>
      <c r="AB17" s="399"/>
      <c r="AC17" s="399"/>
      <c r="AD17" s="399"/>
      <c r="AE17" s="399"/>
      <c r="AF17" s="399"/>
      <c r="AG17" s="399"/>
      <c r="AH17" s="399"/>
      <c r="AI17" s="399"/>
      <c r="AJ17" s="399"/>
      <c r="AK17" s="399"/>
      <c r="AL17" s="399"/>
      <c r="AM17" s="399"/>
      <c r="AN17" s="1823"/>
      <c r="AO17" s="1823"/>
      <c r="AP17" s="1823"/>
      <c r="AQ17" s="1824"/>
    </row>
    <row r="18" spans="1:43" ht="77.25" customHeight="1" x14ac:dyDescent="0.25">
      <c r="A18" s="1840"/>
      <c r="B18" s="1841"/>
      <c r="C18" s="1841"/>
      <c r="D18" s="1842"/>
      <c r="E18" s="469"/>
      <c r="F18" s="469"/>
      <c r="G18" s="1843"/>
      <c r="H18" s="1844"/>
      <c r="I18" s="1845"/>
      <c r="J18" s="1846">
        <v>68</v>
      </c>
      <c r="K18" s="1847" t="s">
        <v>2261</v>
      </c>
      <c r="L18" s="1847" t="s">
        <v>2262</v>
      </c>
      <c r="M18" s="1790">
        <v>4500</v>
      </c>
      <c r="N18" s="2629" t="s">
        <v>2263</v>
      </c>
      <c r="O18" s="2629" t="s">
        <v>2264</v>
      </c>
      <c r="P18" s="2630" t="s">
        <v>2265</v>
      </c>
      <c r="Q18" s="1859">
        <f>+V18/$R$18</f>
        <v>4.6874999999999998E-3</v>
      </c>
      <c r="R18" s="2732">
        <f>SUM(V18:V24)</f>
        <v>1536000000</v>
      </c>
      <c r="S18" s="2630" t="s">
        <v>2266</v>
      </c>
      <c r="T18" s="2630" t="s">
        <v>2267</v>
      </c>
      <c r="U18" s="1848" t="s">
        <v>2268</v>
      </c>
      <c r="V18" s="1932">
        <v>7200000</v>
      </c>
      <c r="W18" s="1785"/>
      <c r="X18" s="1746"/>
      <c r="Y18" s="3008"/>
      <c r="Z18" s="3008"/>
      <c r="AA18" s="3008"/>
      <c r="AB18" s="3008"/>
      <c r="AC18" s="3008"/>
      <c r="AD18" s="3008">
        <v>93</v>
      </c>
      <c r="AE18" s="3008">
        <v>238</v>
      </c>
      <c r="AF18" s="3008">
        <v>245</v>
      </c>
      <c r="AG18" s="3008">
        <v>0</v>
      </c>
      <c r="AH18" s="3008">
        <v>0</v>
      </c>
      <c r="AI18" s="3008">
        <v>0</v>
      </c>
      <c r="AJ18" s="3008">
        <v>0</v>
      </c>
      <c r="AK18" s="3008">
        <v>2629</v>
      </c>
      <c r="AL18" s="3008">
        <v>2665</v>
      </c>
      <c r="AM18" s="3008">
        <v>2683</v>
      </c>
      <c r="AN18" s="3008">
        <f>SUM(AD18:AM24)</f>
        <v>8553</v>
      </c>
      <c r="AO18" s="3019">
        <v>43101</v>
      </c>
      <c r="AP18" s="3019">
        <v>43465</v>
      </c>
      <c r="AQ18" s="3013" t="s">
        <v>2517</v>
      </c>
    </row>
    <row r="19" spans="1:43" ht="53.25" customHeight="1" x14ac:dyDescent="0.25">
      <c r="A19" s="1840"/>
      <c r="B19" s="1841"/>
      <c r="C19" s="1841"/>
      <c r="D19" s="1842"/>
      <c r="E19" s="469"/>
      <c r="F19" s="469"/>
      <c r="G19" s="1842"/>
      <c r="H19" s="469"/>
      <c r="I19" s="1849"/>
      <c r="J19" s="1850">
        <v>69</v>
      </c>
      <c r="K19" s="1711" t="s">
        <v>2269</v>
      </c>
      <c r="L19" s="1847" t="s">
        <v>2270</v>
      </c>
      <c r="M19" s="1729">
        <v>1</v>
      </c>
      <c r="N19" s="2629"/>
      <c r="O19" s="2629"/>
      <c r="P19" s="2630"/>
      <c r="Q19" s="1856">
        <f>+V19/$R$18</f>
        <v>4.6874999999999998E-3</v>
      </c>
      <c r="R19" s="2732"/>
      <c r="S19" s="2630"/>
      <c r="T19" s="2630"/>
      <c r="U19" s="1848" t="s">
        <v>2271</v>
      </c>
      <c r="V19" s="1932">
        <v>7200000</v>
      </c>
      <c r="W19" s="1786"/>
      <c r="X19" s="1784"/>
      <c r="Y19" s="3008"/>
      <c r="Z19" s="3008"/>
      <c r="AA19" s="3008"/>
      <c r="AB19" s="3008"/>
      <c r="AC19" s="3008"/>
      <c r="AD19" s="3008"/>
      <c r="AE19" s="3008"/>
      <c r="AF19" s="3008"/>
      <c r="AG19" s="3008"/>
      <c r="AH19" s="3008"/>
      <c r="AI19" s="3008"/>
      <c r="AJ19" s="3008"/>
      <c r="AK19" s="3008"/>
      <c r="AL19" s="3008"/>
      <c r="AM19" s="3008"/>
      <c r="AN19" s="3008"/>
      <c r="AO19" s="3008"/>
      <c r="AP19" s="3008"/>
      <c r="AQ19" s="3013"/>
    </row>
    <row r="20" spans="1:43" s="1858" customFormat="1" ht="45" x14ac:dyDescent="0.25">
      <c r="A20" s="1851"/>
      <c r="B20" s="1852"/>
      <c r="C20" s="1852"/>
      <c r="D20" s="1853"/>
      <c r="E20" s="1854"/>
      <c r="F20" s="1854"/>
      <c r="G20" s="1853"/>
      <c r="H20" s="1854"/>
      <c r="I20" s="1855"/>
      <c r="J20" s="3015">
        <v>70</v>
      </c>
      <c r="K20" s="2308" t="s">
        <v>2272</v>
      </c>
      <c r="L20" s="2335" t="s">
        <v>2273</v>
      </c>
      <c r="M20" s="2410">
        <v>469</v>
      </c>
      <c r="N20" s="2629"/>
      <c r="O20" s="2629"/>
      <c r="P20" s="2630"/>
      <c r="Q20" s="3017">
        <f>(+V20+V21)/$R$18</f>
        <v>9.3749999999999997E-3</v>
      </c>
      <c r="R20" s="2732"/>
      <c r="S20" s="2630"/>
      <c r="T20" s="2630"/>
      <c r="U20" s="1624" t="s">
        <v>2274</v>
      </c>
      <c r="V20" s="1788">
        <v>7200000</v>
      </c>
      <c r="W20" s="1857"/>
      <c r="X20" s="1751"/>
      <c r="Y20" s="3008"/>
      <c r="Z20" s="3008"/>
      <c r="AA20" s="3008"/>
      <c r="AB20" s="3008"/>
      <c r="AC20" s="3008"/>
      <c r="AD20" s="3008"/>
      <c r="AE20" s="3008"/>
      <c r="AF20" s="3008"/>
      <c r="AG20" s="3008"/>
      <c r="AH20" s="3008"/>
      <c r="AI20" s="3008"/>
      <c r="AJ20" s="3008"/>
      <c r="AK20" s="3008"/>
      <c r="AL20" s="3008"/>
      <c r="AM20" s="3008"/>
      <c r="AN20" s="3008"/>
      <c r="AO20" s="3008"/>
      <c r="AP20" s="3008"/>
      <c r="AQ20" s="3013"/>
    </row>
    <row r="21" spans="1:43" s="1858" customFormat="1" ht="70.5" customHeight="1" x14ac:dyDescent="0.25">
      <c r="A21" s="1851"/>
      <c r="B21" s="1852"/>
      <c r="C21" s="1852"/>
      <c r="D21" s="1853"/>
      <c r="E21" s="1854"/>
      <c r="F21" s="1854"/>
      <c r="G21" s="1853"/>
      <c r="H21" s="1854"/>
      <c r="I21" s="1855"/>
      <c r="J21" s="3016"/>
      <c r="K21" s="2309"/>
      <c r="L21" s="2335"/>
      <c r="M21" s="2411"/>
      <c r="N21" s="2629"/>
      <c r="O21" s="2629"/>
      <c r="P21" s="2630"/>
      <c r="Q21" s="3018"/>
      <c r="R21" s="2732"/>
      <c r="S21" s="2630"/>
      <c r="T21" s="2630"/>
      <c r="U21" s="1726" t="s">
        <v>2275</v>
      </c>
      <c r="V21" s="1788">
        <v>7200000</v>
      </c>
      <c r="W21" s="1786">
        <v>20</v>
      </c>
      <c r="X21" s="1784" t="s">
        <v>61</v>
      </c>
      <c r="Y21" s="3008"/>
      <c r="Z21" s="3008"/>
      <c r="AA21" s="3008"/>
      <c r="AB21" s="3008"/>
      <c r="AC21" s="3008"/>
      <c r="AD21" s="3008"/>
      <c r="AE21" s="3008"/>
      <c r="AF21" s="3008"/>
      <c r="AG21" s="3008"/>
      <c r="AH21" s="3008"/>
      <c r="AI21" s="3008"/>
      <c r="AJ21" s="3008"/>
      <c r="AK21" s="3008"/>
      <c r="AL21" s="3008"/>
      <c r="AM21" s="3008"/>
      <c r="AN21" s="3008"/>
      <c r="AO21" s="3008"/>
      <c r="AP21" s="3008"/>
      <c r="AQ21" s="3013"/>
    </row>
    <row r="22" spans="1:43" ht="57.75" customHeight="1" x14ac:dyDescent="0.25">
      <c r="A22" s="1840"/>
      <c r="B22" s="1841"/>
      <c r="C22" s="1841"/>
      <c r="D22" s="1842"/>
      <c r="E22" s="469"/>
      <c r="F22" s="469"/>
      <c r="G22" s="1842"/>
      <c r="H22" s="469"/>
      <c r="I22" s="1849"/>
      <c r="J22" s="1850">
        <v>71</v>
      </c>
      <c r="K22" s="1711" t="s">
        <v>2276</v>
      </c>
      <c r="L22" s="1711" t="s">
        <v>2277</v>
      </c>
      <c r="M22" s="1776">
        <v>2469</v>
      </c>
      <c r="N22" s="2629"/>
      <c r="O22" s="2629"/>
      <c r="P22" s="2630"/>
      <c r="Q22" s="1856">
        <f>+V22/$R$18</f>
        <v>0</v>
      </c>
      <c r="R22" s="2732"/>
      <c r="S22" s="2630"/>
      <c r="T22" s="2630"/>
      <c r="U22" s="1744" t="s">
        <v>2278</v>
      </c>
      <c r="V22" s="1755"/>
      <c r="W22" s="1786">
        <v>25</v>
      </c>
      <c r="X22" s="1781" t="s">
        <v>2284</v>
      </c>
      <c r="Y22" s="3008"/>
      <c r="Z22" s="3008"/>
      <c r="AA22" s="3008"/>
      <c r="AB22" s="3008"/>
      <c r="AC22" s="3008"/>
      <c r="AD22" s="3008"/>
      <c r="AE22" s="3008"/>
      <c r="AF22" s="3008"/>
      <c r="AG22" s="3008">
        <v>0</v>
      </c>
      <c r="AH22" s="3008"/>
      <c r="AI22" s="3008"/>
      <c r="AJ22" s="3008"/>
      <c r="AK22" s="3008"/>
      <c r="AL22" s="3008"/>
      <c r="AM22" s="3008"/>
      <c r="AN22" s="3008"/>
      <c r="AO22" s="3008"/>
      <c r="AP22" s="3008"/>
      <c r="AQ22" s="3013"/>
    </row>
    <row r="23" spans="1:43" ht="69.75" customHeight="1" x14ac:dyDescent="0.25">
      <c r="A23" s="1840"/>
      <c r="B23" s="1841"/>
      <c r="C23" s="1841"/>
      <c r="D23" s="1842"/>
      <c r="E23" s="469"/>
      <c r="F23" s="469"/>
      <c r="G23" s="1842"/>
      <c r="H23" s="469"/>
      <c r="I23" s="1849"/>
      <c r="J23" s="1850">
        <v>72</v>
      </c>
      <c r="K23" s="1711" t="s">
        <v>2279</v>
      </c>
      <c r="L23" s="1847" t="s">
        <v>2280</v>
      </c>
      <c r="M23" s="1783">
        <v>455</v>
      </c>
      <c r="N23" s="2629"/>
      <c r="O23" s="2629"/>
      <c r="P23" s="2630"/>
      <c r="Q23" s="1856">
        <f>+V23/$R$18</f>
        <v>4.6874999999999998E-3</v>
      </c>
      <c r="R23" s="2732"/>
      <c r="S23" s="2630"/>
      <c r="T23" s="2630"/>
      <c r="U23" s="1744" t="s">
        <v>2281</v>
      </c>
      <c r="V23" s="1755">
        <v>7200000</v>
      </c>
      <c r="W23" s="1786"/>
      <c r="X23" s="1781"/>
      <c r="Y23" s="3008"/>
      <c r="Z23" s="3008"/>
      <c r="AA23" s="3008"/>
      <c r="AB23" s="3008"/>
      <c r="AC23" s="3008"/>
      <c r="AD23" s="3008"/>
      <c r="AE23" s="3008"/>
      <c r="AF23" s="3008"/>
      <c r="AG23" s="3008"/>
      <c r="AH23" s="3008"/>
      <c r="AI23" s="3008"/>
      <c r="AJ23" s="3008"/>
      <c r="AK23" s="3008"/>
      <c r="AL23" s="3008"/>
      <c r="AM23" s="3008"/>
      <c r="AN23" s="3008"/>
      <c r="AO23" s="3008"/>
      <c r="AP23" s="3008"/>
      <c r="AQ23" s="3013"/>
    </row>
    <row r="24" spans="1:43" ht="78.75" customHeight="1" x14ac:dyDescent="0.25">
      <c r="A24" s="1840"/>
      <c r="B24" s="1841"/>
      <c r="C24" s="1841"/>
      <c r="D24" s="1842"/>
      <c r="E24" s="469"/>
      <c r="F24" s="469"/>
      <c r="G24" s="1842"/>
      <c r="H24" s="469"/>
      <c r="I24" s="1849"/>
      <c r="J24" s="1860">
        <v>73</v>
      </c>
      <c r="K24" s="1861" t="s">
        <v>2282</v>
      </c>
      <c r="L24" s="1861" t="s">
        <v>1894</v>
      </c>
      <c r="M24" s="1785">
        <v>1</v>
      </c>
      <c r="N24" s="2629"/>
      <c r="O24" s="2629"/>
      <c r="P24" s="2630"/>
      <c r="Q24" s="1856">
        <f>+V24/$R$18</f>
        <v>0.9765625</v>
      </c>
      <c r="R24" s="2732"/>
      <c r="S24" s="2630"/>
      <c r="T24" s="2630"/>
      <c r="U24" s="1744" t="s">
        <v>2283</v>
      </c>
      <c r="V24" s="1791">
        <v>1500000000</v>
      </c>
      <c r="W24" s="1787"/>
      <c r="X24" s="1782"/>
      <c r="Y24" s="2855"/>
      <c r="Z24" s="2855"/>
      <c r="AA24" s="2855"/>
      <c r="AB24" s="2855"/>
      <c r="AC24" s="2855"/>
      <c r="AD24" s="2855"/>
      <c r="AE24" s="2855"/>
      <c r="AF24" s="2855"/>
      <c r="AG24" s="2855"/>
      <c r="AH24" s="2855"/>
      <c r="AI24" s="2855"/>
      <c r="AJ24" s="2855"/>
      <c r="AK24" s="2855"/>
      <c r="AL24" s="2855"/>
      <c r="AM24" s="2855"/>
      <c r="AN24" s="2855"/>
      <c r="AO24" s="2855"/>
      <c r="AP24" s="2855"/>
      <c r="AQ24" s="3014"/>
    </row>
    <row r="25" spans="1:43" ht="180" x14ac:dyDescent="0.25">
      <c r="A25" s="1840"/>
      <c r="B25" s="1841"/>
      <c r="C25" s="1841"/>
      <c r="D25" s="1862"/>
      <c r="E25" s="1863"/>
      <c r="F25" s="1863"/>
      <c r="G25" s="1862"/>
      <c r="H25" s="1863"/>
      <c r="I25" s="1864"/>
      <c r="J25" s="1860">
        <v>74</v>
      </c>
      <c r="K25" s="1861" t="s">
        <v>2285</v>
      </c>
      <c r="L25" s="1861" t="s">
        <v>2286</v>
      </c>
      <c r="M25" s="1785">
        <v>2232</v>
      </c>
      <c r="N25" s="1758" t="s">
        <v>2523</v>
      </c>
      <c r="O25" s="1758" t="s">
        <v>2287</v>
      </c>
      <c r="P25" s="1861" t="s">
        <v>2288</v>
      </c>
      <c r="Q25" s="1772">
        <v>1</v>
      </c>
      <c r="R25" s="1779">
        <f>+V25</f>
        <v>139223938055</v>
      </c>
      <c r="S25" s="1861" t="s">
        <v>2289</v>
      </c>
      <c r="T25" s="1861" t="s">
        <v>2290</v>
      </c>
      <c r="U25" s="1748" t="s">
        <v>2291</v>
      </c>
      <c r="V25" s="1791">
        <f>136212000000+3011938055</f>
        <v>139223938055</v>
      </c>
      <c r="W25" s="1764" t="s">
        <v>2524</v>
      </c>
      <c r="X25" s="1761" t="s">
        <v>2525</v>
      </c>
      <c r="Y25" s="1780">
        <v>21554</v>
      </c>
      <c r="Z25" s="1780">
        <v>22392</v>
      </c>
      <c r="AA25" s="1785">
        <v>31677</v>
      </c>
      <c r="AB25" s="1785">
        <v>10302</v>
      </c>
      <c r="AC25" s="1785">
        <v>1874</v>
      </c>
      <c r="AD25" s="1785">
        <v>93</v>
      </c>
      <c r="AE25" s="1785">
        <v>238</v>
      </c>
      <c r="AF25" s="1785">
        <v>245</v>
      </c>
      <c r="AG25" s="1785">
        <v>0</v>
      </c>
      <c r="AH25" s="1785">
        <v>0</v>
      </c>
      <c r="AI25" s="1865">
        <v>0</v>
      </c>
      <c r="AJ25" s="1866">
        <v>0</v>
      </c>
      <c r="AK25" s="1866">
        <v>2629</v>
      </c>
      <c r="AL25" s="1866">
        <v>2665</v>
      </c>
      <c r="AM25" s="1866">
        <v>2683</v>
      </c>
      <c r="AN25" s="1774">
        <v>43946</v>
      </c>
      <c r="AO25" s="1867">
        <v>43101</v>
      </c>
      <c r="AP25" s="1867">
        <v>43465</v>
      </c>
      <c r="AQ25" s="1923" t="s">
        <v>2517</v>
      </c>
    </row>
    <row r="26" spans="1:43" ht="14.25" customHeight="1" x14ac:dyDescent="0.25">
      <c r="A26" s="1834"/>
      <c r="B26" s="1835"/>
      <c r="C26" s="1837"/>
      <c r="D26" s="1531">
        <v>6</v>
      </c>
      <c r="E26" s="1868" t="s">
        <v>2292</v>
      </c>
      <c r="F26" s="1868"/>
      <c r="G26" s="1868"/>
      <c r="H26" s="1868"/>
      <c r="I26" s="1868"/>
      <c r="J26" s="1810"/>
      <c r="K26" s="967"/>
      <c r="L26" s="967"/>
      <c r="M26" s="964"/>
      <c r="N26" s="1034"/>
      <c r="O26" s="1034"/>
      <c r="P26" s="967"/>
      <c r="Q26" s="1869"/>
      <c r="R26" s="1870"/>
      <c r="S26" s="967"/>
      <c r="T26" s="967"/>
      <c r="U26" s="967"/>
      <c r="V26" s="1871"/>
      <c r="W26" s="1872"/>
      <c r="X26" s="1034"/>
      <c r="Y26" s="1034"/>
      <c r="Z26" s="1034"/>
      <c r="AA26" s="964"/>
      <c r="AB26" s="964"/>
      <c r="AC26" s="964"/>
      <c r="AD26" s="964"/>
      <c r="AE26" s="964"/>
      <c r="AF26" s="964"/>
      <c r="AG26" s="964"/>
      <c r="AH26" s="1873"/>
      <c r="AI26" s="1873"/>
      <c r="AJ26" s="1814"/>
      <c r="AK26" s="1814"/>
      <c r="AL26" s="1814"/>
      <c r="AM26" s="1814"/>
      <c r="AN26" s="1814"/>
      <c r="AO26" s="1814"/>
      <c r="AP26" s="1814"/>
      <c r="AQ26" s="1815"/>
    </row>
    <row r="27" spans="1:43" ht="14.25" customHeight="1" x14ac:dyDescent="0.25">
      <c r="A27" s="1834"/>
      <c r="B27" s="1799"/>
      <c r="C27" s="1799"/>
      <c r="D27" s="1874"/>
      <c r="E27" s="1875"/>
      <c r="F27" s="1876"/>
      <c r="G27" s="1877">
        <v>19</v>
      </c>
      <c r="H27" s="1742" t="s">
        <v>2293</v>
      </c>
      <c r="I27" s="1742"/>
      <c r="J27" s="1742"/>
      <c r="K27" s="400"/>
      <c r="L27" s="400"/>
      <c r="M27" s="399"/>
      <c r="N27" s="1035"/>
      <c r="O27" s="399"/>
      <c r="P27" s="400"/>
      <c r="Q27" s="399"/>
      <c r="R27" s="1839"/>
      <c r="S27" s="400"/>
      <c r="T27" s="400"/>
      <c r="U27" s="400"/>
      <c r="V27" s="1839"/>
      <c r="W27" s="399"/>
      <c r="X27" s="399"/>
      <c r="Y27" s="399"/>
      <c r="Z27" s="399"/>
      <c r="AA27" s="399"/>
      <c r="AB27" s="399"/>
      <c r="AC27" s="399"/>
      <c r="AD27" s="399"/>
      <c r="AE27" s="399"/>
      <c r="AF27" s="399"/>
      <c r="AG27" s="399"/>
      <c r="AH27" s="399"/>
      <c r="AI27" s="399"/>
      <c r="AJ27" s="1823"/>
      <c r="AK27" s="1823"/>
      <c r="AL27" s="1823"/>
      <c r="AM27" s="1823"/>
      <c r="AN27" s="1823"/>
      <c r="AO27" s="1823"/>
      <c r="AP27" s="1823"/>
      <c r="AQ27" s="1824"/>
    </row>
    <row r="28" spans="1:43" ht="65.25" customHeight="1" x14ac:dyDescent="0.25">
      <c r="A28" s="1878"/>
      <c r="B28" s="470"/>
      <c r="C28" s="470"/>
      <c r="D28" s="1879"/>
      <c r="E28" s="1799"/>
      <c r="F28" s="1880"/>
      <c r="G28" s="470"/>
      <c r="H28" s="470"/>
      <c r="I28" s="470"/>
      <c r="J28" s="1782">
        <v>75</v>
      </c>
      <c r="K28" s="1847" t="s">
        <v>2294</v>
      </c>
      <c r="L28" s="1847" t="s">
        <v>2295</v>
      </c>
      <c r="M28" s="1790">
        <v>28</v>
      </c>
      <c r="N28" s="1881"/>
      <c r="O28" s="2629" t="s">
        <v>2296</v>
      </c>
      <c r="P28" s="2630" t="s">
        <v>2297</v>
      </c>
      <c r="Q28" s="1752">
        <f>+V28/$R$28</f>
        <v>0</v>
      </c>
      <c r="R28" s="2982">
        <f>SUM(V28:V35)</f>
        <v>260625000</v>
      </c>
      <c r="S28" s="2630" t="s">
        <v>2298</v>
      </c>
      <c r="T28" s="1847" t="s">
        <v>2299</v>
      </c>
      <c r="U28" s="1882" t="s">
        <v>2300</v>
      </c>
      <c r="V28" s="1778"/>
      <c r="W28" s="1785"/>
      <c r="X28" s="1780"/>
      <c r="Y28" s="2980">
        <v>21554</v>
      </c>
      <c r="Z28" s="2980">
        <v>22392</v>
      </c>
      <c r="AA28" s="2980">
        <v>31677</v>
      </c>
      <c r="AB28" s="2980">
        <v>10302</v>
      </c>
      <c r="AC28" s="2980">
        <v>1874</v>
      </c>
      <c r="AD28" s="2980">
        <v>93</v>
      </c>
      <c r="AE28" s="2980">
        <v>238</v>
      </c>
      <c r="AF28" s="2980">
        <v>245</v>
      </c>
      <c r="AG28" s="2980">
        <v>0</v>
      </c>
      <c r="AH28" s="2980">
        <v>0</v>
      </c>
      <c r="AI28" s="2980">
        <v>0</v>
      </c>
      <c r="AJ28" s="2980">
        <v>0</v>
      </c>
      <c r="AK28" s="2980">
        <v>2629</v>
      </c>
      <c r="AL28" s="2980">
        <v>2665</v>
      </c>
      <c r="AM28" s="2980">
        <v>2683</v>
      </c>
      <c r="AN28" s="2980">
        <v>43946</v>
      </c>
      <c r="AO28" s="2632">
        <v>43101</v>
      </c>
      <c r="AP28" s="2632">
        <v>43465</v>
      </c>
      <c r="AQ28" s="3010" t="s">
        <v>2517</v>
      </c>
    </row>
    <row r="29" spans="1:43" ht="140.25" customHeight="1" x14ac:dyDescent="0.25">
      <c r="A29" s="1883"/>
      <c r="B29" s="469"/>
      <c r="C29" s="469"/>
      <c r="D29" s="1879"/>
      <c r="E29" s="1799"/>
      <c r="F29" s="1880"/>
      <c r="G29" s="470"/>
      <c r="H29" s="470"/>
      <c r="I29" s="470"/>
      <c r="J29" s="1780">
        <v>76</v>
      </c>
      <c r="K29" s="1861" t="s">
        <v>2301</v>
      </c>
      <c r="L29" s="1861" t="s">
        <v>2302</v>
      </c>
      <c r="M29" s="1789">
        <v>1050</v>
      </c>
      <c r="N29" s="1881"/>
      <c r="O29" s="2629"/>
      <c r="P29" s="2630"/>
      <c r="Q29" s="1772">
        <v>1</v>
      </c>
      <c r="R29" s="2982"/>
      <c r="S29" s="2630"/>
      <c r="T29" s="1861" t="s">
        <v>2303</v>
      </c>
      <c r="U29" s="1737" t="s">
        <v>2304</v>
      </c>
      <c r="V29" s="1791">
        <f>30000000+150000000+64825000</f>
        <v>244825000</v>
      </c>
      <c r="W29" s="1763"/>
      <c r="X29" s="1759"/>
      <c r="Y29" s="2980"/>
      <c r="Z29" s="2980"/>
      <c r="AA29" s="2980"/>
      <c r="AB29" s="2980"/>
      <c r="AC29" s="2980"/>
      <c r="AD29" s="2980"/>
      <c r="AE29" s="2980"/>
      <c r="AF29" s="2980"/>
      <c r="AG29" s="2980"/>
      <c r="AH29" s="2980"/>
      <c r="AI29" s="2980"/>
      <c r="AJ29" s="2980"/>
      <c r="AK29" s="2980"/>
      <c r="AL29" s="2980"/>
      <c r="AM29" s="2980"/>
      <c r="AN29" s="2980"/>
      <c r="AO29" s="2980"/>
      <c r="AP29" s="2980"/>
      <c r="AQ29" s="3010"/>
    </row>
    <row r="30" spans="1:43" ht="65.25" customHeight="1" x14ac:dyDescent="0.25">
      <c r="A30" s="1883"/>
      <c r="B30" s="469"/>
      <c r="C30" s="469"/>
      <c r="D30" s="1879"/>
      <c r="E30" s="1799"/>
      <c r="F30" s="1880"/>
      <c r="G30" s="470"/>
      <c r="H30" s="470"/>
      <c r="I30" s="470"/>
      <c r="J30" s="1776">
        <v>77</v>
      </c>
      <c r="K30" s="1711" t="s">
        <v>2305</v>
      </c>
      <c r="L30" s="1711" t="s">
        <v>2306</v>
      </c>
      <c r="M30" s="1729">
        <v>73</v>
      </c>
      <c r="N30" s="1881"/>
      <c r="O30" s="2629"/>
      <c r="P30" s="2630"/>
      <c r="Q30" s="1754">
        <v>0</v>
      </c>
      <c r="R30" s="2982"/>
      <c r="S30" s="2630"/>
      <c r="T30" s="1711" t="s">
        <v>2307</v>
      </c>
      <c r="U30" s="1744" t="s">
        <v>2308</v>
      </c>
      <c r="V30" s="1755"/>
      <c r="W30" s="1786"/>
      <c r="X30" s="1781"/>
      <c r="Y30" s="2980"/>
      <c r="Z30" s="2980"/>
      <c r="AA30" s="2980"/>
      <c r="AB30" s="2980"/>
      <c r="AC30" s="2980"/>
      <c r="AD30" s="2980"/>
      <c r="AE30" s="2980"/>
      <c r="AF30" s="2980"/>
      <c r="AG30" s="2980"/>
      <c r="AH30" s="2980"/>
      <c r="AI30" s="2980"/>
      <c r="AJ30" s="2980"/>
      <c r="AK30" s="2980"/>
      <c r="AL30" s="2980"/>
      <c r="AM30" s="2980"/>
      <c r="AN30" s="2980"/>
      <c r="AO30" s="2980"/>
      <c r="AP30" s="2980"/>
      <c r="AQ30" s="3010"/>
    </row>
    <row r="31" spans="1:43" ht="105.75" customHeight="1" x14ac:dyDescent="0.25">
      <c r="A31" s="1883"/>
      <c r="B31" s="469"/>
      <c r="C31" s="469"/>
      <c r="D31" s="1879"/>
      <c r="E31" s="1799"/>
      <c r="F31" s="1880"/>
      <c r="G31" s="470"/>
      <c r="H31" s="470"/>
      <c r="I31" s="470"/>
      <c r="J31" s="1776">
        <v>78</v>
      </c>
      <c r="K31" s="1711" t="s">
        <v>2309</v>
      </c>
      <c r="L31" s="1711" t="s">
        <v>2310</v>
      </c>
      <c r="M31" s="1729">
        <v>14</v>
      </c>
      <c r="N31" s="1781" t="s">
        <v>2311</v>
      </c>
      <c r="O31" s="2629"/>
      <c r="P31" s="2630"/>
      <c r="Q31" s="1754">
        <v>0</v>
      </c>
      <c r="R31" s="2982"/>
      <c r="S31" s="2630"/>
      <c r="T31" s="1711" t="s">
        <v>2312</v>
      </c>
      <c r="U31" s="1744" t="s">
        <v>2313</v>
      </c>
      <c r="V31" s="1755"/>
      <c r="W31" s="1763" t="s">
        <v>64</v>
      </c>
      <c r="X31" s="1759" t="s">
        <v>2519</v>
      </c>
      <c r="Y31" s="2980"/>
      <c r="Z31" s="2980"/>
      <c r="AA31" s="2980"/>
      <c r="AB31" s="2980"/>
      <c r="AC31" s="2980"/>
      <c r="AD31" s="2980"/>
      <c r="AE31" s="2980"/>
      <c r="AF31" s="2980"/>
      <c r="AG31" s="2980"/>
      <c r="AH31" s="2980"/>
      <c r="AI31" s="2980"/>
      <c r="AJ31" s="2980"/>
      <c r="AK31" s="2980"/>
      <c r="AL31" s="2980"/>
      <c r="AM31" s="2980"/>
      <c r="AN31" s="2980"/>
      <c r="AO31" s="2980"/>
      <c r="AP31" s="2980"/>
      <c r="AQ31" s="3010"/>
    </row>
    <row r="32" spans="1:43" ht="65.25" customHeight="1" x14ac:dyDescent="0.25">
      <c r="A32" s="1883"/>
      <c r="B32" s="469"/>
      <c r="C32" s="469"/>
      <c r="D32" s="1879"/>
      <c r="E32" s="1799"/>
      <c r="F32" s="1880"/>
      <c r="G32" s="470"/>
      <c r="H32" s="470"/>
      <c r="I32" s="470"/>
      <c r="J32" s="1776">
        <v>79</v>
      </c>
      <c r="K32" s="1711" t="s">
        <v>2314</v>
      </c>
      <c r="L32" s="1711" t="s">
        <v>2315</v>
      </c>
      <c r="M32" s="1729">
        <v>213</v>
      </c>
      <c r="N32" s="1884" t="s">
        <v>2316</v>
      </c>
      <c r="O32" s="2629"/>
      <c r="P32" s="2630"/>
      <c r="Q32" s="1754">
        <v>0</v>
      </c>
      <c r="R32" s="2982"/>
      <c r="S32" s="2630"/>
      <c r="T32" s="1711" t="s">
        <v>2317</v>
      </c>
      <c r="U32" s="1744" t="s">
        <v>2318</v>
      </c>
      <c r="V32" s="1885">
        <v>15800000</v>
      </c>
      <c r="W32" s="1763"/>
      <c r="X32" s="1759"/>
      <c r="Y32" s="2980"/>
      <c r="Z32" s="2980"/>
      <c r="AA32" s="2980"/>
      <c r="AB32" s="2980"/>
      <c r="AC32" s="2980"/>
      <c r="AD32" s="2980"/>
      <c r="AE32" s="2980"/>
      <c r="AF32" s="2980"/>
      <c r="AG32" s="2980"/>
      <c r="AH32" s="2980"/>
      <c r="AI32" s="2980"/>
      <c r="AJ32" s="2980"/>
      <c r="AK32" s="2980"/>
      <c r="AL32" s="2980"/>
      <c r="AM32" s="2980"/>
      <c r="AN32" s="2980"/>
      <c r="AO32" s="2980"/>
      <c r="AP32" s="2980"/>
      <c r="AQ32" s="3010"/>
    </row>
    <row r="33" spans="1:43" ht="65.25" customHeight="1" x14ac:dyDescent="0.25">
      <c r="A33" s="1883"/>
      <c r="B33" s="469"/>
      <c r="C33" s="469"/>
      <c r="D33" s="1879"/>
      <c r="E33" s="1799"/>
      <c r="F33" s="1880"/>
      <c r="G33" s="470"/>
      <c r="H33" s="470"/>
      <c r="I33" s="470"/>
      <c r="J33" s="1776">
        <v>80</v>
      </c>
      <c r="K33" s="1711" t="s">
        <v>2319</v>
      </c>
      <c r="L33" s="1711" t="s">
        <v>2320</v>
      </c>
      <c r="M33" s="1729">
        <v>4476</v>
      </c>
      <c r="N33" s="1884"/>
      <c r="O33" s="2629"/>
      <c r="P33" s="2630"/>
      <c r="Q33" s="1754">
        <v>0</v>
      </c>
      <c r="R33" s="2982"/>
      <c r="S33" s="2630"/>
      <c r="T33" s="1711" t="s">
        <v>2321</v>
      </c>
      <c r="U33" s="1744" t="s">
        <v>2322</v>
      </c>
      <c r="V33" s="1755"/>
      <c r="W33" s="1786"/>
      <c r="X33" s="1781"/>
      <c r="Y33" s="2980"/>
      <c r="Z33" s="2980"/>
      <c r="AA33" s="2980"/>
      <c r="AB33" s="2980"/>
      <c r="AC33" s="2980"/>
      <c r="AD33" s="2980"/>
      <c r="AE33" s="2980"/>
      <c r="AF33" s="2980"/>
      <c r="AG33" s="2980"/>
      <c r="AH33" s="2980"/>
      <c r="AI33" s="2980"/>
      <c r="AJ33" s="2980"/>
      <c r="AK33" s="2980"/>
      <c r="AL33" s="2980"/>
      <c r="AM33" s="2980"/>
      <c r="AN33" s="2980"/>
      <c r="AO33" s="2980"/>
      <c r="AP33" s="2980"/>
      <c r="AQ33" s="3010"/>
    </row>
    <row r="34" spans="1:43" ht="65.25" customHeight="1" x14ac:dyDescent="0.25">
      <c r="A34" s="1883"/>
      <c r="B34" s="469"/>
      <c r="C34" s="469"/>
      <c r="D34" s="1879"/>
      <c r="E34" s="1799"/>
      <c r="F34" s="1880"/>
      <c r="G34" s="470"/>
      <c r="H34" s="470"/>
      <c r="I34" s="470"/>
      <c r="J34" s="1776">
        <v>81</v>
      </c>
      <c r="K34" s="1711" t="s">
        <v>2323</v>
      </c>
      <c r="L34" s="1711" t="s">
        <v>2324</v>
      </c>
      <c r="M34" s="1729">
        <v>32</v>
      </c>
      <c r="N34" s="1881"/>
      <c r="O34" s="2629"/>
      <c r="P34" s="2630"/>
      <c r="Q34" s="1754">
        <v>0</v>
      </c>
      <c r="R34" s="2982"/>
      <c r="S34" s="2630"/>
      <c r="T34" s="1711" t="s">
        <v>2299</v>
      </c>
      <c r="U34" s="1744" t="s">
        <v>2325</v>
      </c>
      <c r="V34" s="1755"/>
      <c r="W34" s="1786"/>
      <c r="X34" s="1781"/>
      <c r="Y34" s="2980"/>
      <c r="Z34" s="2980"/>
      <c r="AA34" s="2980"/>
      <c r="AB34" s="2980"/>
      <c r="AC34" s="2980"/>
      <c r="AD34" s="2980"/>
      <c r="AE34" s="2980"/>
      <c r="AF34" s="2980"/>
      <c r="AG34" s="2980"/>
      <c r="AH34" s="2980"/>
      <c r="AI34" s="2980"/>
      <c r="AJ34" s="2980"/>
      <c r="AK34" s="2980"/>
      <c r="AL34" s="2980"/>
      <c r="AM34" s="2980"/>
      <c r="AN34" s="2980"/>
      <c r="AO34" s="2980"/>
      <c r="AP34" s="2980"/>
      <c r="AQ34" s="3010"/>
    </row>
    <row r="35" spans="1:43" ht="65.25" customHeight="1" x14ac:dyDescent="0.25">
      <c r="A35" s="1883"/>
      <c r="B35" s="469"/>
      <c r="C35" s="469"/>
      <c r="D35" s="1879"/>
      <c r="E35" s="1799"/>
      <c r="F35" s="1880"/>
      <c r="G35" s="470"/>
      <c r="H35" s="470"/>
      <c r="I35" s="470"/>
      <c r="J35" s="1780">
        <v>82</v>
      </c>
      <c r="K35" s="1861" t="s">
        <v>2326</v>
      </c>
      <c r="L35" s="1861" t="s">
        <v>2327</v>
      </c>
      <c r="M35" s="1789">
        <v>32</v>
      </c>
      <c r="N35" s="1881"/>
      <c r="O35" s="2629"/>
      <c r="P35" s="2630"/>
      <c r="Q35" s="1772">
        <v>0</v>
      </c>
      <c r="R35" s="2982"/>
      <c r="S35" s="2630"/>
      <c r="T35" s="1861" t="s">
        <v>2299</v>
      </c>
      <c r="U35" s="1748" t="s">
        <v>2328</v>
      </c>
      <c r="V35" s="1779"/>
      <c r="W35" s="1787"/>
      <c r="X35" s="1782"/>
      <c r="Y35" s="2980"/>
      <c r="Z35" s="2980"/>
      <c r="AA35" s="2980"/>
      <c r="AB35" s="2980"/>
      <c r="AC35" s="2980"/>
      <c r="AD35" s="2980"/>
      <c r="AE35" s="2980"/>
      <c r="AF35" s="2980"/>
      <c r="AG35" s="2980"/>
      <c r="AH35" s="2980"/>
      <c r="AI35" s="2980"/>
      <c r="AJ35" s="2980"/>
      <c r="AK35" s="2980"/>
      <c r="AL35" s="2980"/>
      <c r="AM35" s="2980"/>
      <c r="AN35" s="2980"/>
      <c r="AO35" s="2980"/>
      <c r="AP35" s="2980"/>
      <c r="AQ35" s="3010"/>
    </row>
    <row r="36" spans="1:43" ht="14.25" customHeight="1" x14ac:dyDescent="0.25">
      <c r="A36" s="1883"/>
      <c r="B36" s="469"/>
      <c r="C36" s="469"/>
      <c r="D36" s="1842"/>
      <c r="E36" s="469"/>
      <c r="F36" s="1849"/>
      <c r="G36" s="1877">
        <v>20</v>
      </c>
      <c r="H36" s="1742" t="s">
        <v>2329</v>
      </c>
      <c r="I36" s="1742"/>
      <c r="J36" s="1742"/>
      <c r="K36" s="400"/>
      <c r="L36" s="400"/>
      <c r="M36" s="399"/>
      <c r="N36" s="1035"/>
      <c r="O36" s="399"/>
      <c r="P36" s="400"/>
      <c r="Q36" s="399"/>
      <c r="R36" s="1839"/>
      <c r="S36" s="400"/>
      <c r="T36" s="400"/>
      <c r="U36" s="400"/>
      <c r="V36" s="1839"/>
      <c r="W36" s="399"/>
      <c r="X36" s="399"/>
      <c r="Y36" s="399"/>
      <c r="Z36" s="399"/>
      <c r="AA36" s="399"/>
      <c r="AB36" s="399"/>
      <c r="AC36" s="399"/>
      <c r="AD36" s="399"/>
      <c r="AE36" s="399"/>
      <c r="AF36" s="399"/>
      <c r="AG36" s="399"/>
      <c r="AH36" s="399"/>
      <c r="AI36" s="399"/>
      <c r="AJ36" s="1823"/>
      <c r="AK36" s="1823"/>
      <c r="AL36" s="1823"/>
      <c r="AM36" s="1823"/>
      <c r="AN36" s="1823"/>
      <c r="AO36" s="1823"/>
      <c r="AP36" s="1823"/>
      <c r="AQ36" s="1824"/>
    </row>
    <row r="37" spans="1:43" ht="45.75" customHeight="1" x14ac:dyDescent="0.25">
      <c r="A37" s="1886"/>
      <c r="B37" s="775"/>
      <c r="C37" s="775"/>
      <c r="D37" s="1887"/>
      <c r="E37" s="1798"/>
      <c r="F37" s="1888"/>
      <c r="G37" s="3011"/>
      <c r="H37" s="3011"/>
      <c r="I37" s="3012"/>
      <c r="J37" s="1784">
        <v>83</v>
      </c>
      <c r="K37" s="1882" t="s">
        <v>2330</v>
      </c>
      <c r="L37" s="1882" t="s">
        <v>2331</v>
      </c>
      <c r="M37" s="1790">
        <v>47</v>
      </c>
      <c r="N37" s="1750"/>
      <c r="O37" s="2247" t="s">
        <v>2332</v>
      </c>
      <c r="P37" s="2185" t="s">
        <v>2333</v>
      </c>
      <c r="Q37" s="1889">
        <f>SUM(V37:V37)/R37</f>
        <v>0.33846618357487923</v>
      </c>
      <c r="R37" s="2982">
        <f>SUM(V37:V50)</f>
        <v>331200000</v>
      </c>
      <c r="S37" s="2185" t="s">
        <v>2334</v>
      </c>
      <c r="T37" s="1882" t="s">
        <v>2335</v>
      </c>
      <c r="U37" s="609" t="s">
        <v>2336</v>
      </c>
      <c r="V37" s="1932">
        <f>0+80000000+32100000</f>
        <v>112100000</v>
      </c>
      <c r="W37" s="2205" t="s">
        <v>64</v>
      </c>
      <c r="X37" s="2086" t="s">
        <v>306</v>
      </c>
      <c r="Y37" s="3008">
        <v>21554</v>
      </c>
      <c r="Z37" s="3008">
        <v>22392</v>
      </c>
      <c r="AA37" s="3009">
        <v>31677</v>
      </c>
      <c r="AB37" s="3009">
        <v>10302</v>
      </c>
      <c r="AC37" s="3009">
        <v>1874</v>
      </c>
      <c r="AD37" s="3009">
        <v>93</v>
      </c>
      <c r="AE37" s="3009">
        <v>238</v>
      </c>
      <c r="AF37" s="3009">
        <v>245</v>
      </c>
      <c r="AG37" s="3009">
        <v>0</v>
      </c>
      <c r="AH37" s="3009">
        <v>0</v>
      </c>
      <c r="AI37" s="3009">
        <v>0</v>
      </c>
      <c r="AJ37" s="3009">
        <v>0</v>
      </c>
      <c r="AK37" s="3009">
        <v>2629</v>
      </c>
      <c r="AL37" s="3009">
        <v>2665</v>
      </c>
      <c r="AM37" s="3009">
        <v>2683</v>
      </c>
      <c r="AN37" s="3009">
        <v>43946</v>
      </c>
      <c r="AO37" s="2994">
        <v>43101</v>
      </c>
      <c r="AP37" s="3006">
        <v>43465</v>
      </c>
      <c r="AQ37" s="2978" t="s">
        <v>2517</v>
      </c>
    </row>
    <row r="38" spans="1:43" ht="45.75" customHeight="1" x14ac:dyDescent="0.25">
      <c r="A38" s="1886"/>
      <c r="B38" s="775"/>
      <c r="C38" s="775"/>
      <c r="D38" s="1887"/>
      <c r="E38" s="1798"/>
      <c r="F38" s="1888"/>
      <c r="G38" s="3011"/>
      <c r="H38" s="3011"/>
      <c r="I38" s="3012"/>
      <c r="J38" s="1743">
        <v>84</v>
      </c>
      <c r="K38" s="1744" t="s">
        <v>2337</v>
      </c>
      <c r="L38" s="1744" t="s">
        <v>2338</v>
      </c>
      <c r="M38" s="1743">
        <v>26</v>
      </c>
      <c r="N38" s="1750"/>
      <c r="O38" s="2247"/>
      <c r="P38" s="2185"/>
      <c r="Q38" s="1890">
        <f>+V38/R37</f>
        <v>0</v>
      </c>
      <c r="R38" s="2982"/>
      <c r="S38" s="2185"/>
      <c r="T38" s="1744" t="s">
        <v>2339</v>
      </c>
      <c r="U38" s="1744" t="s">
        <v>2340</v>
      </c>
      <c r="V38" s="1755"/>
      <c r="W38" s="3009"/>
      <c r="X38" s="3008"/>
      <c r="Y38" s="3008"/>
      <c r="Z38" s="3008"/>
      <c r="AA38" s="3009"/>
      <c r="AB38" s="3009"/>
      <c r="AC38" s="3009"/>
      <c r="AD38" s="3009"/>
      <c r="AE38" s="3009"/>
      <c r="AF38" s="3009"/>
      <c r="AG38" s="3009"/>
      <c r="AH38" s="3009"/>
      <c r="AI38" s="3009"/>
      <c r="AJ38" s="3009"/>
      <c r="AK38" s="3009"/>
      <c r="AL38" s="3009"/>
      <c r="AM38" s="3009"/>
      <c r="AN38" s="3009"/>
      <c r="AO38" s="2823"/>
      <c r="AP38" s="3007"/>
      <c r="AQ38" s="2978"/>
    </row>
    <row r="39" spans="1:43" ht="45.75" customHeight="1" x14ac:dyDescent="0.25">
      <c r="A39" s="1886"/>
      <c r="B39" s="775"/>
      <c r="C39" s="775"/>
      <c r="D39" s="1887"/>
      <c r="E39" s="1798"/>
      <c r="F39" s="1888"/>
      <c r="G39" s="3011"/>
      <c r="H39" s="3011"/>
      <c r="I39" s="3012"/>
      <c r="J39" s="1743">
        <v>85</v>
      </c>
      <c r="K39" s="1744" t="s">
        <v>2341</v>
      </c>
      <c r="L39" s="1744" t="s">
        <v>2342</v>
      </c>
      <c r="M39" s="1743">
        <v>26</v>
      </c>
      <c r="N39" s="1750"/>
      <c r="O39" s="2247"/>
      <c r="P39" s="2185"/>
      <c r="Q39" s="1890">
        <f>+V39/R37</f>
        <v>4.8460144927536232E-2</v>
      </c>
      <c r="R39" s="2982"/>
      <c r="S39" s="2185"/>
      <c r="T39" s="1748" t="s">
        <v>2343</v>
      </c>
      <c r="U39" s="1744" t="s">
        <v>2344</v>
      </c>
      <c r="V39" s="1755">
        <f>0+16050000</f>
        <v>16050000</v>
      </c>
      <c r="W39" s="3009"/>
      <c r="X39" s="3008"/>
      <c r="Y39" s="3008"/>
      <c r="Z39" s="3008"/>
      <c r="AA39" s="3009"/>
      <c r="AB39" s="3009"/>
      <c r="AC39" s="3009"/>
      <c r="AD39" s="3009"/>
      <c r="AE39" s="3009"/>
      <c r="AF39" s="3009"/>
      <c r="AG39" s="3009"/>
      <c r="AH39" s="3009"/>
      <c r="AI39" s="3009"/>
      <c r="AJ39" s="3009"/>
      <c r="AK39" s="3009"/>
      <c r="AL39" s="3009"/>
      <c r="AM39" s="3009"/>
      <c r="AN39" s="3009"/>
      <c r="AO39" s="2823"/>
      <c r="AP39" s="3007"/>
      <c r="AQ39" s="2978"/>
    </row>
    <row r="40" spans="1:43" ht="45.75" customHeight="1" x14ac:dyDescent="0.25">
      <c r="A40" s="1886"/>
      <c r="B40" s="775"/>
      <c r="C40" s="775"/>
      <c r="D40" s="1887"/>
      <c r="E40" s="1798"/>
      <c r="F40" s="1888"/>
      <c r="G40" s="3011"/>
      <c r="H40" s="3011"/>
      <c r="I40" s="3012"/>
      <c r="J40" s="1743">
        <v>87</v>
      </c>
      <c r="K40" s="1744" t="s">
        <v>2345</v>
      </c>
      <c r="L40" s="1744" t="s">
        <v>2346</v>
      </c>
      <c r="M40" s="1743">
        <v>30</v>
      </c>
      <c r="N40" s="1750"/>
      <c r="O40" s="2247"/>
      <c r="P40" s="2185"/>
      <c r="Q40" s="1890">
        <f>+V40/R37</f>
        <v>6.0386473429951688E-2</v>
      </c>
      <c r="R40" s="2982"/>
      <c r="S40" s="2185"/>
      <c r="T40" s="1744" t="s">
        <v>2347</v>
      </c>
      <c r="U40" s="1744" t="s">
        <v>2348</v>
      </c>
      <c r="V40" s="1755">
        <v>20000000</v>
      </c>
      <c r="W40" s="3009"/>
      <c r="X40" s="3008"/>
      <c r="Y40" s="3008"/>
      <c r="Z40" s="3008"/>
      <c r="AA40" s="3009"/>
      <c r="AB40" s="3009"/>
      <c r="AC40" s="3009"/>
      <c r="AD40" s="3009"/>
      <c r="AE40" s="3009"/>
      <c r="AF40" s="3009"/>
      <c r="AG40" s="3009"/>
      <c r="AH40" s="3009"/>
      <c r="AI40" s="3009"/>
      <c r="AJ40" s="3009"/>
      <c r="AK40" s="3009"/>
      <c r="AL40" s="3009"/>
      <c r="AM40" s="3009"/>
      <c r="AN40" s="3009"/>
      <c r="AO40" s="2823"/>
      <c r="AP40" s="3007"/>
      <c r="AQ40" s="2978"/>
    </row>
    <row r="41" spans="1:43" ht="45.75" customHeight="1" x14ac:dyDescent="0.25">
      <c r="A41" s="1886"/>
      <c r="B41" s="775"/>
      <c r="C41" s="775"/>
      <c r="D41" s="1887"/>
      <c r="E41" s="1798"/>
      <c r="F41" s="1888"/>
      <c r="G41" s="3011"/>
      <c r="H41" s="3011"/>
      <c r="I41" s="3012"/>
      <c r="J41" s="2086">
        <v>88</v>
      </c>
      <c r="K41" s="2088" t="s">
        <v>2349</v>
      </c>
      <c r="L41" s="2088" t="s">
        <v>2350</v>
      </c>
      <c r="M41" s="2086">
        <v>34</v>
      </c>
      <c r="N41" s="1750"/>
      <c r="O41" s="2247"/>
      <c r="P41" s="2185"/>
      <c r="Q41" s="2999">
        <f>+V42+V41/R37</f>
        <v>0.20848429951690822</v>
      </c>
      <c r="R41" s="2982"/>
      <c r="S41" s="2185"/>
      <c r="T41" s="2088" t="s">
        <v>2351</v>
      </c>
      <c r="U41" s="1744" t="s">
        <v>2352</v>
      </c>
      <c r="V41" s="1755">
        <f>0+53000000+16050000</f>
        <v>69050000</v>
      </c>
      <c r="W41" s="3009"/>
      <c r="X41" s="3008"/>
      <c r="Y41" s="3008"/>
      <c r="Z41" s="3008"/>
      <c r="AA41" s="3009"/>
      <c r="AB41" s="3009"/>
      <c r="AC41" s="3009"/>
      <c r="AD41" s="3009"/>
      <c r="AE41" s="3009"/>
      <c r="AF41" s="3009"/>
      <c r="AG41" s="3009"/>
      <c r="AH41" s="3009"/>
      <c r="AI41" s="3009"/>
      <c r="AJ41" s="3009"/>
      <c r="AK41" s="3009"/>
      <c r="AL41" s="3009"/>
      <c r="AM41" s="3009"/>
      <c r="AN41" s="3009"/>
      <c r="AO41" s="2823"/>
      <c r="AP41" s="3007"/>
      <c r="AQ41" s="2978"/>
    </row>
    <row r="42" spans="1:43" ht="68.25" customHeight="1" x14ac:dyDescent="0.25">
      <c r="A42" s="1886"/>
      <c r="B42" s="775"/>
      <c r="C42" s="775"/>
      <c r="D42" s="1887"/>
      <c r="E42" s="1798"/>
      <c r="F42" s="1888"/>
      <c r="G42" s="3011"/>
      <c r="H42" s="3011"/>
      <c r="I42" s="3012"/>
      <c r="J42" s="2087"/>
      <c r="K42" s="2089"/>
      <c r="L42" s="2089"/>
      <c r="M42" s="2087"/>
      <c r="N42" s="1750" t="s">
        <v>2353</v>
      </c>
      <c r="O42" s="2247"/>
      <c r="P42" s="2185"/>
      <c r="Q42" s="3001"/>
      <c r="R42" s="2982"/>
      <c r="S42" s="2185"/>
      <c r="T42" s="2089"/>
      <c r="U42" s="1744" t="s">
        <v>2354</v>
      </c>
      <c r="V42" s="1755"/>
      <c r="W42" s="3009"/>
      <c r="X42" s="3008"/>
      <c r="Y42" s="3008"/>
      <c r="Z42" s="3008"/>
      <c r="AA42" s="3009"/>
      <c r="AB42" s="3009"/>
      <c r="AC42" s="3009"/>
      <c r="AD42" s="3009"/>
      <c r="AE42" s="3009"/>
      <c r="AF42" s="3009"/>
      <c r="AG42" s="3009"/>
      <c r="AH42" s="3009"/>
      <c r="AI42" s="3009"/>
      <c r="AJ42" s="3009"/>
      <c r="AK42" s="3009"/>
      <c r="AL42" s="3009"/>
      <c r="AM42" s="3009"/>
      <c r="AN42" s="3009"/>
      <c r="AO42" s="2823"/>
      <c r="AP42" s="3007"/>
      <c r="AQ42" s="2978"/>
    </row>
    <row r="43" spans="1:43" ht="45.75" customHeight="1" x14ac:dyDescent="0.25">
      <c r="A43" s="1886"/>
      <c r="B43" s="775"/>
      <c r="C43" s="775"/>
      <c r="D43" s="1887"/>
      <c r="E43" s="1798"/>
      <c r="F43" s="1888"/>
      <c r="G43" s="3011"/>
      <c r="H43" s="3011"/>
      <c r="I43" s="3012"/>
      <c r="J43" s="2206">
        <v>86</v>
      </c>
      <c r="K43" s="2088" t="s">
        <v>2355</v>
      </c>
      <c r="L43" s="2088" t="s">
        <v>2356</v>
      </c>
      <c r="M43" s="2086">
        <v>3</v>
      </c>
      <c r="N43" s="1750"/>
      <c r="O43" s="2247"/>
      <c r="P43" s="2185"/>
      <c r="Q43" s="2999">
        <f>V43/R37</f>
        <v>0</v>
      </c>
      <c r="R43" s="2982"/>
      <c r="S43" s="2185"/>
      <c r="T43" s="2088" t="s">
        <v>2347</v>
      </c>
      <c r="U43" s="1744" t="s">
        <v>2357</v>
      </c>
      <c r="V43" s="1755"/>
      <c r="W43" s="3009"/>
      <c r="X43" s="3008"/>
      <c r="Y43" s="3008"/>
      <c r="Z43" s="3008"/>
      <c r="AA43" s="3009"/>
      <c r="AB43" s="3009"/>
      <c r="AC43" s="3009"/>
      <c r="AD43" s="3009"/>
      <c r="AE43" s="3009"/>
      <c r="AF43" s="3009"/>
      <c r="AG43" s="3009"/>
      <c r="AH43" s="3009"/>
      <c r="AI43" s="3009"/>
      <c r="AJ43" s="3009"/>
      <c r="AK43" s="3009"/>
      <c r="AL43" s="3009"/>
      <c r="AM43" s="3009"/>
      <c r="AN43" s="3009"/>
      <c r="AO43" s="2823"/>
      <c r="AP43" s="3007"/>
      <c r="AQ43" s="2978"/>
    </row>
    <row r="44" spans="1:43" ht="45.75" customHeight="1" x14ac:dyDescent="0.25">
      <c r="A44" s="1886"/>
      <c r="B44" s="775"/>
      <c r="C44" s="775"/>
      <c r="D44" s="1887"/>
      <c r="E44" s="1798"/>
      <c r="F44" s="1888"/>
      <c r="G44" s="3011"/>
      <c r="H44" s="3011"/>
      <c r="I44" s="3012"/>
      <c r="J44" s="3008"/>
      <c r="K44" s="2185"/>
      <c r="L44" s="2185"/>
      <c r="M44" s="2247"/>
      <c r="N44" s="1750" t="s">
        <v>2358</v>
      </c>
      <c r="O44" s="2247"/>
      <c r="P44" s="2185"/>
      <c r="Q44" s="3000"/>
      <c r="R44" s="2982"/>
      <c r="S44" s="2185"/>
      <c r="T44" s="2185"/>
      <c r="U44" s="1744" t="s">
        <v>2359</v>
      </c>
      <c r="V44" s="1755"/>
      <c r="W44" s="3009"/>
      <c r="X44" s="3008"/>
      <c r="Y44" s="3008"/>
      <c r="Z44" s="3008"/>
      <c r="AA44" s="3009"/>
      <c r="AB44" s="3009"/>
      <c r="AC44" s="3009"/>
      <c r="AD44" s="3009"/>
      <c r="AE44" s="3009"/>
      <c r="AF44" s="3009"/>
      <c r="AG44" s="3009"/>
      <c r="AH44" s="3009"/>
      <c r="AI44" s="3009"/>
      <c r="AJ44" s="3009"/>
      <c r="AK44" s="3009"/>
      <c r="AL44" s="3009"/>
      <c r="AM44" s="3009"/>
      <c r="AN44" s="3009"/>
      <c r="AO44" s="2823"/>
      <c r="AP44" s="3007"/>
      <c r="AQ44" s="2978"/>
    </row>
    <row r="45" spans="1:43" ht="45.75" customHeight="1" x14ac:dyDescent="0.25">
      <c r="A45" s="1886"/>
      <c r="B45" s="775"/>
      <c r="C45" s="775"/>
      <c r="D45" s="1887"/>
      <c r="E45" s="1798"/>
      <c r="F45" s="1888"/>
      <c r="G45" s="3011"/>
      <c r="H45" s="3011"/>
      <c r="I45" s="3012"/>
      <c r="J45" s="2855"/>
      <c r="K45" s="2089"/>
      <c r="L45" s="2089"/>
      <c r="M45" s="2087"/>
      <c r="N45" s="1750"/>
      <c r="O45" s="2247"/>
      <c r="P45" s="2185"/>
      <c r="Q45" s="3001"/>
      <c r="R45" s="2982"/>
      <c r="S45" s="2185"/>
      <c r="T45" s="2089"/>
      <c r="U45" s="1727" t="s">
        <v>2518</v>
      </c>
      <c r="V45" s="1755"/>
      <c r="W45" s="3009"/>
      <c r="X45" s="3008"/>
      <c r="Y45" s="3008"/>
      <c r="Z45" s="3008"/>
      <c r="AA45" s="3009"/>
      <c r="AB45" s="3009"/>
      <c r="AC45" s="3009"/>
      <c r="AD45" s="3009"/>
      <c r="AE45" s="3009"/>
      <c r="AF45" s="3009"/>
      <c r="AG45" s="3009"/>
      <c r="AH45" s="3009"/>
      <c r="AI45" s="3009"/>
      <c r="AJ45" s="3009"/>
      <c r="AK45" s="3009"/>
      <c r="AL45" s="3009"/>
      <c r="AM45" s="3009"/>
      <c r="AN45" s="3009"/>
      <c r="AO45" s="2823"/>
      <c r="AP45" s="3007"/>
      <c r="AQ45" s="2978"/>
    </row>
    <row r="46" spans="1:43" ht="45.75" customHeight="1" x14ac:dyDescent="0.25">
      <c r="A46" s="1886"/>
      <c r="B46" s="775"/>
      <c r="C46" s="775"/>
      <c r="D46" s="1887"/>
      <c r="E46" s="1798"/>
      <c r="F46" s="1888"/>
      <c r="G46" s="3011"/>
      <c r="H46" s="3011"/>
      <c r="I46" s="3012"/>
      <c r="J46" s="1743">
        <v>89</v>
      </c>
      <c r="K46" s="1744" t="s">
        <v>2360</v>
      </c>
      <c r="L46" s="1744" t="s">
        <v>2361</v>
      </c>
      <c r="M46" s="1743">
        <v>17500</v>
      </c>
      <c r="N46" s="1750"/>
      <c r="O46" s="2247"/>
      <c r="P46" s="2185"/>
      <c r="Q46" s="1890">
        <f>+V46/R37</f>
        <v>0</v>
      </c>
      <c r="R46" s="2982"/>
      <c r="S46" s="2185"/>
      <c r="T46" s="1744" t="s">
        <v>2362</v>
      </c>
      <c r="U46" s="1744" t="s">
        <v>2363</v>
      </c>
      <c r="V46" s="1755"/>
      <c r="W46" s="3009"/>
      <c r="X46" s="3008"/>
      <c r="Y46" s="3008"/>
      <c r="Z46" s="3008"/>
      <c r="AA46" s="3009"/>
      <c r="AB46" s="3009"/>
      <c r="AC46" s="3009"/>
      <c r="AD46" s="3009"/>
      <c r="AE46" s="3009"/>
      <c r="AF46" s="3009"/>
      <c r="AG46" s="3009"/>
      <c r="AH46" s="3009"/>
      <c r="AI46" s="3009"/>
      <c r="AJ46" s="3009"/>
      <c r="AK46" s="3009"/>
      <c r="AL46" s="3009"/>
      <c r="AM46" s="3009"/>
      <c r="AN46" s="3009"/>
      <c r="AO46" s="2823"/>
      <c r="AP46" s="3007"/>
      <c r="AQ46" s="2978"/>
    </row>
    <row r="47" spans="1:43" ht="45.75" customHeight="1" x14ac:dyDescent="0.25">
      <c r="A47" s="1886"/>
      <c r="B47" s="775"/>
      <c r="C47" s="775"/>
      <c r="D47" s="1887"/>
      <c r="E47" s="1798"/>
      <c r="F47" s="1888"/>
      <c r="G47" s="3011"/>
      <c r="H47" s="3011"/>
      <c r="I47" s="3012"/>
      <c r="J47" s="2206">
        <v>90</v>
      </c>
      <c r="K47" s="2088" t="s">
        <v>2364</v>
      </c>
      <c r="L47" s="2088" t="s">
        <v>2365</v>
      </c>
      <c r="M47" s="3002">
        <v>126</v>
      </c>
      <c r="N47" s="1750"/>
      <c r="O47" s="2247"/>
      <c r="P47" s="2185"/>
      <c r="Q47" s="3004">
        <f>(V47+V48)/R37</f>
        <v>6.0386473429951688E-2</v>
      </c>
      <c r="R47" s="2982"/>
      <c r="S47" s="2185"/>
      <c r="T47" s="2088" t="s">
        <v>2366</v>
      </c>
      <c r="U47" s="1744" t="s">
        <v>2367</v>
      </c>
      <c r="V47" s="1755"/>
      <c r="W47" s="3009"/>
      <c r="X47" s="3008"/>
      <c r="Y47" s="3008"/>
      <c r="Z47" s="3008"/>
      <c r="AA47" s="3009"/>
      <c r="AB47" s="3009"/>
      <c r="AC47" s="3009"/>
      <c r="AD47" s="3009"/>
      <c r="AE47" s="3009"/>
      <c r="AF47" s="3009"/>
      <c r="AG47" s="3009"/>
      <c r="AH47" s="3009"/>
      <c r="AI47" s="3009"/>
      <c r="AJ47" s="3009"/>
      <c r="AK47" s="3009"/>
      <c r="AL47" s="3009"/>
      <c r="AM47" s="3009"/>
      <c r="AN47" s="3009"/>
      <c r="AO47" s="2823"/>
      <c r="AP47" s="3007"/>
      <c r="AQ47" s="2978"/>
    </row>
    <row r="48" spans="1:43" ht="45.75" customHeight="1" x14ac:dyDescent="0.25">
      <c r="A48" s="1886"/>
      <c r="B48" s="775"/>
      <c r="C48" s="775"/>
      <c r="D48" s="1887"/>
      <c r="E48" s="1798"/>
      <c r="F48" s="1888"/>
      <c r="G48" s="3011"/>
      <c r="H48" s="3011"/>
      <c r="I48" s="3012"/>
      <c r="J48" s="2855"/>
      <c r="K48" s="2089"/>
      <c r="L48" s="2089"/>
      <c r="M48" s="3003"/>
      <c r="N48" s="1750"/>
      <c r="O48" s="2247"/>
      <c r="P48" s="2185"/>
      <c r="Q48" s="3005"/>
      <c r="R48" s="2982"/>
      <c r="S48" s="2185"/>
      <c r="T48" s="2089"/>
      <c r="U48" s="1744" t="s">
        <v>2368</v>
      </c>
      <c r="V48" s="1755">
        <v>20000000</v>
      </c>
      <c r="W48" s="3009"/>
      <c r="X48" s="3008"/>
      <c r="Y48" s="3008"/>
      <c r="Z48" s="3008"/>
      <c r="AA48" s="3009"/>
      <c r="AB48" s="3009"/>
      <c r="AC48" s="3009"/>
      <c r="AD48" s="3009"/>
      <c r="AE48" s="3009"/>
      <c r="AF48" s="3009"/>
      <c r="AG48" s="3009"/>
      <c r="AH48" s="3009"/>
      <c r="AI48" s="3009"/>
      <c r="AJ48" s="3009"/>
      <c r="AK48" s="3009"/>
      <c r="AL48" s="3009"/>
      <c r="AM48" s="3009"/>
      <c r="AN48" s="3009"/>
      <c r="AO48" s="2823"/>
      <c r="AP48" s="3007"/>
      <c r="AQ48" s="2978"/>
    </row>
    <row r="49" spans="1:43" ht="59.25" customHeight="1" x14ac:dyDescent="0.25">
      <c r="A49" s="1886"/>
      <c r="B49" s="775"/>
      <c r="C49" s="775"/>
      <c r="D49" s="1887"/>
      <c r="E49" s="1798"/>
      <c r="F49" s="1888"/>
      <c r="G49" s="3011"/>
      <c r="H49" s="3011"/>
      <c r="I49" s="3012"/>
      <c r="J49" s="1743">
        <v>91</v>
      </c>
      <c r="K49" s="1744" t="s">
        <v>2369</v>
      </c>
      <c r="L49" s="1744" t="s">
        <v>2370</v>
      </c>
      <c r="M49" s="1729">
        <v>54</v>
      </c>
      <c r="N49" s="1750"/>
      <c r="O49" s="2247"/>
      <c r="P49" s="2185"/>
      <c r="Q49" s="1890">
        <f>+V49/R37</f>
        <v>0.28381642512077293</v>
      </c>
      <c r="R49" s="2982"/>
      <c r="S49" s="2185"/>
      <c r="T49" s="1744" t="s">
        <v>2371</v>
      </c>
      <c r="U49" s="1744" t="s">
        <v>2372</v>
      </c>
      <c r="V49" s="1755">
        <f>20000000+74000000</f>
        <v>94000000</v>
      </c>
      <c r="W49" s="3009"/>
      <c r="X49" s="3008"/>
      <c r="Y49" s="3008"/>
      <c r="Z49" s="3008"/>
      <c r="AA49" s="3009"/>
      <c r="AB49" s="3009"/>
      <c r="AC49" s="3009"/>
      <c r="AD49" s="3009"/>
      <c r="AE49" s="3009"/>
      <c r="AF49" s="3009"/>
      <c r="AG49" s="3009"/>
      <c r="AH49" s="3009"/>
      <c r="AI49" s="3009"/>
      <c r="AJ49" s="3009"/>
      <c r="AK49" s="3009"/>
      <c r="AL49" s="3009"/>
      <c r="AM49" s="3009"/>
      <c r="AN49" s="3009"/>
      <c r="AO49" s="2823"/>
      <c r="AP49" s="3007"/>
      <c r="AQ49" s="2978"/>
    </row>
    <row r="50" spans="1:43" ht="63.75" customHeight="1" x14ac:dyDescent="0.25">
      <c r="A50" s="1886"/>
      <c r="B50" s="775"/>
      <c r="C50" s="775"/>
      <c r="D50" s="1887"/>
      <c r="E50" s="1798"/>
      <c r="F50" s="1888"/>
      <c r="G50" s="3011"/>
      <c r="H50" s="3011"/>
      <c r="I50" s="3012"/>
      <c r="J50" s="1746">
        <v>92</v>
      </c>
      <c r="K50" s="1748" t="s">
        <v>2373</v>
      </c>
      <c r="L50" s="1748" t="s">
        <v>2374</v>
      </c>
      <c r="M50" s="1789">
        <v>2</v>
      </c>
      <c r="N50" s="1750"/>
      <c r="O50" s="2247"/>
      <c r="P50" s="2185"/>
      <c r="Q50" s="1891">
        <f>+V50/R37</f>
        <v>0</v>
      </c>
      <c r="R50" s="2982"/>
      <c r="S50" s="2185"/>
      <c r="T50" s="1748" t="s">
        <v>2375</v>
      </c>
      <c r="U50" s="1748" t="s">
        <v>2376</v>
      </c>
      <c r="V50" s="1791"/>
      <c r="W50" s="2222"/>
      <c r="X50" s="2855"/>
      <c r="Y50" s="3008"/>
      <c r="Z50" s="3008"/>
      <c r="AA50" s="3009"/>
      <c r="AB50" s="3009"/>
      <c r="AC50" s="3009"/>
      <c r="AD50" s="3009"/>
      <c r="AE50" s="3009"/>
      <c r="AF50" s="3009"/>
      <c r="AG50" s="3009"/>
      <c r="AH50" s="3009"/>
      <c r="AI50" s="3009"/>
      <c r="AJ50" s="3009"/>
      <c r="AK50" s="3009"/>
      <c r="AL50" s="3009"/>
      <c r="AM50" s="3009"/>
      <c r="AN50" s="3009"/>
      <c r="AO50" s="2823"/>
      <c r="AP50" s="3007"/>
      <c r="AQ50" s="2978"/>
    </row>
    <row r="51" spans="1:43" ht="14.25" customHeight="1" x14ac:dyDescent="0.25">
      <c r="A51" s="1883"/>
      <c r="B51" s="469"/>
      <c r="C51" s="469"/>
      <c r="D51" s="1842"/>
      <c r="E51" s="469"/>
      <c r="F51" s="1849"/>
      <c r="G51" s="1877">
        <v>21</v>
      </c>
      <c r="H51" s="1742" t="s">
        <v>2377</v>
      </c>
      <c r="I51" s="1742"/>
      <c r="J51" s="1742"/>
      <c r="K51" s="400"/>
      <c r="L51" s="400"/>
      <c r="M51" s="399"/>
      <c r="N51" s="405"/>
      <c r="O51" s="399"/>
      <c r="P51" s="400"/>
      <c r="Q51" s="399"/>
      <c r="R51" s="1839"/>
      <c r="S51" s="400"/>
      <c r="T51" s="400"/>
      <c r="U51" s="400"/>
      <c r="V51" s="1839"/>
      <c r="W51" s="399"/>
      <c r="X51" s="399"/>
      <c r="Y51" s="399"/>
      <c r="Z51" s="399"/>
      <c r="AA51" s="399"/>
      <c r="AB51" s="399"/>
      <c r="AC51" s="399"/>
      <c r="AD51" s="399"/>
      <c r="AE51" s="399"/>
      <c r="AF51" s="399"/>
      <c r="AG51" s="399"/>
      <c r="AH51" s="399"/>
      <c r="AI51" s="399"/>
      <c r="AJ51" s="1823"/>
      <c r="AK51" s="1823"/>
      <c r="AL51" s="1823"/>
      <c r="AM51" s="1823"/>
      <c r="AN51" s="1823"/>
      <c r="AO51" s="1823"/>
      <c r="AP51" s="1823"/>
      <c r="AQ51" s="1824"/>
    </row>
    <row r="52" spans="1:43" ht="57.75" customHeight="1" x14ac:dyDescent="0.25">
      <c r="A52" s="1878"/>
      <c r="B52" s="470"/>
      <c r="C52" s="470"/>
      <c r="D52" s="1879"/>
      <c r="E52" s="1799"/>
      <c r="F52" s="1880"/>
      <c r="G52" s="470"/>
      <c r="H52" s="470"/>
      <c r="I52" s="1586"/>
      <c r="J52" s="1782">
        <v>93</v>
      </c>
      <c r="K52" s="1847" t="s">
        <v>2378</v>
      </c>
      <c r="L52" s="1847" t="s">
        <v>2379</v>
      </c>
      <c r="M52" s="1896">
        <v>32</v>
      </c>
      <c r="N52" s="1892"/>
      <c r="O52" s="2055" t="s">
        <v>2380</v>
      </c>
      <c r="P52" s="2057" t="s">
        <v>2381</v>
      </c>
      <c r="Q52" s="1893">
        <f>+V52/$R$52</f>
        <v>0.15004950033998779</v>
      </c>
      <c r="R52" s="2982">
        <f>SUM(V52:V56)</f>
        <v>393870022</v>
      </c>
      <c r="S52" s="2630" t="s">
        <v>2382</v>
      </c>
      <c r="T52" s="1847" t="s">
        <v>2383</v>
      </c>
      <c r="U52" s="1847" t="s">
        <v>2384</v>
      </c>
      <c r="V52" s="1932">
        <f>0+59100000</f>
        <v>59100000</v>
      </c>
      <c r="W52" s="2243" t="s">
        <v>2385</v>
      </c>
      <c r="X52" s="2628" t="s">
        <v>2386</v>
      </c>
      <c r="Y52" s="2980">
        <v>21554</v>
      </c>
      <c r="Z52" s="2980">
        <v>22392</v>
      </c>
      <c r="AA52" s="2986">
        <v>31677</v>
      </c>
      <c r="AB52" s="2986">
        <v>10302</v>
      </c>
      <c r="AC52" s="2986">
        <v>1874</v>
      </c>
      <c r="AD52" s="2986">
        <v>93</v>
      </c>
      <c r="AE52" s="2986">
        <v>238</v>
      </c>
      <c r="AF52" s="2986">
        <v>245</v>
      </c>
      <c r="AG52" s="2986">
        <v>0</v>
      </c>
      <c r="AH52" s="2986">
        <v>0</v>
      </c>
      <c r="AI52" s="2986">
        <v>0</v>
      </c>
      <c r="AJ52" s="2992">
        <v>0</v>
      </c>
      <c r="AK52" s="2992">
        <v>2629</v>
      </c>
      <c r="AL52" s="2992">
        <v>2665</v>
      </c>
      <c r="AM52" s="2992">
        <v>2683</v>
      </c>
      <c r="AN52" s="2823">
        <v>43946</v>
      </c>
      <c r="AO52" s="2994">
        <v>43101</v>
      </c>
      <c r="AP52" s="2994">
        <v>43465</v>
      </c>
      <c r="AQ52" s="2978" t="s">
        <v>2517</v>
      </c>
    </row>
    <row r="53" spans="1:43" ht="57.75" customHeight="1" x14ac:dyDescent="0.25">
      <c r="A53" s="1878"/>
      <c r="B53" s="470"/>
      <c r="C53" s="470"/>
      <c r="D53" s="1879"/>
      <c r="E53" s="1799"/>
      <c r="F53" s="1880"/>
      <c r="G53" s="470"/>
      <c r="H53" s="470"/>
      <c r="I53" s="1586"/>
      <c r="J53" s="1758">
        <v>94</v>
      </c>
      <c r="K53" s="1728" t="s">
        <v>2387</v>
      </c>
      <c r="L53" s="1728" t="s">
        <v>2388</v>
      </c>
      <c r="M53" s="1789">
        <v>40</v>
      </c>
      <c r="N53" s="1759" t="s">
        <v>2389</v>
      </c>
      <c r="O53" s="2085"/>
      <c r="P53" s="2630"/>
      <c r="Q53" s="1894">
        <f>+V53/$R$52</f>
        <v>0.7737832406041808</v>
      </c>
      <c r="R53" s="2982"/>
      <c r="S53" s="2630"/>
      <c r="T53" s="1728" t="s">
        <v>2390</v>
      </c>
      <c r="U53" s="1728" t="s">
        <v>2391</v>
      </c>
      <c r="V53" s="1755">
        <f>22000000+50000000+177770022+55000000</f>
        <v>304770022</v>
      </c>
      <c r="W53" s="2729"/>
      <c r="X53" s="2629"/>
      <c r="Y53" s="2980"/>
      <c r="Z53" s="2980"/>
      <c r="AA53" s="2986"/>
      <c r="AB53" s="2986"/>
      <c r="AC53" s="2986"/>
      <c r="AD53" s="2986"/>
      <c r="AE53" s="2986"/>
      <c r="AF53" s="2986"/>
      <c r="AG53" s="2986"/>
      <c r="AH53" s="2986"/>
      <c r="AI53" s="2986"/>
      <c r="AJ53" s="2992"/>
      <c r="AK53" s="2992"/>
      <c r="AL53" s="2992"/>
      <c r="AM53" s="2992"/>
      <c r="AN53" s="2823"/>
      <c r="AO53" s="2823"/>
      <c r="AP53" s="2823"/>
      <c r="AQ53" s="2978"/>
    </row>
    <row r="54" spans="1:43" ht="57.75" customHeight="1" x14ac:dyDescent="0.25">
      <c r="A54" s="1878"/>
      <c r="B54" s="470"/>
      <c r="C54" s="470"/>
      <c r="D54" s="1879"/>
      <c r="E54" s="1799"/>
      <c r="F54" s="1880"/>
      <c r="G54" s="470"/>
      <c r="H54" s="470"/>
      <c r="I54" s="1586"/>
      <c r="J54" s="2979">
        <v>95</v>
      </c>
      <c r="K54" s="2057" t="s">
        <v>2392</v>
      </c>
      <c r="L54" s="2057" t="s">
        <v>2393</v>
      </c>
      <c r="M54" s="2997">
        <v>500</v>
      </c>
      <c r="N54" s="1759" t="s">
        <v>2526</v>
      </c>
      <c r="O54" s="2085"/>
      <c r="P54" s="2630"/>
      <c r="Q54" s="1895">
        <f>(+V54+V55)/R52</f>
        <v>2.5389086351943788E-2</v>
      </c>
      <c r="R54" s="2982"/>
      <c r="S54" s="2630"/>
      <c r="T54" s="2057" t="s">
        <v>2394</v>
      </c>
      <c r="U54" s="2624" t="s">
        <v>2395</v>
      </c>
      <c r="V54" s="2102">
        <v>10000000</v>
      </c>
      <c r="W54" s="2729"/>
      <c r="X54" s="2629"/>
      <c r="Y54" s="2980"/>
      <c r="Z54" s="2980"/>
      <c r="AA54" s="2986"/>
      <c r="AB54" s="2986"/>
      <c r="AC54" s="2986"/>
      <c r="AD54" s="2986"/>
      <c r="AE54" s="2986"/>
      <c r="AF54" s="2986"/>
      <c r="AG54" s="2986"/>
      <c r="AH54" s="2986"/>
      <c r="AI54" s="2986"/>
      <c r="AJ54" s="2992"/>
      <c r="AK54" s="2992"/>
      <c r="AL54" s="2992"/>
      <c r="AM54" s="2992"/>
      <c r="AN54" s="2823"/>
      <c r="AO54" s="2823"/>
      <c r="AP54" s="2823"/>
      <c r="AQ54" s="2978"/>
    </row>
    <row r="55" spans="1:43" ht="57.75" customHeight="1" x14ac:dyDescent="0.25">
      <c r="A55" s="1878"/>
      <c r="B55" s="470"/>
      <c r="C55" s="470"/>
      <c r="D55" s="1879"/>
      <c r="E55" s="1799"/>
      <c r="F55" s="1880"/>
      <c r="G55" s="470"/>
      <c r="H55" s="470"/>
      <c r="I55" s="1586"/>
      <c r="J55" s="2983"/>
      <c r="K55" s="2648"/>
      <c r="L55" s="2648"/>
      <c r="M55" s="2998"/>
      <c r="N55" s="1781"/>
      <c r="O55" s="2085"/>
      <c r="P55" s="2630"/>
      <c r="Q55" s="1893"/>
      <c r="R55" s="2982"/>
      <c r="S55" s="2630"/>
      <c r="T55" s="2648"/>
      <c r="U55" s="2658"/>
      <c r="V55" s="2103"/>
      <c r="W55" s="2729"/>
      <c r="X55" s="2629"/>
      <c r="Y55" s="2980"/>
      <c r="Z55" s="2980"/>
      <c r="AA55" s="2986"/>
      <c r="AB55" s="2986"/>
      <c r="AC55" s="2986"/>
      <c r="AD55" s="2986"/>
      <c r="AE55" s="2986"/>
      <c r="AF55" s="2986"/>
      <c r="AG55" s="2986"/>
      <c r="AH55" s="2986"/>
      <c r="AI55" s="2986"/>
      <c r="AJ55" s="2992"/>
      <c r="AK55" s="2992"/>
      <c r="AL55" s="2992"/>
      <c r="AM55" s="2992"/>
      <c r="AN55" s="2823"/>
      <c r="AO55" s="2823"/>
      <c r="AP55" s="2823"/>
      <c r="AQ55" s="2978"/>
    </row>
    <row r="56" spans="1:43" ht="86.25" customHeight="1" x14ac:dyDescent="0.25">
      <c r="A56" s="1878"/>
      <c r="B56" s="470"/>
      <c r="C56" s="470"/>
      <c r="D56" s="1879"/>
      <c r="E56" s="1799"/>
      <c r="F56" s="1880"/>
      <c r="G56" s="470"/>
      <c r="H56" s="470"/>
      <c r="I56" s="1586"/>
      <c r="J56" s="1780">
        <v>96</v>
      </c>
      <c r="K56" s="1861" t="s">
        <v>2396</v>
      </c>
      <c r="L56" s="1861" t="s">
        <v>2397</v>
      </c>
      <c r="M56" s="1897">
        <v>2</v>
      </c>
      <c r="N56" s="1898"/>
      <c r="O56" s="2737"/>
      <c r="P56" s="2648"/>
      <c r="Q56" s="1895">
        <f>+V56/$R$52</f>
        <v>5.0778172703887577E-2</v>
      </c>
      <c r="R56" s="2982"/>
      <c r="S56" s="2630"/>
      <c r="T56" s="1861" t="s">
        <v>2398</v>
      </c>
      <c r="U56" s="1728" t="s">
        <v>2399</v>
      </c>
      <c r="V56" s="1791">
        <v>20000000</v>
      </c>
      <c r="W56" s="2740"/>
      <c r="X56" s="2639"/>
      <c r="Y56" s="2980"/>
      <c r="Z56" s="2980"/>
      <c r="AA56" s="2986"/>
      <c r="AB56" s="2986"/>
      <c r="AC56" s="2986"/>
      <c r="AD56" s="2986"/>
      <c r="AE56" s="2986"/>
      <c r="AF56" s="2986"/>
      <c r="AG56" s="2986"/>
      <c r="AH56" s="2986"/>
      <c r="AI56" s="2986"/>
      <c r="AJ56" s="2992"/>
      <c r="AK56" s="2992"/>
      <c r="AL56" s="2992"/>
      <c r="AM56" s="2992"/>
      <c r="AN56" s="2823"/>
      <c r="AO56" s="2823"/>
      <c r="AP56" s="2823"/>
      <c r="AQ56" s="2978"/>
    </row>
    <row r="57" spans="1:43" ht="14.25" customHeight="1" x14ac:dyDescent="0.25">
      <c r="A57" s="1883"/>
      <c r="B57" s="469"/>
      <c r="C57" s="469"/>
      <c r="D57" s="1842"/>
      <c r="E57" s="469"/>
      <c r="F57" s="1849"/>
      <c r="G57" s="1877">
        <v>22</v>
      </c>
      <c r="H57" s="1742" t="s">
        <v>2400</v>
      </c>
      <c r="I57" s="1742"/>
      <c r="J57" s="1742"/>
      <c r="K57" s="400"/>
      <c r="L57" s="400"/>
      <c r="M57" s="399"/>
      <c r="N57" s="1699"/>
      <c r="O57" s="399"/>
      <c r="P57" s="400"/>
      <c r="Q57" s="399"/>
      <c r="R57" s="1839"/>
      <c r="S57" s="400"/>
      <c r="T57" s="400"/>
      <c r="U57" s="400"/>
      <c r="V57" s="1839"/>
      <c r="W57" s="399"/>
      <c r="X57" s="399"/>
      <c r="Y57" s="399"/>
      <c r="Z57" s="399"/>
      <c r="AA57" s="399"/>
      <c r="AB57" s="399"/>
      <c r="AC57" s="399"/>
      <c r="AD57" s="399"/>
      <c r="AE57" s="399"/>
      <c r="AF57" s="399"/>
      <c r="AG57" s="399"/>
      <c r="AH57" s="399"/>
      <c r="AI57" s="399"/>
      <c r="AJ57" s="1823"/>
      <c r="AK57" s="1823"/>
      <c r="AL57" s="1823"/>
      <c r="AM57" s="1823"/>
      <c r="AN57" s="1823"/>
      <c r="AO57" s="1823"/>
      <c r="AP57" s="1823"/>
      <c r="AQ57" s="1824"/>
    </row>
    <row r="58" spans="1:43" ht="29.25" customHeight="1" x14ac:dyDescent="0.25">
      <c r="A58" s="1899"/>
      <c r="B58" s="1900"/>
      <c r="C58" s="1900"/>
      <c r="D58" s="1901"/>
      <c r="E58" s="1900"/>
      <c r="F58" s="1902"/>
      <c r="G58" s="2995"/>
      <c r="H58" s="2995"/>
      <c r="I58" s="2996"/>
      <c r="J58" s="2980">
        <v>97</v>
      </c>
      <c r="K58" s="2630" t="s">
        <v>2401</v>
      </c>
      <c r="L58" s="2630" t="s">
        <v>2402</v>
      </c>
      <c r="M58" s="2980">
        <v>46</v>
      </c>
      <c r="N58" s="1781"/>
      <c r="O58" s="2629" t="s">
        <v>2403</v>
      </c>
      <c r="P58" s="2630" t="s">
        <v>2404</v>
      </c>
      <c r="Q58" s="2466">
        <v>1</v>
      </c>
      <c r="R58" s="2467">
        <f>SUM(V58:V62)</f>
        <v>10000000</v>
      </c>
      <c r="S58" s="2630" t="s">
        <v>2405</v>
      </c>
      <c r="T58" s="2630" t="s">
        <v>2406</v>
      </c>
      <c r="U58" s="2327" t="s">
        <v>2407</v>
      </c>
      <c r="V58" s="2467">
        <v>10000000</v>
      </c>
      <c r="W58" s="2980">
        <v>25</v>
      </c>
      <c r="X58" s="2980" t="s">
        <v>2408</v>
      </c>
      <c r="Y58" s="2980">
        <v>21554</v>
      </c>
      <c r="Z58" s="2980">
        <v>22392</v>
      </c>
      <c r="AA58" s="2980">
        <v>31677</v>
      </c>
      <c r="AB58" s="2980">
        <v>10302</v>
      </c>
      <c r="AC58" s="2980">
        <v>1874</v>
      </c>
      <c r="AD58" s="2980">
        <v>93</v>
      </c>
      <c r="AE58" s="2980">
        <v>238</v>
      </c>
      <c r="AF58" s="2980">
        <v>245</v>
      </c>
      <c r="AG58" s="2980">
        <v>0</v>
      </c>
      <c r="AH58" s="2980">
        <v>0</v>
      </c>
      <c r="AI58" s="2980">
        <v>0</v>
      </c>
      <c r="AJ58" s="2980">
        <v>0</v>
      </c>
      <c r="AK58" s="2980">
        <v>2629</v>
      </c>
      <c r="AL58" s="2980">
        <v>2665</v>
      </c>
      <c r="AM58" s="2980">
        <v>2683</v>
      </c>
      <c r="AN58" s="2980">
        <v>43946</v>
      </c>
      <c r="AO58" s="2994">
        <v>43101</v>
      </c>
      <c r="AP58" s="2994">
        <v>43465</v>
      </c>
      <c r="AQ58" s="2978" t="s">
        <v>2517</v>
      </c>
    </row>
    <row r="59" spans="1:43" ht="29.25" customHeight="1" x14ac:dyDescent="0.25">
      <c r="A59" s="1899"/>
      <c r="B59" s="1900"/>
      <c r="C59" s="1900"/>
      <c r="D59" s="1901"/>
      <c r="E59" s="1900"/>
      <c r="F59" s="1902"/>
      <c r="G59" s="2995"/>
      <c r="H59" s="2995"/>
      <c r="I59" s="2996"/>
      <c r="J59" s="2980"/>
      <c r="K59" s="2630"/>
      <c r="L59" s="2630"/>
      <c r="M59" s="2980"/>
      <c r="N59" s="1781"/>
      <c r="O59" s="2629"/>
      <c r="P59" s="2630"/>
      <c r="Q59" s="2466"/>
      <c r="R59" s="2467"/>
      <c r="S59" s="2630"/>
      <c r="T59" s="2630"/>
      <c r="U59" s="2327"/>
      <c r="V59" s="2467"/>
      <c r="W59" s="2980"/>
      <c r="X59" s="2980"/>
      <c r="Y59" s="2980"/>
      <c r="Z59" s="2980"/>
      <c r="AA59" s="2980"/>
      <c r="AB59" s="2980"/>
      <c r="AC59" s="2980"/>
      <c r="AD59" s="2980"/>
      <c r="AE59" s="2980"/>
      <c r="AF59" s="2980"/>
      <c r="AG59" s="2980"/>
      <c r="AH59" s="2980"/>
      <c r="AI59" s="2980"/>
      <c r="AJ59" s="2980"/>
      <c r="AK59" s="2980"/>
      <c r="AL59" s="2980"/>
      <c r="AM59" s="2980"/>
      <c r="AN59" s="2980"/>
      <c r="AO59" s="2823"/>
      <c r="AP59" s="2823"/>
      <c r="AQ59" s="2978"/>
    </row>
    <row r="60" spans="1:43" ht="29.25" customHeight="1" x14ac:dyDescent="0.25">
      <c r="A60" s="1899"/>
      <c r="B60" s="1900"/>
      <c r="C60" s="1900"/>
      <c r="D60" s="1901"/>
      <c r="E60" s="1900"/>
      <c r="F60" s="1902"/>
      <c r="G60" s="2995"/>
      <c r="H60" s="2995"/>
      <c r="I60" s="2996"/>
      <c r="J60" s="2980"/>
      <c r="K60" s="2630"/>
      <c r="L60" s="2630"/>
      <c r="M60" s="2980"/>
      <c r="N60" s="1903" t="s">
        <v>2409</v>
      </c>
      <c r="O60" s="2629"/>
      <c r="P60" s="2630"/>
      <c r="Q60" s="2466"/>
      <c r="R60" s="2467"/>
      <c r="S60" s="2630"/>
      <c r="T60" s="2630"/>
      <c r="U60" s="2327"/>
      <c r="V60" s="2467"/>
      <c r="W60" s="2980"/>
      <c r="X60" s="2980"/>
      <c r="Y60" s="2980"/>
      <c r="Z60" s="2980"/>
      <c r="AA60" s="2980"/>
      <c r="AB60" s="2980"/>
      <c r="AC60" s="2980"/>
      <c r="AD60" s="2980"/>
      <c r="AE60" s="2980"/>
      <c r="AF60" s="2980"/>
      <c r="AG60" s="2980"/>
      <c r="AH60" s="2980"/>
      <c r="AI60" s="2980"/>
      <c r="AJ60" s="2980"/>
      <c r="AK60" s="2980"/>
      <c r="AL60" s="2980"/>
      <c r="AM60" s="2980"/>
      <c r="AN60" s="2980"/>
      <c r="AO60" s="2823"/>
      <c r="AP60" s="2823"/>
      <c r="AQ60" s="2978"/>
    </row>
    <row r="61" spans="1:43" ht="29.25" customHeight="1" x14ac:dyDescent="0.25">
      <c r="A61" s="1899"/>
      <c r="B61" s="1900"/>
      <c r="C61" s="1900"/>
      <c r="D61" s="1901"/>
      <c r="E61" s="1900"/>
      <c r="F61" s="1902"/>
      <c r="G61" s="2995"/>
      <c r="H61" s="2995"/>
      <c r="I61" s="2996"/>
      <c r="J61" s="2980"/>
      <c r="K61" s="2630"/>
      <c r="L61" s="2630"/>
      <c r="M61" s="2980"/>
      <c r="N61" s="1781"/>
      <c r="O61" s="2629"/>
      <c r="P61" s="2630"/>
      <c r="Q61" s="2466"/>
      <c r="R61" s="2467"/>
      <c r="S61" s="2630"/>
      <c r="T61" s="2630"/>
      <c r="U61" s="2327"/>
      <c r="V61" s="2467"/>
      <c r="W61" s="2980"/>
      <c r="X61" s="2980"/>
      <c r="Y61" s="2980"/>
      <c r="Z61" s="2980"/>
      <c r="AA61" s="2980"/>
      <c r="AB61" s="2980"/>
      <c r="AC61" s="2980"/>
      <c r="AD61" s="2980"/>
      <c r="AE61" s="2980"/>
      <c r="AF61" s="2980"/>
      <c r="AG61" s="2980"/>
      <c r="AH61" s="2980"/>
      <c r="AI61" s="2980"/>
      <c r="AJ61" s="2980"/>
      <c r="AK61" s="2980"/>
      <c r="AL61" s="2980"/>
      <c r="AM61" s="2980"/>
      <c r="AN61" s="2980"/>
      <c r="AO61" s="2823"/>
      <c r="AP61" s="2823"/>
      <c r="AQ61" s="2978"/>
    </row>
    <row r="62" spans="1:43" ht="29.25" customHeight="1" x14ac:dyDescent="0.25">
      <c r="A62" s="1899"/>
      <c r="B62" s="1900"/>
      <c r="C62" s="1900"/>
      <c r="D62" s="1904"/>
      <c r="E62" s="1905"/>
      <c r="F62" s="1906"/>
      <c r="G62" s="2995"/>
      <c r="H62" s="2995"/>
      <c r="I62" s="2996"/>
      <c r="J62" s="2980"/>
      <c r="K62" s="2630"/>
      <c r="L62" s="2630"/>
      <c r="M62" s="2980"/>
      <c r="N62" s="1781"/>
      <c r="O62" s="2629"/>
      <c r="P62" s="2630"/>
      <c r="Q62" s="2466"/>
      <c r="R62" s="2467"/>
      <c r="S62" s="2630"/>
      <c r="T62" s="2630"/>
      <c r="U62" s="2327"/>
      <c r="V62" s="2467"/>
      <c r="W62" s="2980"/>
      <c r="X62" s="2980"/>
      <c r="Y62" s="2980"/>
      <c r="Z62" s="2980"/>
      <c r="AA62" s="2980"/>
      <c r="AB62" s="2980"/>
      <c r="AC62" s="2980"/>
      <c r="AD62" s="2980"/>
      <c r="AE62" s="2980"/>
      <c r="AF62" s="2980"/>
      <c r="AG62" s="2980"/>
      <c r="AH62" s="2980"/>
      <c r="AI62" s="2980"/>
      <c r="AJ62" s="2980"/>
      <c r="AK62" s="2980"/>
      <c r="AL62" s="2980"/>
      <c r="AM62" s="2980"/>
      <c r="AN62" s="2980"/>
      <c r="AO62" s="2823"/>
      <c r="AP62" s="2823"/>
      <c r="AQ62" s="2978"/>
    </row>
    <row r="63" spans="1:43" ht="14.25" customHeight="1" x14ac:dyDescent="0.25">
      <c r="A63" s="1907"/>
      <c r="B63" s="1908"/>
      <c r="C63" s="1909"/>
      <c r="D63" s="1531">
        <v>7</v>
      </c>
      <c r="E63" s="1868" t="s">
        <v>2410</v>
      </c>
      <c r="F63" s="1868"/>
      <c r="G63" s="1741"/>
      <c r="H63" s="1741"/>
      <c r="I63" s="1741"/>
      <c r="J63" s="1741"/>
      <c r="K63" s="525"/>
      <c r="L63" s="525"/>
      <c r="M63" s="1741"/>
      <c r="N63" s="528"/>
      <c r="O63" s="528"/>
      <c r="P63" s="525"/>
      <c r="Q63" s="1910"/>
      <c r="R63" s="566"/>
      <c r="S63" s="525"/>
      <c r="T63" s="525"/>
      <c r="U63" s="525"/>
      <c r="V63" s="527"/>
      <c r="W63" s="963"/>
      <c r="X63" s="528"/>
      <c r="Y63" s="528"/>
      <c r="Z63" s="528"/>
      <c r="AA63" s="565"/>
      <c r="AB63" s="565"/>
      <c r="AC63" s="565"/>
      <c r="AD63" s="565"/>
      <c r="AE63" s="565"/>
      <c r="AF63" s="565"/>
      <c r="AG63" s="565"/>
      <c r="AH63" s="1911"/>
      <c r="AI63" s="1911"/>
      <c r="AJ63" s="1912"/>
      <c r="AK63" s="1912"/>
      <c r="AL63" s="1912"/>
      <c r="AM63" s="1912"/>
      <c r="AN63" s="1913"/>
      <c r="AO63" s="1913"/>
      <c r="AP63" s="1913"/>
      <c r="AQ63" s="1914"/>
    </row>
    <row r="64" spans="1:43" ht="14.25" customHeight="1" x14ac:dyDescent="0.25">
      <c r="A64" s="1907"/>
      <c r="B64" s="1908"/>
      <c r="C64" s="1908"/>
      <c r="D64" s="1816"/>
      <c r="E64" s="1817"/>
      <c r="F64" s="1818"/>
      <c r="G64" s="1915">
        <v>23</v>
      </c>
      <c r="H64" s="1916" t="s">
        <v>2411</v>
      </c>
      <c r="I64" s="1917"/>
      <c r="J64" s="1917"/>
      <c r="K64" s="1156"/>
      <c r="L64" s="1156"/>
      <c r="M64" s="1155"/>
      <c r="N64" s="1699"/>
      <c r="O64" s="1155"/>
      <c r="P64" s="1156"/>
      <c r="Q64" s="1155"/>
      <c r="R64" s="1918"/>
      <c r="S64" s="1156"/>
      <c r="T64" s="1156"/>
      <c r="U64" s="1156"/>
      <c r="V64" s="1918"/>
      <c r="W64" s="1155"/>
      <c r="X64" s="1155"/>
      <c r="Y64" s="1155"/>
      <c r="Z64" s="1155"/>
      <c r="AA64" s="1155"/>
      <c r="AB64" s="1155"/>
      <c r="AC64" s="1155"/>
      <c r="AD64" s="1155"/>
      <c r="AE64" s="1155"/>
      <c r="AF64" s="1155"/>
      <c r="AG64" s="1155"/>
      <c r="AH64" s="1155"/>
      <c r="AI64" s="1155"/>
      <c r="AJ64" s="1919"/>
      <c r="AK64" s="1919"/>
      <c r="AL64" s="1919"/>
      <c r="AM64" s="1919"/>
      <c r="AN64" s="1919"/>
      <c r="AO64" s="1919"/>
      <c r="AP64" s="1919"/>
      <c r="AQ64" s="1920"/>
    </row>
    <row r="65" spans="1:43" ht="60.75" customHeight="1" x14ac:dyDescent="0.25">
      <c r="A65" s="1907"/>
      <c r="B65" s="1908"/>
      <c r="C65" s="1908"/>
      <c r="D65" s="1797"/>
      <c r="E65" s="1825"/>
      <c r="F65" s="1826"/>
      <c r="G65" s="1766"/>
      <c r="H65" s="1767"/>
      <c r="I65" s="1768"/>
      <c r="J65" s="1782">
        <v>98</v>
      </c>
      <c r="K65" s="1847" t="s">
        <v>2412</v>
      </c>
      <c r="L65" s="1847" t="s">
        <v>2413</v>
      </c>
      <c r="M65" s="1790">
        <v>55</v>
      </c>
      <c r="N65" s="1781"/>
      <c r="O65" s="2629" t="s">
        <v>2414</v>
      </c>
      <c r="P65" s="2630" t="s">
        <v>2415</v>
      </c>
      <c r="Q65" s="1893">
        <v>0</v>
      </c>
      <c r="R65" s="2982">
        <f>SUM(V65:V69)</f>
        <v>44075000</v>
      </c>
      <c r="S65" s="2630" t="s">
        <v>2416</v>
      </c>
      <c r="T65" s="1847" t="s">
        <v>2417</v>
      </c>
      <c r="U65" s="1848" t="s">
        <v>2418</v>
      </c>
      <c r="V65" s="1932">
        <v>0</v>
      </c>
      <c r="W65" s="1785"/>
      <c r="X65" s="1780"/>
      <c r="Y65" s="2980">
        <v>21554</v>
      </c>
      <c r="Z65" s="2980">
        <v>22392</v>
      </c>
      <c r="AA65" s="2986">
        <v>31677</v>
      </c>
      <c r="AB65" s="2986">
        <v>10302</v>
      </c>
      <c r="AC65" s="2986">
        <v>1874</v>
      </c>
      <c r="AD65" s="2986">
        <v>93</v>
      </c>
      <c r="AE65" s="2986">
        <v>238</v>
      </c>
      <c r="AF65" s="2986">
        <v>245</v>
      </c>
      <c r="AG65" s="2986">
        <v>0</v>
      </c>
      <c r="AH65" s="2986">
        <v>0</v>
      </c>
      <c r="AI65" s="2986">
        <v>0</v>
      </c>
      <c r="AJ65" s="2992">
        <v>0</v>
      </c>
      <c r="AK65" s="2992">
        <v>2629</v>
      </c>
      <c r="AL65" s="2992">
        <v>2665</v>
      </c>
      <c r="AM65" s="2992">
        <v>2683</v>
      </c>
      <c r="AN65" s="2823">
        <v>43946</v>
      </c>
      <c r="AO65" s="2991">
        <v>43101</v>
      </c>
      <c r="AP65" s="2991">
        <v>43465</v>
      </c>
      <c r="AQ65" s="2989" t="s">
        <v>2517</v>
      </c>
    </row>
    <row r="66" spans="1:43" ht="60.75" customHeight="1" x14ac:dyDescent="0.25">
      <c r="A66" s="1907"/>
      <c r="B66" s="1908"/>
      <c r="C66" s="1908"/>
      <c r="D66" s="1797"/>
      <c r="E66" s="1825"/>
      <c r="F66" s="1826"/>
      <c r="G66" s="1767"/>
      <c r="H66" s="1767"/>
      <c r="I66" s="1768"/>
      <c r="J66" s="1776">
        <v>99</v>
      </c>
      <c r="K66" s="1711" t="s">
        <v>2419</v>
      </c>
      <c r="L66" s="1711" t="s">
        <v>2420</v>
      </c>
      <c r="M66" s="1729">
        <v>150</v>
      </c>
      <c r="N66" s="1781"/>
      <c r="O66" s="2629"/>
      <c r="P66" s="2630"/>
      <c r="Q66" s="1894">
        <v>0</v>
      </c>
      <c r="R66" s="2982"/>
      <c r="S66" s="2630"/>
      <c r="T66" s="1711" t="s">
        <v>2421</v>
      </c>
      <c r="U66" s="1921" t="s">
        <v>2422</v>
      </c>
      <c r="V66" s="1755">
        <v>0</v>
      </c>
      <c r="W66" s="1786"/>
      <c r="X66" s="1781"/>
      <c r="Y66" s="2980"/>
      <c r="Z66" s="2980"/>
      <c r="AA66" s="2986"/>
      <c r="AB66" s="2986"/>
      <c r="AC66" s="2986"/>
      <c r="AD66" s="2986"/>
      <c r="AE66" s="2986"/>
      <c r="AF66" s="2986"/>
      <c r="AG66" s="2986"/>
      <c r="AH66" s="2986"/>
      <c r="AI66" s="2986"/>
      <c r="AJ66" s="2992"/>
      <c r="AK66" s="2992"/>
      <c r="AL66" s="2992"/>
      <c r="AM66" s="2992"/>
      <c r="AN66" s="2823"/>
      <c r="AO66" s="2549"/>
      <c r="AP66" s="2549"/>
      <c r="AQ66" s="2993"/>
    </row>
    <row r="67" spans="1:43" ht="80.25" customHeight="1" x14ac:dyDescent="0.25">
      <c r="A67" s="1907"/>
      <c r="B67" s="1908"/>
      <c r="C67" s="1908"/>
      <c r="D67" s="1797"/>
      <c r="E67" s="1825"/>
      <c r="F67" s="1826"/>
      <c r="G67" s="1767"/>
      <c r="H67" s="1767"/>
      <c r="I67" s="1768"/>
      <c r="J67" s="1776">
        <v>100</v>
      </c>
      <c r="K67" s="1711" t="s">
        <v>2423</v>
      </c>
      <c r="L67" s="1711" t="s">
        <v>2424</v>
      </c>
      <c r="M67" s="1729">
        <v>6</v>
      </c>
      <c r="N67" s="1781" t="s">
        <v>2425</v>
      </c>
      <c r="O67" s="2629"/>
      <c r="P67" s="2630"/>
      <c r="Q67" s="1894">
        <f>V67/R65</f>
        <v>0.54622802041973906</v>
      </c>
      <c r="R67" s="2982"/>
      <c r="S67" s="2630"/>
      <c r="T67" s="1711" t="s">
        <v>2423</v>
      </c>
      <c r="U67" s="1921" t="s">
        <v>2426</v>
      </c>
      <c r="V67" s="1755">
        <f>0+16050000+8025000</f>
        <v>24075000</v>
      </c>
      <c r="W67" s="1763">
        <v>88</v>
      </c>
      <c r="X67" s="1759" t="s">
        <v>191</v>
      </c>
      <c r="Y67" s="2980"/>
      <c r="Z67" s="2980"/>
      <c r="AA67" s="2986"/>
      <c r="AB67" s="2986"/>
      <c r="AC67" s="2986"/>
      <c r="AD67" s="2986"/>
      <c r="AE67" s="2986"/>
      <c r="AF67" s="2986"/>
      <c r="AG67" s="2986"/>
      <c r="AH67" s="2986"/>
      <c r="AI67" s="2986"/>
      <c r="AJ67" s="2992"/>
      <c r="AK67" s="2992"/>
      <c r="AL67" s="2992"/>
      <c r="AM67" s="2992"/>
      <c r="AN67" s="2823"/>
      <c r="AO67" s="2549"/>
      <c r="AP67" s="2549"/>
      <c r="AQ67" s="2993"/>
    </row>
    <row r="68" spans="1:43" ht="60.75" customHeight="1" x14ac:dyDescent="0.25">
      <c r="A68" s="1907"/>
      <c r="B68" s="1908"/>
      <c r="C68" s="1908"/>
      <c r="D68" s="1797"/>
      <c r="E68" s="1825"/>
      <c r="F68" s="1826"/>
      <c r="G68" s="1767"/>
      <c r="H68" s="1767"/>
      <c r="I68" s="1768"/>
      <c r="J68" s="1776">
        <v>101</v>
      </c>
      <c r="K68" s="1711" t="s">
        <v>2427</v>
      </c>
      <c r="L68" s="1711" t="s">
        <v>2428</v>
      </c>
      <c r="M68" s="1729">
        <v>54</v>
      </c>
      <c r="N68" s="1781"/>
      <c r="O68" s="2629"/>
      <c r="P68" s="2630"/>
      <c r="Q68" s="1894">
        <v>0</v>
      </c>
      <c r="R68" s="2982"/>
      <c r="S68" s="2630"/>
      <c r="T68" s="1711" t="s">
        <v>2429</v>
      </c>
      <c r="U68" s="1744" t="s">
        <v>2430</v>
      </c>
      <c r="V68" s="1755">
        <v>0</v>
      </c>
      <c r="W68" s="1786"/>
      <c r="X68" s="1781"/>
      <c r="Y68" s="2980"/>
      <c r="Z68" s="2980"/>
      <c r="AA68" s="2986"/>
      <c r="AB68" s="2986"/>
      <c r="AC68" s="2986"/>
      <c r="AD68" s="2986"/>
      <c r="AE68" s="2986"/>
      <c r="AF68" s="2986"/>
      <c r="AG68" s="2986"/>
      <c r="AH68" s="2986"/>
      <c r="AI68" s="2986"/>
      <c r="AJ68" s="2992"/>
      <c r="AK68" s="2992"/>
      <c r="AL68" s="2992"/>
      <c r="AM68" s="2992"/>
      <c r="AN68" s="2823"/>
      <c r="AO68" s="2549"/>
      <c r="AP68" s="2549"/>
      <c r="AQ68" s="2993"/>
    </row>
    <row r="69" spans="1:43" ht="60.75" customHeight="1" x14ac:dyDescent="0.25">
      <c r="A69" s="1907"/>
      <c r="B69" s="1908"/>
      <c r="C69" s="1908"/>
      <c r="D69" s="1797"/>
      <c r="E69" s="1825"/>
      <c r="F69" s="1826"/>
      <c r="G69" s="1767"/>
      <c r="H69" s="1767"/>
      <c r="I69" s="1768"/>
      <c r="J69" s="1780">
        <v>102</v>
      </c>
      <c r="K69" s="1861" t="s">
        <v>2431</v>
      </c>
      <c r="L69" s="1861" t="s">
        <v>2432</v>
      </c>
      <c r="M69" s="1780">
        <v>2</v>
      </c>
      <c r="N69" s="1781"/>
      <c r="O69" s="2629"/>
      <c r="P69" s="2630"/>
      <c r="Q69" s="1895">
        <f>V69/R65</f>
        <v>0.45377197958026094</v>
      </c>
      <c r="R69" s="2982"/>
      <c r="S69" s="2630"/>
      <c r="T69" s="1861" t="s">
        <v>2433</v>
      </c>
      <c r="U69" s="1737" t="s">
        <v>2434</v>
      </c>
      <c r="V69" s="1791">
        <f>0+20000000</f>
        <v>20000000</v>
      </c>
      <c r="W69" s="1787"/>
      <c r="X69" s="1922"/>
      <c r="Y69" s="2980"/>
      <c r="Z69" s="2980"/>
      <c r="AA69" s="2986"/>
      <c r="AB69" s="2986"/>
      <c r="AC69" s="2986"/>
      <c r="AD69" s="2986"/>
      <c r="AE69" s="2986"/>
      <c r="AF69" s="2986"/>
      <c r="AG69" s="2986"/>
      <c r="AH69" s="2986"/>
      <c r="AI69" s="2986"/>
      <c r="AJ69" s="2992"/>
      <c r="AK69" s="2992"/>
      <c r="AL69" s="2992"/>
      <c r="AM69" s="2992"/>
      <c r="AN69" s="2823"/>
      <c r="AO69" s="2576"/>
      <c r="AP69" s="2576"/>
      <c r="AQ69" s="2990"/>
    </row>
    <row r="70" spans="1:43" ht="14.25" customHeight="1" x14ac:dyDescent="0.25">
      <c r="A70" s="1924"/>
      <c r="B70" s="1925"/>
      <c r="C70" s="1925"/>
      <c r="D70" s="1926"/>
      <c r="E70" s="1925"/>
      <c r="F70" s="1927"/>
      <c r="G70" s="1877">
        <v>24</v>
      </c>
      <c r="H70" s="1742" t="s">
        <v>2435</v>
      </c>
      <c r="I70" s="1742"/>
      <c r="J70" s="1742"/>
      <c r="K70" s="400"/>
      <c r="L70" s="400"/>
      <c r="M70" s="1742"/>
      <c r="N70" s="1035"/>
      <c r="O70" s="1742"/>
      <c r="P70" s="400"/>
      <c r="Q70" s="1820"/>
      <c r="R70" s="1928"/>
      <c r="S70" s="400"/>
      <c r="T70" s="400"/>
      <c r="U70" s="400"/>
      <c r="V70" s="1929"/>
      <c r="W70" s="1819"/>
      <c r="X70" s="1742"/>
      <c r="Y70" s="1742"/>
      <c r="Z70" s="1742"/>
      <c r="AA70" s="1742"/>
      <c r="AB70" s="1742"/>
      <c r="AC70" s="1742"/>
      <c r="AD70" s="1742"/>
      <c r="AE70" s="1742"/>
      <c r="AF70" s="1742"/>
      <c r="AG70" s="1742"/>
      <c r="AH70" s="1822"/>
      <c r="AI70" s="1822"/>
      <c r="AJ70" s="1823"/>
      <c r="AK70" s="1823"/>
      <c r="AL70" s="1823"/>
      <c r="AM70" s="1823"/>
      <c r="AN70" s="1823"/>
      <c r="AO70" s="1823"/>
      <c r="AP70" s="1823"/>
      <c r="AQ70" s="1824"/>
    </row>
    <row r="71" spans="1:43" ht="77.25" customHeight="1" x14ac:dyDescent="0.25">
      <c r="A71" s="1886"/>
      <c r="B71" s="775"/>
      <c r="C71" s="775"/>
      <c r="D71" s="1930"/>
      <c r="E71" s="775"/>
      <c r="F71" s="1931"/>
      <c r="G71" s="1767"/>
      <c r="H71" s="1767"/>
      <c r="I71" s="1768"/>
      <c r="J71" s="1782">
        <v>103</v>
      </c>
      <c r="K71" s="1847" t="s">
        <v>2436</v>
      </c>
      <c r="L71" s="1847" t="s">
        <v>2437</v>
      </c>
      <c r="M71" s="1790">
        <v>3</v>
      </c>
      <c r="N71" s="1781"/>
      <c r="O71" s="2628" t="s">
        <v>2438</v>
      </c>
      <c r="P71" s="2630" t="s">
        <v>2439</v>
      </c>
      <c r="Q71" s="1893">
        <f>+V71/$R$71</f>
        <v>2.8901734104046242E-2</v>
      </c>
      <c r="R71" s="2982">
        <f>SUM(V71:V74)</f>
        <v>346000000</v>
      </c>
      <c r="S71" s="2630" t="s">
        <v>2440</v>
      </c>
      <c r="T71" s="2630" t="s">
        <v>2441</v>
      </c>
      <c r="U71" s="1762" t="s">
        <v>2442</v>
      </c>
      <c r="V71" s="1932">
        <v>10000000</v>
      </c>
      <c r="W71" s="1785"/>
      <c r="X71" s="1780"/>
      <c r="Y71" s="2629">
        <v>21554</v>
      </c>
      <c r="Z71" s="2629">
        <v>22392</v>
      </c>
      <c r="AA71" s="2629">
        <v>31677</v>
      </c>
      <c r="AB71" s="2629">
        <v>10302</v>
      </c>
      <c r="AC71" s="2629">
        <v>1874</v>
      </c>
      <c r="AD71" s="2629">
        <v>93</v>
      </c>
      <c r="AE71" s="2629">
        <v>238</v>
      </c>
      <c r="AF71" s="2629">
        <v>245</v>
      </c>
      <c r="AG71" s="2629">
        <v>0</v>
      </c>
      <c r="AH71" s="2629">
        <v>0</v>
      </c>
      <c r="AI71" s="2629">
        <v>0</v>
      </c>
      <c r="AJ71" s="2629">
        <v>0</v>
      </c>
      <c r="AK71" s="2629">
        <v>2629</v>
      </c>
      <c r="AL71" s="2629">
        <v>2665</v>
      </c>
      <c r="AM71" s="2629">
        <v>2683</v>
      </c>
      <c r="AN71" s="2629">
        <v>43946</v>
      </c>
      <c r="AO71" s="2991">
        <v>43101</v>
      </c>
      <c r="AP71" s="2991">
        <v>43465</v>
      </c>
      <c r="AQ71" s="2989" t="s">
        <v>2517</v>
      </c>
    </row>
    <row r="72" spans="1:43" ht="77.25" customHeight="1" x14ac:dyDescent="0.25">
      <c r="A72" s="1886"/>
      <c r="B72" s="775"/>
      <c r="C72" s="775"/>
      <c r="D72" s="1930"/>
      <c r="E72" s="775"/>
      <c r="F72" s="1931"/>
      <c r="G72" s="1767"/>
      <c r="H72" s="1767"/>
      <c r="I72" s="1768"/>
      <c r="J72" s="1776">
        <v>104</v>
      </c>
      <c r="K72" s="1711" t="s">
        <v>2443</v>
      </c>
      <c r="L72" s="1711" t="s">
        <v>2444</v>
      </c>
      <c r="M72" s="1729">
        <v>44</v>
      </c>
      <c r="N72" s="1781" t="s">
        <v>2445</v>
      </c>
      <c r="O72" s="2629"/>
      <c r="P72" s="2630"/>
      <c r="Q72" s="1894">
        <f>+V72/$R$71</f>
        <v>2.8901734104046242E-2</v>
      </c>
      <c r="R72" s="2982"/>
      <c r="S72" s="2630"/>
      <c r="T72" s="2630"/>
      <c r="U72" s="1711" t="s">
        <v>2446</v>
      </c>
      <c r="V72" s="1755">
        <v>10000000</v>
      </c>
      <c r="W72" s="1786">
        <v>20</v>
      </c>
      <c r="X72" s="1781" t="s">
        <v>61</v>
      </c>
      <c r="Y72" s="2629"/>
      <c r="Z72" s="2629"/>
      <c r="AA72" s="2629"/>
      <c r="AB72" s="2629"/>
      <c r="AC72" s="2629"/>
      <c r="AD72" s="2629"/>
      <c r="AE72" s="2629"/>
      <c r="AF72" s="2629"/>
      <c r="AG72" s="2629"/>
      <c r="AH72" s="2629"/>
      <c r="AI72" s="2629"/>
      <c r="AJ72" s="2629"/>
      <c r="AK72" s="2629"/>
      <c r="AL72" s="2629"/>
      <c r="AM72" s="2629"/>
      <c r="AN72" s="2629"/>
      <c r="AO72" s="2549"/>
      <c r="AP72" s="2549"/>
      <c r="AQ72" s="2993"/>
    </row>
    <row r="73" spans="1:43" ht="77.25" customHeight="1" x14ac:dyDescent="0.25">
      <c r="A73" s="1886"/>
      <c r="B73" s="775"/>
      <c r="C73" s="775"/>
      <c r="D73" s="1930"/>
      <c r="E73" s="775"/>
      <c r="F73" s="1931"/>
      <c r="G73" s="1767"/>
      <c r="H73" s="1767"/>
      <c r="I73" s="1768"/>
      <c r="J73" s="1780">
        <v>105</v>
      </c>
      <c r="K73" s="1861" t="s">
        <v>2447</v>
      </c>
      <c r="L73" s="1861" t="s">
        <v>2444</v>
      </c>
      <c r="M73" s="1789">
        <v>47</v>
      </c>
      <c r="N73" s="1781" t="s">
        <v>2448</v>
      </c>
      <c r="O73" s="2629"/>
      <c r="P73" s="2630"/>
      <c r="Q73" s="1895">
        <f>+V73/R71</f>
        <v>0.80924855491329484</v>
      </c>
      <c r="R73" s="2982"/>
      <c r="S73" s="2630"/>
      <c r="T73" s="2630"/>
      <c r="U73" s="1748" t="s">
        <v>2449</v>
      </c>
      <c r="V73" s="1791">
        <f>10000000+270000000</f>
        <v>280000000</v>
      </c>
      <c r="W73" s="1786">
        <v>88</v>
      </c>
      <c r="X73" s="1781" t="s">
        <v>191</v>
      </c>
      <c r="Y73" s="2629"/>
      <c r="Z73" s="2629"/>
      <c r="AA73" s="2629"/>
      <c r="AB73" s="2629"/>
      <c r="AC73" s="2629"/>
      <c r="AD73" s="2629"/>
      <c r="AE73" s="2629"/>
      <c r="AF73" s="2629"/>
      <c r="AG73" s="2629"/>
      <c r="AH73" s="2629"/>
      <c r="AI73" s="2629"/>
      <c r="AJ73" s="2629"/>
      <c r="AK73" s="2629"/>
      <c r="AL73" s="2629"/>
      <c r="AM73" s="2629"/>
      <c r="AN73" s="2629"/>
      <c r="AO73" s="2549"/>
      <c r="AP73" s="2549"/>
      <c r="AQ73" s="2993"/>
    </row>
    <row r="74" spans="1:43" ht="77.25" customHeight="1" x14ac:dyDescent="0.25">
      <c r="A74" s="1886"/>
      <c r="B74" s="775"/>
      <c r="C74" s="775"/>
      <c r="D74" s="1930"/>
      <c r="E74" s="775"/>
      <c r="F74" s="1931"/>
      <c r="G74" s="1767"/>
      <c r="H74" s="1767"/>
      <c r="I74" s="1768"/>
      <c r="J74" s="1776">
        <v>106</v>
      </c>
      <c r="K74" s="1711" t="s">
        <v>2450</v>
      </c>
      <c r="L74" s="1711" t="s">
        <v>2451</v>
      </c>
      <c r="M74" s="1743">
        <v>1</v>
      </c>
      <c r="N74" s="1782"/>
      <c r="O74" s="2639"/>
      <c r="P74" s="2648"/>
      <c r="Q74" s="1894">
        <f>+V74/$R$71</f>
        <v>0.13294797687861271</v>
      </c>
      <c r="R74" s="2984"/>
      <c r="S74" s="2648"/>
      <c r="T74" s="2648"/>
      <c r="U74" s="1744" t="s">
        <v>2452</v>
      </c>
      <c r="V74" s="1755">
        <f>16000000+30000000</f>
        <v>46000000</v>
      </c>
      <c r="W74" s="1787"/>
      <c r="X74" s="1782"/>
      <c r="Y74" s="2639"/>
      <c r="Z74" s="2639"/>
      <c r="AA74" s="2639"/>
      <c r="AB74" s="2639"/>
      <c r="AC74" s="2639"/>
      <c r="AD74" s="2639"/>
      <c r="AE74" s="2639"/>
      <c r="AF74" s="2639"/>
      <c r="AG74" s="2639"/>
      <c r="AH74" s="2639"/>
      <c r="AI74" s="2639"/>
      <c r="AJ74" s="2639"/>
      <c r="AK74" s="2639"/>
      <c r="AL74" s="2639"/>
      <c r="AM74" s="2639"/>
      <c r="AN74" s="2639"/>
      <c r="AO74" s="2549"/>
      <c r="AP74" s="2549"/>
      <c r="AQ74" s="2993"/>
    </row>
    <row r="75" spans="1:43" ht="125.25" customHeight="1" x14ac:dyDescent="0.25">
      <c r="A75" s="1886"/>
      <c r="B75" s="775"/>
      <c r="C75" s="775"/>
      <c r="D75" s="1933"/>
      <c r="E75" s="1934"/>
      <c r="F75" s="1935"/>
      <c r="G75" s="1767"/>
      <c r="H75" s="1767"/>
      <c r="I75" s="1768"/>
      <c r="J75" s="1746">
        <v>107</v>
      </c>
      <c r="K75" s="1748" t="s">
        <v>2453</v>
      </c>
      <c r="L75" s="1748" t="s">
        <v>2454</v>
      </c>
      <c r="M75" s="1746">
        <v>1</v>
      </c>
      <c r="N75" s="1746" t="s">
        <v>2455</v>
      </c>
      <c r="O75" s="1736" t="s">
        <v>2456</v>
      </c>
      <c r="P75" s="1737" t="s">
        <v>2457</v>
      </c>
      <c r="Q75" s="1936">
        <v>1</v>
      </c>
      <c r="R75" s="1791">
        <f>SUM(V75:V75)</f>
        <v>45000000</v>
      </c>
      <c r="S75" s="1737" t="s">
        <v>2440</v>
      </c>
      <c r="T75" s="1737" t="s">
        <v>2441</v>
      </c>
      <c r="U75" s="1748" t="s">
        <v>2458</v>
      </c>
      <c r="V75" s="1791">
        <v>45000000</v>
      </c>
      <c r="W75" s="1745">
        <v>20</v>
      </c>
      <c r="X75" s="1746" t="s">
        <v>2459</v>
      </c>
      <c r="Y75" s="1746">
        <v>21554</v>
      </c>
      <c r="Z75" s="1746">
        <v>22392</v>
      </c>
      <c r="AA75" s="1745">
        <v>31677</v>
      </c>
      <c r="AB75" s="1745">
        <v>10302</v>
      </c>
      <c r="AC75" s="1745">
        <v>15916</v>
      </c>
      <c r="AD75" s="1745">
        <v>15683</v>
      </c>
      <c r="AE75" s="1745">
        <v>238</v>
      </c>
      <c r="AF75" s="1745">
        <v>245</v>
      </c>
      <c r="AG75" s="1745">
        <v>0</v>
      </c>
      <c r="AH75" s="1745">
        <v>0</v>
      </c>
      <c r="AI75" s="1745">
        <v>0</v>
      </c>
      <c r="AJ75" s="1866">
        <v>0</v>
      </c>
      <c r="AK75" s="1866">
        <v>2629</v>
      </c>
      <c r="AL75" s="1866">
        <v>2665</v>
      </c>
      <c r="AM75" s="1866">
        <v>2683</v>
      </c>
      <c r="AN75" s="1774">
        <v>43946</v>
      </c>
      <c r="AO75" s="1937">
        <v>43101</v>
      </c>
      <c r="AP75" s="1937">
        <v>43465</v>
      </c>
      <c r="AQ75" s="1923" t="s">
        <v>2517</v>
      </c>
    </row>
    <row r="76" spans="1:43" ht="14.25" customHeight="1" x14ac:dyDescent="0.25">
      <c r="A76" s="1907"/>
      <c r="B76" s="1908"/>
      <c r="C76" s="1909"/>
      <c r="D76" s="1531">
        <v>8</v>
      </c>
      <c r="E76" s="1868" t="s">
        <v>2460</v>
      </c>
      <c r="F76" s="1868"/>
      <c r="G76" s="1810"/>
      <c r="H76" s="1810"/>
      <c r="I76" s="1810"/>
      <c r="J76" s="1810"/>
      <c r="K76" s="967"/>
      <c r="L76" s="967"/>
      <c r="M76" s="964"/>
      <c r="N76" s="1034"/>
      <c r="O76" s="1034"/>
      <c r="P76" s="967"/>
      <c r="Q76" s="1869"/>
      <c r="R76" s="1870"/>
      <c r="S76" s="967"/>
      <c r="T76" s="967"/>
      <c r="U76" s="967"/>
      <c r="V76" s="1871"/>
      <c r="W76" s="1938"/>
      <c r="X76" s="1034"/>
      <c r="Y76" s="1034"/>
      <c r="Z76" s="1034"/>
      <c r="AA76" s="1044"/>
      <c r="AB76" s="1044"/>
      <c r="AC76" s="1044"/>
      <c r="AD76" s="1044"/>
      <c r="AE76" s="1044"/>
      <c r="AF76" s="1044"/>
      <c r="AG76" s="1044"/>
      <c r="AH76" s="1938"/>
      <c r="AI76" s="1938"/>
      <c r="AJ76" s="1939"/>
      <c r="AK76" s="1939"/>
      <c r="AL76" s="1939"/>
      <c r="AM76" s="1939"/>
      <c r="AN76" s="1940"/>
      <c r="AO76" s="1940"/>
      <c r="AP76" s="1940"/>
      <c r="AQ76" s="1941"/>
    </row>
    <row r="77" spans="1:43" ht="14.25" customHeight="1" x14ac:dyDescent="0.25">
      <c r="A77" s="1907"/>
      <c r="B77" s="1908"/>
      <c r="C77" s="1908"/>
      <c r="D77" s="1942"/>
      <c r="E77" s="1943"/>
      <c r="F77" s="1944"/>
      <c r="G77" s="1877">
        <v>25</v>
      </c>
      <c r="H77" s="1742" t="s">
        <v>2461</v>
      </c>
      <c r="I77" s="1742"/>
      <c r="J77" s="1742"/>
      <c r="K77" s="400"/>
      <c r="L77" s="400"/>
      <c r="M77" s="399"/>
      <c r="N77" s="1035"/>
      <c r="O77" s="399"/>
      <c r="P77" s="400"/>
      <c r="Q77" s="399"/>
      <c r="R77" s="1839"/>
      <c r="S77" s="400"/>
      <c r="T77" s="400"/>
      <c r="U77" s="400"/>
      <c r="V77" s="1839"/>
      <c r="W77" s="399"/>
      <c r="X77" s="399"/>
      <c r="Y77" s="399"/>
      <c r="Z77" s="399"/>
      <c r="AA77" s="399"/>
      <c r="AB77" s="399"/>
      <c r="AC77" s="399"/>
      <c r="AD77" s="399"/>
      <c r="AE77" s="399"/>
      <c r="AF77" s="399"/>
      <c r="AG77" s="399"/>
      <c r="AH77" s="399"/>
      <c r="AI77" s="399"/>
      <c r="AJ77" s="1823"/>
      <c r="AK77" s="1823"/>
      <c r="AL77" s="1823"/>
      <c r="AM77" s="1823"/>
      <c r="AN77" s="1823"/>
      <c r="AO77" s="1823"/>
      <c r="AP77" s="1823"/>
      <c r="AQ77" s="1824"/>
    </row>
    <row r="78" spans="1:43" ht="74.25" customHeight="1" x14ac:dyDescent="0.25">
      <c r="A78" s="1907"/>
      <c r="B78" s="1908"/>
      <c r="C78" s="1908"/>
      <c r="D78" s="514"/>
      <c r="E78" s="1945"/>
      <c r="F78" s="507"/>
      <c r="G78" s="470"/>
      <c r="H78" s="470"/>
      <c r="I78" s="470"/>
      <c r="J78" s="1782">
        <v>108</v>
      </c>
      <c r="K78" s="1847" t="s">
        <v>2462</v>
      </c>
      <c r="L78" s="1847" t="s">
        <v>2463</v>
      </c>
      <c r="M78" s="1730">
        <v>4</v>
      </c>
      <c r="N78" s="1781" t="s">
        <v>2464</v>
      </c>
      <c r="O78" s="2628" t="s">
        <v>2465</v>
      </c>
      <c r="P78" s="2630" t="s">
        <v>2466</v>
      </c>
      <c r="Q78" s="1773">
        <f>+V78/R78</f>
        <v>0.35087719298245612</v>
      </c>
      <c r="R78" s="2744">
        <f>SUM(V78:V79)</f>
        <v>57000000</v>
      </c>
      <c r="S78" s="2630" t="s">
        <v>2467</v>
      </c>
      <c r="T78" s="1847" t="s">
        <v>2468</v>
      </c>
      <c r="U78" s="1848" t="s">
        <v>2469</v>
      </c>
      <c r="V78" s="1932">
        <f>10000000+10000000</f>
        <v>20000000</v>
      </c>
      <c r="W78" s="1785">
        <v>20</v>
      </c>
      <c r="X78" s="1780" t="s">
        <v>61</v>
      </c>
      <c r="Y78" s="2980">
        <v>21554</v>
      </c>
      <c r="Z78" s="2980">
        <v>22392</v>
      </c>
      <c r="AA78" s="2980">
        <v>31677</v>
      </c>
      <c r="AB78" s="2980">
        <v>10302</v>
      </c>
      <c r="AC78" s="2980">
        <v>15916</v>
      </c>
      <c r="AD78" s="2980">
        <v>15683</v>
      </c>
      <c r="AE78" s="2980">
        <v>238</v>
      </c>
      <c r="AF78" s="2980">
        <v>245</v>
      </c>
      <c r="AG78" s="2980">
        <v>0</v>
      </c>
      <c r="AH78" s="2980">
        <v>0</v>
      </c>
      <c r="AI78" s="2980">
        <v>0</v>
      </c>
      <c r="AJ78" s="2980">
        <v>0</v>
      </c>
      <c r="AK78" s="2980">
        <v>2629</v>
      </c>
      <c r="AL78" s="2980">
        <v>2665</v>
      </c>
      <c r="AM78" s="2980">
        <v>2683</v>
      </c>
      <c r="AN78" s="2980">
        <v>43946</v>
      </c>
      <c r="AO78" s="2991">
        <v>43101</v>
      </c>
      <c r="AP78" s="2988">
        <v>43465</v>
      </c>
      <c r="AQ78" s="2989" t="s">
        <v>2517</v>
      </c>
    </row>
    <row r="79" spans="1:43" ht="74.25" customHeight="1" x14ac:dyDescent="0.25">
      <c r="A79" s="1907"/>
      <c r="B79" s="1908"/>
      <c r="C79" s="1908"/>
      <c r="D79" s="514"/>
      <c r="E79" s="1945"/>
      <c r="F79" s="507"/>
      <c r="G79" s="470"/>
      <c r="H79" s="470"/>
      <c r="I79" s="470"/>
      <c r="J79" s="1780">
        <v>109</v>
      </c>
      <c r="K79" s="1861" t="s">
        <v>2470</v>
      </c>
      <c r="L79" s="1861" t="s">
        <v>2471</v>
      </c>
      <c r="M79" s="1725">
        <v>52</v>
      </c>
      <c r="N79" s="1781" t="s">
        <v>2472</v>
      </c>
      <c r="O79" s="2639"/>
      <c r="P79" s="2630"/>
      <c r="Q79" s="1772">
        <f>+V79/R78</f>
        <v>0.64912280701754388</v>
      </c>
      <c r="R79" s="2744"/>
      <c r="S79" s="2630"/>
      <c r="T79" s="1861" t="s">
        <v>2473</v>
      </c>
      <c r="U79" s="1748" t="s">
        <v>2474</v>
      </c>
      <c r="V79" s="1791">
        <v>37000000</v>
      </c>
      <c r="W79" s="1787">
        <v>88</v>
      </c>
      <c r="X79" s="1782" t="s">
        <v>191</v>
      </c>
      <c r="Y79" s="2980"/>
      <c r="Z79" s="2980"/>
      <c r="AA79" s="2980"/>
      <c r="AB79" s="2980"/>
      <c r="AC79" s="2980"/>
      <c r="AD79" s="2980"/>
      <c r="AE79" s="2980"/>
      <c r="AF79" s="2980"/>
      <c r="AG79" s="2980"/>
      <c r="AH79" s="2980"/>
      <c r="AI79" s="2980"/>
      <c r="AJ79" s="2980"/>
      <c r="AK79" s="2980"/>
      <c r="AL79" s="2980"/>
      <c r="AM79" s="2980"/>
      <c r="AN79" s="2980"/>
      <c r="AO79" s="2576"/>
      <c r="AP79" s="2822"/>
      <c r="AQ79" s="2990"/>
    </row>
    <row r="80" spans="1:43" ht="14.25" customHeight="1" x14ac:dyDescent="0.25">
      <c r="A80" s="1924"/>
      <c r="B80" s="1925"/>
      <c r="C80" s="1925"/>
      <c r="D80" s="1926"/>
      <c r="E80" s="1925"/>
      <c r="F80" s="1927"/>
      <c r="G80" s="1877">
        <v>26</v>
      </c>
      <c r="H80" s="1742" t="s">
        <v>2475</v>
      </c>
      <c r="I80" s="1742"/>
      <c r="J80" s="1742"/>
      <c r="K80" s="400"/>
      <c r="L80" s="400"/>
      <c r="M80" s="399"/>
      <c r="N80" s="1035"/>
      <c r="O80" s="399"/>
      <c r="P80" s="400"/>
      <c r="Q80" s="399"/>
      <c r="R80" s="1839"/>
      <c r="S80" s="400"/>
      <c r="T80" s="400"/>
      <c r="U80" s="400"/>
      <c r="V80" s="1839"/>
      <c r="W80" s="399"/>
      <c r="X80" s="399"/>
      <c r="Y80" s="399"/>
      <c r="Z80" s="399"/>
      <c r="AA80" s="399"/>
      <c r="AB80" s="399"/>
      <c r="AC80" s="399"/>
      <c r="AD80" s="399"/>
      <c r="AE80" s="399"/>
      <c r="AF80" s="399"/>
      <c r="AG80" s="399"/>
      <c r="AH80" s="399"/>
      <c r="AI80" s="399"/>
      <c r="AJ80" s="1823"/>
      <c r="AK80" s="1823"/>
      <c r="AL80" s="1823"/>
      <c r="AM80" s="1823"/>
      <c r="AN80" s="1823"/>
      <c r="AO80" s="1823"/>
      <c r="AP80" s="1823"/>
      <c r="AQ80" s="1824"/>
    </row>
    <row r="81" spans="1:43" ht="80.25" customHeight="1" x14ac:dyDescent="0.25">
      <c r="A81" s="1907" t="s">
        <v>167</v>
      </c>
      <c r="B81" s="1908"/>
      <c r="C81" s="1908"/>
      <c r="D81" s="1946"/>
      <c r="E81" s="1908"/>
      <c r="F81" s="1909"/>
      <c r="G81" s="470"/>
      <c r="H81" s="470"/>
      <c r="I81" s="470"/>
      <c r="J81" s="1781">
        <v>110</v>
      </c>
      <c r="K81" s="1947" t="s">
        <v>2476</v>
      </c>
      <c r="L81" s="1947" t="s">
        <v>2477</v>
      </c>
      <c r="M81" s="1756">
        <v>200</v>
      </c>
      <c r="N81" s="1781" t="s">
        <v>2478</v>
      </c>
      <c r="O81" s="1735" t="s">
        <v>2479</v>
      </c>
      <c r="P81" s="1948" t="s">
        <v>2480</v>
      </c>
      <c r="Q81" s="1752">
        <v>1</v>
      </c>
      <c r="R81" s="1753">
        <f>+V81</f>
        <v>2758000000</v>
      </c>
      <c r="S81" s="1947" t="s">
        <v>2481</v>
      </c>
      <c r="T81" s="1947" t="s">
        <v>2482</v>
      </c>
      <c r="U81" s="1882" t="s">
        <v>2483</v>
      </c>
      <c r="V81" s="1792">
        <v>2758000000</v>
      </c>
      <c r="W81" s="1786">
        <v>25</v>
      </c>
      <c r="X81" s="1781" t="s">
        <v>2284</v>
      </c>
      <c r="Y81" s="1781">
        <v>21554</v>
      </c>
      <c r="Z81" s="1781">
        <v>22392</v>
      </c>
      <c r="AA81" s="1786">
        <v>31677</v>
      </c>
      <c r="AB81" s="1786">
        <v>10302</v>
      </c>
      <c r="AC81" s="1786">
        <v>15916</v>
      </c>
      <c r="AD81" s="1786">
        <v>15683</v>
      </c>
      <c r="AE81" s="1786">
        <v>238</v>
      </c>
      <c r="AF81" s="1786">
        <v>245</v>
      </c>
      <c r="AG81" s="1786">
        <v>0</v>
      </c>
      <c r="AH81" s="1786">
        <v>0</v>
      </c>
      <c r="AI81" s="1949">
        <v>0</v>
      </c>
      <c r="AJ81" s="1950">
        <v>0</v>
      </c>
      <c r="AK81" s="1950">
        <v>2629</v>
      </c>
      <c r="AL81" s="1950">
        <v>2665</v>
      </c>
      <c r="AM81" s="1950">
        <v>2683</v>
      </c>
      <c r="AN81" s="1775">
        <v>43946</v>
      </c>
      <c r="AO81" s="1951">
        <v>43101</v>
      </c>
      <c r="AP81" s="1951">
        <v>43465</v>
      </c>
      <c r="AQ81" s="1952" t="s">
        <v>2517</v>
      </c>
    </row>
    <row r="82" spans="1:43" ht="18.75" customHeight="1" x14ac:dyDescent="0.25">
      <c r="A82" s="1924"/>
      <c r="B82" s="1925"/>
      <c r="C82" s="1925"/>
      <c r="D82" s="1926"/>
      <c r="E82" s="1925"/>
      <c r="F82" s="1927"/>
      <c r="G82" s="1877">
        <v>27</v>
      </c>
      <c r="H82" s="1742" t="s">
        <v>2484</v>
      </c>
      <c r="I82" s="1742"/>
      <c r="J82" s="1742"/>
      <c r="K82" s="400"/>
      <c r="L82" s="400"/>
      <c r="M82" s="399"/>
      <c r="N82" s="1035"/>
      <c r="O82" s="399"/>
      <c r="P82" s="400"/>
      <c r="Q82" s="399"/>
      <c r="R82" s="1839"/>
      <c r="S82" s="400"/>
      <c r="T82" s="400"/>
      <c r="U82" s="400"/>
      <c r="V82" s="1839"/>
      <c r="W82" s="399"/>
      <c r="X82" s="399"/>
      <c r="Y82" s="399"/>
      <c r="Z82" s="399"/>
      <c r="AA82" s="399"/>
      <c r="AB82" s="399"/>
      <c r="AC82" s="399"/>
      <c r="AD82" s="399"/>
      <c r="AE82" s="399"/>
      <c r="AF82" s="399"/>
      <c r="AG82" s="399"/>
      <c r="AH82" s="399"/>
      <c r="AI82" s="399"/>
      <c r="AJ82" s="1823"/>
      <c r="AK82" s="1823"/>
      <c r="AL82" s="1823"/>
      <c r="AM82" s="1823"/>
      <c r="AN82" s="1823"/>
      <c r="AO82" s="1823"/>
      <c r="AP82" s="1823"/>
      <c r="AQ82" s="1824"/>
    </row>
    <row r="83" spans="1:43" ht="122.25" customHeight="1" x14ac:dyDescent="0.25">
      <c r="A83" s="1924"/>
      <c r="B83" s="1925"/>
      <c r="C83" s="1925"/>
      <c r="D83" s="1926"/>
      <c r="E83" s="1925"/>
      <c r="F83" s="1927"/>
      <c r="G83" s="470"/>
      <c r="H83" s="470"/>
      <c r="I83" s="470"/>
      <c r="J83" s="1781">
        <v>111</v>
      </c>
      <c r="K83" s="1947" t="s">
        <v>2485</v>
      </c>
      <c r="L83" s="1947" t="s">
        <v>2486</v>
      </c>
      <c r="M83" s="1953">
        <v>1</v>
      </c>
      <c r="N83" s="1759" t="s">
        <v>2487</v>
      </c>
      <c r="O83" s="1759" t="s">
        <v>2488</v>
      </c>
      <c r="P83" s="1947" t="s">
        <v>2489</v>
      </c>
      <c r="Q83" s="1752">
        <v>1</v>
      </c>
      <c r="R83" s="1753">
        <f>+V83</f>
        <v>19000000000</v>
      </c>
      <c r="S83" s="1947" t="s">
        <v>2490</v>
      </c>
      <c r="T83" s="1947" t="s">
        <v>2491</v>
      </c>
      <c r="U83" s="1882" t="s">
        <v>2492</v>
      </c>
      <c r="V83" s="1792">
        <v>19000000000</v>
      </c>
      <c r="W83" s="1786">
        <v>25</v>
      </c>
      <c r="X83" s="1781" t="s">
        <v>2284</v>
      </c>
      <c r="Y83" s="1781">
        <v>21554</v>
      </c>
      <c r="Z83" s="1781">
        <v>22392</v>
      </c>
      <c r="AA83" s="1786">
        <v>31677</v>
      </c>
      <c r="AB83" s="1786">
        <v>10302</v>
      </c>
      <c r="AC83" s="1786">
        <v>15916</v>
      </c>
      <c r="AD83" s="1786">
        <v>15683</v>
      </c>
      <c r="AE83" s="1786">
        <v>238</v>
      </c>
      <c r="AF83" s="1786">
        <v>245</v>
      </c>
      <c r="AG83" s="1786">
        <v>0</v>
      </c>
      <c r="AH83" s="1786">
        <v>0</v>
      </c>
      <c r="AI83" s="1949">
        <v>0</v>
      </c>
      <c r="AJ83" s="1950">
        <v>0</v>
      </c>
      <c r="AK83" s="1950">
        <v>2629</v>
      </c>
      <c r="AL83" s="1950">
        <v>2665</v>
      </c>
      <c r="AM83" s="1950">
        <v>2683</v>
      </c>
      <c r="AN83" s="1775">
        <v>43946</v>
      </c>
      <c r="AO83" s="1951">
        <v>43101</v>
      </c>
      <c r="AP83" s="1951">
        <v>43465</v>
      </c>
      <c r="AQ83" s="1952" t="s">
        <v>2517</v>
      </c>
    </row>
    <row r="84" spans="1:43" ht="14.25" customHeight="1" x14ac:dyDescent="0.25">
      <c r="A84" s="1924"/>
      <c r="B84" s="1925"/>
      <c r="C84" s="1925"/>
      <c r="D84" s="1926"/>
      <c r="E84" s="1925"/>
      <c r="F84" s="1927"/>
      <c r="G84" s="1877">
        <v>28</v>
      </c>
      <c r="H84" s="1742" t="s">
        <v>2493</v>
      </c>
      <c r="I84" s="1742"/>
      <c r="J84" s="1742"/>
      <c r="K84" s="400"/>
      <c r="L84" s="400"/>
      <c r="M84" s="399"/>
      <c r="N84" s="1035"/>
      <c r="O84" s="1035"/>
      <c r="P84" s="400"/>
      <c r="Q84" s="1145"/>
      <c r="R84" s="1839"/>
      <c r="S84" s="400"/>
      <c r="T84" s="400"/>
      <c r="U84" s="400"/>
      <c r="V84" s="1954"/>
      <c r="W84" s="1955"/>
      <c r="X84" s="1035"/>
      <c r="Y84" s="1035"/>
      <c r="Z84" s="1035"/>
      <c r="AA84" s="399"/>
      <c r="AB84" s="399"/>
      <c r="AC84" s="399"/>
      <c r="AD84" s="399"/>
      <c r="AE84" s="399"/>
      <c r="AF84" s="399"/>
      <c r="AG84" s="399"/>
      <c r="AH84" s="1031"/>
      <c r="AI84" s="1031"/>
      <c r="AJ84" s="1823"/>
      <c r="AK84" s="1823"/>
      <c r="AL84" s="1823"/>
      <c r="AM84" s="1823"/>
      <c r="AN84" s="1823"/>
      <c r="AO84" s="1823"/>
      <c r="AP84" s="1823"/>
      <c r="AQ84" s="1824"/>
    </row>
    <row r="85" spans="1:43" ht="59.25" customHeight="1" x14ac:dyDescent="0.25">
      <c r="A85" s="1924"/>
      <c r="B85" s="1925"/>
      <c r="C85" s="1925"/>
      <c r="D85" s="514"/>
      <c r="E85" s="1945"/>
      <c r="F85" s="507"/>
      <c r="G85" s="1767"/>
      <c r="H85" s="1767"/>
      <c r="I85" s="1767"/>
      <c r="J85" s="2980">
        <v>112</v>
      </c>
      <c r="K85" s="2630" t="s">
        <v>2494</v>
      </c>
      <c r="L85" s="2630" t="s">
        <v>2495</v>
      </c>
      <c r="M85" s="2980">
        <v>20</v>
      </c>
      <c r="N85" s="2980" t="s">
        <v>2496</v>
      </c>
      <c r="O85" s="2629" t="s">
        <v>2497</v>
      </c>
      <c r="P85" s="2630" t="s">
        <v>2498</v>
      </c>
      <c r="Q85" s="2466">
        <f>(V85+V86)/R85</f>
        <v>0.47619047619047616</v>
      </c>
      <c r="R85" s="2467">
        <f>SUM(V85:V87)</f>
        <v>21000000</v>
      </c>
      <c r="S85" s="2057" t="s">
        <v>2499</v>
      </c>
      <c r="T85" s="2630" t="s">
        <v>2500</v>
      </c>
      <c r="U85" s="2630" t="s">
        <v>2501</v>
      </c>
      <c r="V85" s="2982">
        <v>10000000</v>
      </c>
      <c r="W85" s="2985">
        <v>20</v>
      </c>
      <c r="X85" s="2979" t="s">
        <v>61</v>
      </c>
      <c r="Y85" s="2980">
        <v>21554</v>
      </c>
      <c r="Z85" s="2980">
        <v>22392</v>
      </c>
      <c r="AA85" s="2980">
        <v>31677</v>
      </c>
      <c r="AB85" s="2980">
        <v>10302</v>
      </c>
      <c r="AC85" s="2980">
        <v>15916</v>
      </c>
      <c r="AD85" s="2980">
        <v>15683</v>
      </c>
      <c r="AE85" s="2980">
        <v>238</v>
      </c>
      <c r="AF85" s="2980">
        <v>245</v>
      </c>
      <c r="AG85" s="2980">
        <v>0</v>
      </c>
      <c r="AH85" s="2980">
        <v>0</v>
      </c>
      <c r="AI85" s="2980">
        <v>0</v>
      </c>
      <c r="AJ85" s="2980">
        <v>0</v>
      </c>
      <c r="AK85" s="2980">
        <v>2629</v>
      </c>
      <c r="AL85" s="2980">
        <v>2665</v>
      </c>
      <c r="AM85" s="2980">
        <v>2683</v>
      </c>
      <c r="AN85" s="2980">
        <v>43946</v>
      </c>
      <c r="AO85" s="2977">
        <v>43101</v>
      </c>
      <c r="AP85" s="2977">
        <v>43465</v>
      </c>
      <c r="AQ85" s="2978" t="s">
        <v>2517</v>
      </c>
    </row>
    <row r="86" spans="1:43" ht="59.25" customHeight="1" x14ac:dyDescent="0.25">
      <c r="A86" s="1924"/>
      <c r="B86" s="1925"/>
      <c r="C86" s="1925"/>
      <c r="D86" s="514"/>
      <c r="E86" s="1945"/>
      <c r="F86" s="507"/>
      <c r="G86" s="1767"/>
      <c r="H86" s="1767"/>
      <c r="I86" s="1767"/>
      <c r="J86" s="2983"/>
      <c r="K86" s="2648"/>
      <c r="L86" s="2648"/>
      <c r="M86" s="2983"/>
      <c r="N86" s="2980"/>
      <c r="O86" s="2629"/>
      <c r="P86" s="2630"/>
      <c r="Q86" s="2773"/>
      <c r="R86" s="2467"/>
      <c r="S86" s="2630"/>
      <c r="T86" s="2648"/>
      <c r="U86" s="2648"/>
      <c r="V86" s="2984"/>
      <c r="W86" s="2986"/>
      <c r="X86" s="2980"/>
      <c r="Y86" s="2980"/>
      <c r="Z86" s="2980"/>
      <c r="AA86" s="2980"/>
      <c r="AB86" s="2980"/>
      <c r="AC86" s="2980"/>
      <c r="AD86" s="2980"/>
      <c r="AE86" s="2980"/>
      <c r="AF86" s="2980"/>
      <c r="AG86" s="2980"/>
      <c r="AH86" s="2980"/>
      <c r="AI86" s="2980"/>
      <c r="AJ86" s="2980"/>
      <c r="AK86" s="2980"/>
      <c r="AL86" s="2980"/>
      <c r="AM86" s="2980"/>
      <c r="AN86" s="2980"/>
      <c r="AO86" s="2577"/>
      <c r="AP86" s="2577"/>
      <c r="AQ86" s="2978"/>
    </row>
    <row r="87" spans="1:43" ht="38.25" customHeight="1" x14ac:dyDescent="0.25">
      <c r="A87" s="1924"/>
      <c r="B87" s="1925"/>
      <c r="C87" s="1925"/>
      <c r="D87" s="514"/>
      <c r="E87" s="1945"/>
      <c r="F87" s="507"/>
      <c r="G87" s="1767"/>
      <c r="H87" s="1767"/>
      <c r="I87" s="1767"/>
      <c r="J87" s="2979">
        <v>113</v>
      </c>
      <c r="K87" s="2057" t="s">
        <v>2502</v>
      </c>
      <c r="L87" s="2057" t="s">
        <v>2503</v>
      </c>
      <c r="M87" s="2979">
        <v>3</v>
      </c>
      <c r="N87" s="2980"/>
      <c r="O87" s="2629"/>
      <c r="P87" s="2630"/>
      <c r="Q87" s="2772">
        <f>V87/R85</f>
        <v>0.52380952380952384</v>
      </c>
      <c r="R87" s="2467"/>
      <c r="S87" s="2630"/>
      <c r="T87" s="2057" t="s">
        <v>2504</v>
      </c>
      <c r="U87" s="2057" t="s">
        <v>2505</v>
      </c>
      <c r="V87" s="2981">
        <v>11000000</v>
      </c>
      <c r="W87" s="2986"/>
      <c r="X87" s="2980"/>
      <c r="Y87" s="2980"/>
      <c r="Z87" s="2980"/>
      <c r="AA87" s="2980"/>
      <c r="AB87" s="2980"/>
      <c r="AC87" s="2980"/>
      <c r="AD87" s="2980"/>
      <c r="AE87" s="2980"/>
      <c r="AF87" s="2980"/>
      <c r="AG87" s="2980"/>
      <c r="AH87" s="2980"/>
      <c r="AI87" s="2980"/>
      <c r="AJ87" s="2980"/>
      <c r="AK87" s="2980"/>
      <c r="AL87" s="2980"/>
      <c r="AM87" s="2980"/>
      <c r="AN87" s="2980"/>
      <c r="AO87" s="2577"/>
      <c r="AP87" s="2577"/>
      <c r="AQ87" s="2978"/>
    </row>
    <row r="88" spans="1:43" ht="62.25" customHeight="1" x14ac:dyDescent="0.25">
      <c r="A88" s="1924"/>
      <c r="B88" s="1925"/>
      <c r="C88" s="1925"/>
      <c r="D88" s="521"/>
      <c r="E88" s="1956"/>
      <c r="F88" s="522"/>
      <c r="G88" s="1767"/>
      <c r="H88" s="1767"/>
      <c r="I88" s="1767"/>
      <c r="J88" s="2980"/>
      <c r="K88" s="2630"/>
      <c r="L88" s="2630"/>
      <c r="M88" s="2980"/>
      <c r="N88" s="1759"/>
      <c r="O88" s="2629"/>
      <c r="P88" s="2630"/>
      <c r="Q88" s="2466"/>
      <c r="R88" s="2467"/>
      <c r="S88" s="2648"/>
      <c r="T88" s="2648"/>
      <c r="U88" s="2630"/>
      <c r="V88" s="2982"/>
      <c r="W88" s="2987"/>
      <c r="X88" s="2983"/>
      <c r="Y88" s="2980"/>
      <c r="Z88" s="2980"/>
      <c r="AA88" s="2980"/>
      <c r="AB88" s="2980"/>
      <c r="AC88" s="2980"/>
      <c r="AD88" s="2980"/>
      <c r="AE88" s="2980"/>
      <c r="AF88" s="2980"/>
      <c r="AG88" s="2980"/>
      <c r="AH88" s="2980"/>
      <c r="AI88" s="2980"/>
      <c r="AJ88" s="2980"/>
      <c r="AK88" s="2980"/>
      <c r="AL88" s="2980"/>
      <c r="AM88" s="2980"/>
      <c r="AN88" s="2980"/>
      <c r="AO88" s="2577"/>
      <c r="AP88" s="2577"/>
      <c r="AQ88" s="2978"/>
    </row>
    <row r="89" spans="1:43" ht="14.25" customHeight="1" x14ac:dyDescent="0.25">
      <c r="A89" s="1924"/>
      <c r="B89" s="1925"/>
      <c r="C89" s="1927"/>
      <c r="D89" s="1531">
        <v>16</v>
      </c>
      <c r="E89" s="1868" t="s">
        <v>348</v>
      </c>
      <c r="F89" s="1868"/>
      <c r="G89" s="1810"/>
      <c r="H89" s="1810"/>
      <c r="I89" s="1810"/>
      <c r="J89" s="1810"/>
      <c r="K89" s="967"/>
      <c r="L89" s="967"/>
      <c r="M89" s="964"/>
      <c r="N89" s="1034"/>
      <c r="O89" s="1034"/>
      <c r="P89" s="967"/>
      <c r="Q89" s="1869"/>
      <c r="R89" s="1870"/>
      <c r="S89" s="967"/>
      <c r="T89" s="967"/>
      <c r="U89" s="967"/>
      <c r="V89" s="1871"/>
      <c r="W89" s="1938"/>
      <c r="X89" s="1034"/>
      <c r="Y89" s="1034"/>
      <c r="Z89" s="1034"/>
      <c r="AA89" s="964"/>
      <c r="AB89" s="964"/>
      <c r="AC89" s="964"/>
      <c r="AD89" s="964"/>
      <c r="AE89" s="964"/>
      <c r="AF89" s="964"/>
      <c r="AG89" s="964"/>
      <c r="AH89" s="1873"/>
      <c r="AI89" s="1873"/>
      <c r="AJ89" s="1814"/>
      <c r="AK89" s="1814"/>
      <c r="AL89" s="1814"/>
      <c r="AM89" s="1814"/>
      <c r="AN89" s="1814"/>
      <c r="AO89" s="1814"/>
      <c r="AP89" s="1814"/>
      <c r="AQ89" s="1815"/>
    </row>
    <row r="90" spans="1:43" ht="14.25" customHeight="1" x14ac:dyDescent="0.25">
      <c r="A90" s="1924"/>
      <c r="B90" s="1925"/>
      <c r="C90" s="1927"/>
      <c r="D90" s="1957"/>
      <c r="E90" s="1957"/>
      <c r="F90" s="1958"/>
      <c r="G90" s="1877">
        <v>57</v>
      </c>
      <c r="H90" s="399" t="s">
        <v>2506</v>
      </c>
      <c r="I90" s="399"/>
      <c r="J90" s="399"/>
      <c r="K90" s="863"/>
      <c r="L90" s="863"/>
      <c r="M90" s="862"/>
      <c r="N90" s="866"/>
      <c r="O90" s="1035"/>
      <c r="P90" s="400"/>
      <c r="Q90" s="1145"/>
      <c r="R90" s="1839"/>
      <c r="S90" s="400"/>
      <c r="T90" s="400"/>
      <c r="U90" s="400"/>
      <c r="V90" s="1954"/>
      <c r="W90" s="1147"/>
      <c r="X90" s="1035"/>
      <c r="Y90" s="1035"/>
      <c r="Z90" s="1035"/>
      <c r="AA90" s="399"/>
      <c r="AB90" s="399"/>
      <c r="AC90" s="399"/>
      <c r="AD90" s="399"/>
      <c r="AE90" s="399"/>
      <c r="AF90" s="399"/>
      <c r="AG90" s="399"/>
      <c r="AH90" s="1031"/>
      <c r="AI90" s="1031"/>
      <c r="AJ90" s="1823"/>
      <c r="AK90" s="1823"/>
      <c r="AL90" s="1823"/>
      <c r="AM90" s="1823"/>
      <c r="AN90" s="1823"/>
      <c r="AO90" s="1823"/>
      <c r="AP90" s="1823"/>
      <c r="AQ90" s="1824"/>
    </row>
    <row r="91" spans="1:43" ht="87.75" customHeight="1" thickBot="1" x14ac:dyDescent="0.3">
      <c r="A91" s="1924"/>
      <c r="B91" s="1925"/>
      <c r="C91" s="1927"/>
      <c r="D91" s="1798"/>
      <c r="E91" s="1798"/>
      <c r="F91" s="1888"/>
      <c r="G91" s="470"/>
      <c r="H91" s="470"/>
      <c r="I91" s="470"/>
      <c r="J91" s="1781">
        <v>182</v>
      </c>
      <c r="K91" s="1947" t="s">
        <v>2507</v>
      </c>
      <c r="L91" s="1947" t="s">
        <v>2508</v>
      </c>
      <c r="M91" s="1781">
        <v>1</v>
      </c>
      <c r="N91" s="1781" t="s">
        <v>2509</v>
      </c>
      <c r="O91" s="1759" t="s">
        <v>2510</v>
      </c>
      <c r="P91" s="1947" t="s">
        <v>2511</v>
      </c>
      <c r="Q91" s="1752">
        <v>1</v>
      </c>
      <c r="R91" s="1753">
        <f>+V91</f>
        <v>29000000</v>
      </c>
      <c r="S91" s="1947" t="s">
        <v>2512</v>
      </c>
      <c r="T91" s="1947" t="s">
        <v>2507</v>
      </c>
      <c r="U91" s="1947" t="s">
        <v>2513</v>
      </c>
      <c r="V91" s="1753">
        <v>29000000</v>
      </c>
      <c r="W91" s="1786">
        <v>20</v>
      </c>
      <c r="X91" s="1781" t="s">
        <v>61</v>
      </c>
      <c r="Y91" s="1781">
        <v>21554</v>
      </c>
      <c r="Z91" s="1781">
        <v>22392</v>
      </c>
      <c r="AA91" s="1786">
        <v>31677</v>
      </c>
      <c r="AB91" s="1786">
        <v>10302</v>
      </c>
      <c r="AC91" s="1786">
        <v>15916</v>
      </c>
      <c r="AD91" s="1786">
        <v>15683</v>
      </c>
      <c r="AE91" s="1786">
        <v>238</v>
      </c>
      <c r="AF91" s="1786">
        <v>245</v>
      </c>
      <c r="AG91" s="1786">
        <v>0</v>
      </c>
      <c r="AH91" s="1786">
        <v>0</v>
      </c>
      <c r="AI91" s="1949">
        <v>0</v>
      </c>
      <c r="AJ91" s="1950">
        <v>0</v>
      </c>
      <c r="AK91" s="1950">
        <v>2629</v>
      </c>
      <c r="AL91" s="1950">
        <v>2665</v>
      </c>
      <c r="AM91" s="1950">
        <v>2683</v>
      </c>
      <c r="AN91" s="1775">
        <v>4396</v>
      </c>
      <c r="AO91" s="1951">
        <v>43101</v>
      </c>
      <c r="AP91" s="1951">
        <v>43465</v>
      </c>
      <c r="AQ91" s="1952" t="s">
        <v>2517</v>
      </c>
    </row>
    <row r="92" spans="1:43" s="423" customFormat="1" ht="14.25" customHeight="1" thickBot="1" x14ac:dyDescent="0.3">
      <c r="A92" s="762"/>
      <c r="B92" s="763"/>
      <c r="C92" s="763"/>
      <c r="D92" s="763"/>
      <c r="E92" s="763"/>
      <c r="F92" s="763"/>
      <c r="G92" s="763"/>
      <c r="H92" s="763"/>
      <c r="I92" s="763"/>
      <c r="J92" s="763"/>
      <c r="K92" s="766"/>
      <c r="L92" s="767"/>
      <c r="M92" s="763"/>
      <c r="N92" s="1959"/>
      <c r="O92" s="1959"/>
      <c r="P92" s="766"/>
      <c r="Q92" s="1960"/>
      <c r="R92" s="323">
        <f>SUM(R12:R91)</f>
        <v>180275176307</v>
      </c>
      <c r="S92" s="770"/>
      <c r="T92" s="766"/>
      <c r="U92" s="771"/>
      <c r="V92" s="323">
        <f>SUM(V12:V91)</f>
        <v>180275176307</v>
      </c>
      <c r="W92" s="1961"/>
      <c r="X92" s="763"/>
      <c r="Y92" s="763"/>
      <c r="Z92" s="763"/>
      <c r="AA92" s="763"/>
      <c r="AB92" s="763"/>
      <c r="AC92" s="763"/>
      <c r="AD92" s="763"/>
      <c r="AE92" s="763"/>
      <c r="AF92" s="763"/>
      <c r="AG92" s="763"/>
      <c r="AH92" s="1962"/>
      <c r="AI92" s="1962"/>
      <c r="AJ92" s="1962"/>
      <c r="AK92" s="1962"/>
      <c r="AL92" s="1962"/>
      <c r="AM92" s="1962"/>
      <c r="AN92" s="1962"/>
      <c r="AO92" s="1962"/>
      <c r="AP92" s="1962"/>
      <c r="AQ92" s="1963"/>
    </row>
    <row r="93" spans="1:43" s="423" customFormat="1" ht="14.25" customHeight="1" x14ac:dyDescent="0.25">
      <c r="A93" s="778"/>
      <c r="B93" s="505"/>
      <c r="C93" s="505"/>
      <c r="D93" s="505"/>
      <c r="E93" s="505"/>
      <c r="F93" s="505"/>
      <c r="G93" s="505"/>
      <c r="H93" s="505"/>
      <c r="I93" s="505"/>
      <c r="J93" s="505"/>
      <c r="K93" s="504"/>
      <c r="L93" s="1749"/>
      <c r="M93" s="505"/>
      <c r="N93" s="1964"/>
      <c r="O93" s="1964"/>
      <c r="P93" s="504"/>
      <c r="Q93" s="1965"/>
      <c r="R93" s="473"/>
      <c r="S93" s="504"/>
      <c r="T93" s="504"/>
      <c r="U93" s="504"/>
      <c r="V93" s="1966"/>
      <c r="W93" s="505"/>
      <c r="X93" s="505"/>
      <c r="Y93" s="505"/>
      <c r="Z93" s="505"/>
      <c r="AA93" s="505"/>
      <c r="AB93" s="505"/>
      <c r="AC93" s="505"/>
      <c r="AD93" s="505"/>
      <c r="AE93" s="505"/>
      <c r="AF93" s="505"/>
      <c r="AG93" s="505"/>
      <c r="AQ93" s="1967"/>
    </row>
    <row r="94" spans="1:43" s="423" customFormat="1" ht="14.25" customHeight="1" x14ac:dyDescent="0.25">
      <c r="A94" s="778"/>
      <c r="B94" s="505"/>
      <c r="C94" s="505"/>
      <c r="D94" s="505"/>
      <c r="E94" s="505"/>
      <c r="F94" s="505"/>
      <c r="G94" s="505"/>
      <c r="H94" s="505"/>
      <c r="I94" s="505"/>
      <c r="J94" s="505"/>
      <c r="K94" s="504"/>
      <c r="L94" s="1749"/>
      <c r="M94" s="505"/>
      <c r="N94" s="1964"/>
      <c r="O94" s="1964"/>
      <c r="P94" s="504"/>
      <c r="Q94" s="1965"/>
      <c r="R94" s="1968"/>
      <c r="S94" s="504"/>
      <c r="T94" s="504"/>
      <c r="U94" s="504"/>
      <c r="V94" s="1966"/>
      <c r="W94" s="505"/>
      <c r="X94" s="505"/>
      <c r="Y94" s="505"/>
      <c r="Z94" s="505"/>
      <c r="AA94" s="505"/>
      <c r="AB94" s="505"/>
      <c r="AC94" s="505"/>
      <c r="AD94" s="505"/>
      <c r="AE94" s="505"/>
      <c r="AF94" s="505"/>
      <c r="AG94" s="505"/>
      <c r="AQ94" s="1967"/>
    </row>
    <row r="95" spans="1:43" s="423" customFormat="1" ht="14.25" customHeight="1" x14ac:dyDescent="0.25">
      <c r="A95" s="778"/>
      <c r="B95" s="505"/>
      <c r="C95" s="505"/>
      <c r="D95" s="505"/>
      <c r="E95" s="505"/>
      <c r="F95" s="505"/>
      <c r="G95" s="505"/>
      <c r="H95" s="505"/>
      <c r="I95" s="505"/>
      <c r="J95" s="505"/>
      <c r="K95" s="504"/>
      <c r="L95" s="1749"/>
      <c r="M95" s="505"/>
      <c r="N95" s="1964"/>
      <c r="O95" s="1964"/>
      <c r="P95" s="504"/>
      <c r="Q95" s="1965"/>
      <c r="R95" s="473"/>
      <c r="S95" s="504"/>
      <c r="T95" s="504"/>
      <c r="U95" s="504"/>
      <c r="V95" s="1966"/>
      <c r="W95" s="505"/>
      <c r="X95" s="505"/>
      <c r="Y95" s="505"/>
      <c r="Z95" s="505"/>
      <c r="AA95" s="505"/>
      <c r="AB95" s="505"/>
      <c r="AC95" s="505"/>
      <c r="AD95" s="505"/>
      <c r="AE95" s="505"/>
      <c r="AF95" s="505"/>
      <c r="AG95" s="505"/>
      <c r="AQ95" s="1967"/>
    </row>
    <row r="96" spans="1:43" ht="14.25" customHeight="1" x14ac:dyDescent="0.25">
      <c r="A96" s="485"/>
      <c r="B96" s="485"/>
      <c r="C96" s="485"/>
      <c r="D96" s="485"/>
      <c r="E96" s="485"/>
      <c r="F96" s="485"/>
      <c r="G96" s="648"/>
      <c r="H96" s="646"/>
      <c r="I96" s="485"/>
      <c r="J96" s="485"/>
      <c r="K96" s="1969"/>
      <c r="L96" s="646"/>
      <c r="M96" s="485"/>
      <c r="N96" s="2976" t="s">
        <v>2514</v>
      </c>
      <c r="O96" s="2976"/>
      <c r="P96" s="2976"/>
      <c r="Q96" s="485"/>
      <c r="R96" s="1970"/>
      <c r="S96" s="1747"/>
      <c r="T96" s="1971"/>
      <c r="U96" s="1971"/>
      <c r="V96" s="1972"/>
      <c r="W96" s="485"/>
      <c r="X96" s="485"/>
      <c r="Y96" s="485"/>
      <c r="Z96" s="485"/>
      <c r="AA96" s="898"/>
      <c r="AB96" s="485"/>
      <c r="AC96" s="898"/>
      <c r="AD96" s="485"/>
      <c r="AE96" s="898"/>
      <c r="AF96" s="485"/>
      <c r="AG96" s="898"/>
    </row>
    <row r="97" spans="1:33" ht="14.25" customHeight="1" x14ac:dyDescent="0.25">
      <c r="A97" s="485"/>
      <c r="B97" s="485"/>
      <c r="C97" s="485"/>
      <c r="D97" s="485"/>
      <c r="E97" s="485"/>
      <c r="F97" s="485"/>
      <c r="G97" s="648"/>
      <c r="H97" s="646"/>
      <c r="I97" s="485"/>
      <c r="J97" s="485"/>
      <c r="K97" s="1969"/>
      <c r="L97" s="646"/>
      <c r="M97" s="485"/>
      <c r="N97" s="648" t="s">
        <v>2515</v>
      </c>
      <c r="O97" s="485"/>
      <c r="P97" s="1973"/>
      <c r="Q97" s="485"/>
      <c r="R97" s="646"/>
      <c r="S97" s="646"/>
      <c r="T97" s="1974"/>
      <c r="U97" s="1975"/>
      <c r="V97" s="1976"/>
      <c r="W97" s="485"/>
      <c r="X97" s="485"/>
      <c r="Y97" s="485"/>
      <c r="Z97" s="485"/>
      <c r="AA97" s="898"/>
      <c r="AB97" s="485"/>
      <c r="AC97" s="898"/>
      <c r="AD97" s="485"/>
      <c r="AE97" s="898"/>
      <c r="AF97" s="485"/>
      <c r="AG97" s="898"/>
    </row>
    <row r="98" spans="1:33" ht="14.25" customHeight="1" x14ac:dyDescent="0.25">
      <c r="R98" s="1977"/>
    </row>
    <row r="99" spans="1:33" ht="14.25" customHeight="1" x14ac:dyDescent="0.25">
      <c r="R99" s="1977"/>
    </row>
  </sheetData>
  <sheetProtection password="CBEB" sheet="1" objects="1" scenarios="1"/>
  <mergeCells count="346">
    <mergeCell ref="J7:J8"/>
    <mergeCell ref="K7:K8"/>
    <mergeCell ref="L7:L8"/>
    <mergeCell ref="M7:M8"/>
    <mergeCell ref="N7:N8"/>
    <mergeCell ref="O7:O8"/>
    <mergeCell ref="A1:AO4"/>
    <mergeCell ref="A5:M6"/>
    <mergeCell ref="N5:AQ5"/>
    <mergeCell ref="Y6:AM6"/>
    <mergeCell ref="A7:A8"/>
    <mergeCell ref="B7:C8"/>
    <mergeCell ref="D7:D8"/>
    <mergeCell ref="E7:F8"/>
    <mergeCell ref="G7:G8"/>
    <mergeCell ref="H7:I8"/>
    <mergeCell ref="AN7:AN8"/>
    <mergeCell ref="AO7:AO8"/>
    <mergeCell ref="AP7:AP8"/>
    <mergeCell ref="AQ7:AQ8"/>
    <mergeCell ref="AA7:AD7"/>
    <mergeCell ref="AE7:AJ7"/>
    <mergeCell ref="AK7:AM7"/>
    <mergeCell ref="V7:V8"/>
    <mergeCell ref="X7:X8"/>
    <mergeCell ref="Y7:Z7"/>
    <mergeCell ref="P7:P8"/>
    <mergeCell ref="Q7:Q8"/>
    <mergeCell ref="R7:R8"/>
    <mergeCell ref="S7:S8"/>
    <mergeCell ref="T7:T8"/>
    <mergeCell ref="U7:U8"/>
    <mergeCell ref="AQ12:AQ16"/>
    <mergeCell ref="AK12:AK16"/>
    <mergeCell ref="AL12:AL16"/>
    <mergeCell ref="AM12:AM16"/>
    <mergeCell ref="AN12:AN16"/>
    <mergeCell ref="AO12:AO16"/>
    <mergeCell ref="AP12:AP16"/>
    <mergeCell ref="AE12:AE16"/>
    <mergeCell ref="AF12:AF16"/>
    <mergeCell ref="AG12:AG16"/>
    <mergeCell ref="AH12:AH16"/>
    <mergeCell ref="AI12:AI16"/>
    <mergeCell ref="AJ12:AJ16"/>
    <mergeCell ref="Y12:Y16"/>
    <mergeCell ref="Z12:Z16"/>
    <mergeCell ref="J13:J14"/>
    <mergeCell ref="K13:K14"/>
    <mergeCell ref="L13:L14"/>
    <mergeCell ref="M13:M14"/>
    <mergeCell ref="Q13:Q14"/>
    <mergeCell ref="T13:T14"/>
    <mergeCell ref="J15:J16"/>
    <mergeCell ref="K15:K16"/>
    <mergeCell ref="L15:L16"/>
    <mergeCell ref="AA18:AA24"/>
    <mergeCell ref="AB18:AB24"/>
    <mergeCell ref="AC18:AC24"/>
    <mergeCell ref="AD18:AD24"/>
    <mergeCell ref="M15:M16"/>
    <mergeCell ref="Q15:Q16"/>
    <mergeCell ref="T15:T16"/>
    <mergeCell ref="U15:U16"/>
    <mergeCell ref="N18:N24"/>
    <mergeCell ref="O18:O24"/>
    <mergeCell ref="P18:P24"/>
    <mergeCell ref="R18:R24"/>
    <mergeCell ref="S18:S24"/>
    <mergeCell ref="T18:T24"/>
    <mergeCell ref="AA12:AA16"/>
    <mergeCell ref="AB12:AB16"/>
    <mergeCell ref="AC12:AC16"/>
    <mergeCell ref="AD12:AD16"/>
    <mergeCell ref="O12:O16"/>
    <mergeCell ref="P12:P16"/>
    <mergeCell ref="R12:R16"/>
    <mergeCell ref="S12:S16"/>
    <mergeCell ref="W12:W16"/>
    <mergeCell ref="X12:X16"/>
    <mergeCell ref="R28:R35"/>
    <mergeCell ref="S28:S35"/>
    <mergeCell ref="Y28:Y35"/>
    <mergeCell ref="Z28:Z35"/>
    <mergeCell ref="AQ18:AQ24"/>
    <mergeCell ref="J20:J21"/>
    <mergeCell ref="K20:K21"/>
    <mergeCell ref="L20:L21"/>
    <mergeCell ref="M20:M21"/>
    <mergeCell ref="Q20:Q21"/>
    <mergeCell ref="AK18:AK24"/>
    <mergeCell ref="AL18:AL24"/>
    <mergeCell ref="AM18:AM24"/>
    <mergeCell ref="AN18:AN24"/>
    <mergeCell ref="AO18:AO24"/>
    <mergeCell ref="AP18:AP24"/>
    <mergeCell ref="AE18:AE24"/>
    <mergeCell ref="AF18:AF24"/>
    <mergeCell ref="AG18:AG24"/>
    <mergeCell ref="AH18:AH24"/>
    <mergeCell ref="AI18:AI24"/>
    <mergeCell ref="AJ18:AJ24"/>
    <mergeCell ref="Y18:Y24"/>
    <mergeCell ref="Z18:Z24"/>
    <mergeCell ref="AM28:AM35"/>
    <mergeCell ref="AN28:AN35"/>
    <mergeCell ref="AO28:AO35"/>
    <mergeCell ref="AP28:AP35"/>
    <mergeCell ref="AQ28:AQ35"/>
    <mergeCell ref="G37:I50"/>
    <mergeCell ref="O37:O50"/>
    <mergeCell ref="P37:P50"/>
    <mergeCell ref="R37:R50"/>
    <mergeCell ref="S37:S50"/>
    <mergeCell ref="AG28:AG35"/>
    <mergeCell ref="AH28:AH35"/>
    <mergeCell ref="AI28:AI35"/>
    <mergeCell ref="AJ28:AJ35"/>
    <mergeCell ref="AK28:AK35"/>
    <mergeCell ref="AL28:AL35"/>
    <mergeCell ref="AA28:AA35"/>
    <mergeCell ref="AB28:AB35"/>
    <mergeCell ref="AC28:AC35"/>
    <mergeCell ref="AD28:AD35"/>
    <mergeCell ref="AE28:AE35"/>
    <mergeCell ref="AF28:AF35"/>
    <mergeCell ref="O28:O35"/>
    <mergeCell ref="P28:P35"/>
    <mergeCell ref="AF37:AF50"/>
    <mergeCell ref="AG37:AG50"/>
    <mergeCell ref="AH37:AH50"/>
    <mergeCell ref="W37:W50"/>
    <mergeCell ref="X37:X50"/>
    <mergeCell ref="Y37:Y50"/>
    <mergeCell ref="Z37:Z50"/>
    <mergeCell ref="AA37:AA50"/>
    <mergeCell ref="AB37:AB50"/>
    <mergeCell ref="J47:J48"/>
    <mergeCell ref="K47:K48"/>
    <mergeCell ref="L47:L48"/>
    <mergeCell ref="M47:M48"/>
    <mergeCell ref="Q47:Q48"/>
    <mergeCell ref="AO37:AO50"/>
    <mergeCell ref="AP37:AP50"/>
    <mergeCell ref="AQ37:AQ50"/>
    <mergeCell ref="J41:J42"/>
    <mergeCell ref="K41:K42"/>
    <mergeCell ref="L41:L42"/>
    <mergeCell ref="M41:M42"/>
    <mergeCell ref="Q41:Q42"/>
    <mergeCell ref="T41:T42"/>
    <mergeCell ref="J43:J45"/>
    <mergeCell ref="AI37:AI50"/>
    <mergeCell ref="AJ37:AJ50"/>
    <mergeCell ref="AK37:AK50"/>
    <mergeCell ref="AL37:AL50"/>
    <mergeCell ref="AM37:AM50"/>
    <mergeCell ref="AN37:AN50"/>
    <mergeCell ref="AC37:AC50"/>
    <mergeCell ref="AD37:AD50"/>
    <mergeCell ref="AE37:AE50"/>
    <mergeCell ref="T47:T48"/>
    <mergeCell ref="O52:O56"/>
    <mergeCell ref="P52:P56"/>
    <mergeCell ref="R52:R56"/>
    <mergeCell ref="S52:S56"/>
    <mergeCell ref="W52:W56"/>
    <mergeCell ref="K43:K45"/>
    <mergeCell ref="L43:L45"/>
    <mergeCell ref="M43:M45"/>
    <mergeCell ref="Q43:Q45"/>
    <mergeCell ref="T43:T45"/>
    <mergeCell ref="AG52:AG56"/>
    <mergeCell ref="AH52:AH56"/>
    <mergeCell ref="AI52:AI56"/>
    <mergeCell ref="X52:X56"/>
    <mergeCell ref="Y52:Y56"/>
    <mergeCell ref="Z52:Z56"/>
    <mergeCell ref="AA52:AA56"/>
    <mergeCell ref="AB52:AB56"/>
    <mergeCell ref="AC52:AC56"/>
    <mergeCell ref="G58:I62"/>
    <mergeCell ref="J58:J62"/>
    <mergeCell ref="K58:K62"/>
    <mergeCell ref="L58:L62"/>
    <mergeCell ref="M58:M62"/>
    <mergeCell ref="O58:O62"/>
    <mergeCell ref="AP52:AP56"/>
    <mergeCell ref="AQ52:AQ56"/>
    <mergeCell ref="J54:J55"/>
    <mergeCell ref="K54:K55"/>
    <mergeCell ref="L54:L55"/>
    <mergeCell ref="M54:M55"/>
    <mergeCell ref="T54:T55"/>
    <mergeCell ref="U54:U55"/>
    <mergeCell ref="V54:V55"/>
    <mergeCell ref="AJ52:AJ56"/>
    <mergeCell ref="AK52:AK56"/>
    <mergeCell ref="AL52:AL56"/>
    <mergeCell ref="AM52:AM56"/>
    <mergeCell ref="AN52:AN56"/>
    <mergeCell ref="AO52:AO56"/>
    <mergeCell ref="AD52:AD56"/>
    <mergeCell ref="AE52:AE56"/>
    <mergeCell ref="AF52:AF56"/>
    <mergeCell ref="X58:X62"/>
    <mergeCell ref="Y58:Y62"/>
    <mergeCell ref="Z58:Z62"/>
    <mergeCell ref="AA58:AA62"/>
    <mergeCell ref="P58:P62"/>
    <mergeCell ref="Q58:Q62"/>
    <mergeCell ref="R58:R62"/>
    <mergeCell ref="S58:S62"/>
    <mergeCell ref="T58:T62"/>
    <mergeCell ref="U58:U62"/>
    <mergeCell ref="AN58:AN62"/>
    <mergeCell ref="AO58:AO62"/>
    <mergeCell ref="AP58:AP62"/>
    <mergeCell ref="AQ58:AQ62"/>
    <mergeCell ref="O65:O69"/>
    <mergeCell ref="P65:P69"/>
    <mergeCell ref="R65:R69"/>
    <mergeCell ref="S65:S69"/>
    <mergeCell ref="Y65:Y69"/>
    <mergeCell ref="Z65:Z69"/>
    <mergeCell ref="AH58:AH62"/>
    <mergeCell ref="AI58:AI62"/>
    <mergeCell ref="AJ58:AJ62"/>
    <mergeCell ref="AK58:AK62"/>
    <mergeCell ref="AL58:AL62"/>
    <mergeCell ref="AM58:AM62"/>
    <mergeCell ref="AB58:AB62"/>
    <mergeCell ref="AC58:AC62"/>
    <mergeCell ref="AD58:AD62"/>
    <mergeCell ref="AE58:AE62"/>
    <mergeCell ref="AF58:AF62"/>
    <mergeCell ref="AG58:AG62"/>
    <mergeCell ref="V58:V62"/>
    <mergeCell ref="W58:W62"/>
    <mergeCell ref="O71:O74"/>
    <mergeCell ref="P71:P74"/>
    <mergeCell ref="R71:R74"/>
    <mergeCell ref="S71:S74"/>
    <mergeCell ref="T71:T74"/>
    <mergeCell ref="AG65:AG69"/>
    <mergeCell ref="AH65:AH69"/>
    <mergeCell ref="AI65:AI69"/>
    <mergeCell ref="AJ65:AJ69"/>
    <mergeCell ref="AA65:AA69"/>
    <mergeCell ref="AB65:AB69"/>
    <mergeCell ref="AC65:AC69"/>
    <mergeCell ref="AD65:AD69"/>
    <mergeCell ref="AE65:AE69"/>
    <mergeCell ref="AF65:AF69"/>
    <mergeCell ref="AA71:AA74"/>
    <mergeCell ref="AB71:AB74"/>
    <mergeCell ref="AC71:AC74"/>
    <mergeCell ref="AD71:AD74"/>
    <mergeCell ref="AF71:AF74"/>
    <mergeCell ref="AG71:AG74"/>
    <mergeCell ref="AH71:AH74"/>
    <mergeCell ref="AI71:AI74"/>
    <mergeCell ref="AJ71:AJ74"/>
    <mergeCell ref="AM65:AM69"/>
    <mergeCell ref="AN65:AN69"/>
    <mergeCell ref="AO65:AO69"/>
    <mergeCell ref="AP65:AP69"/>
    <mergeCell ref="AQ65:AQ69"/>
    <mergeCell ref="AK65:AK69"/>
    <mergeCell ref="AL65:AL69"/>
    <mergeCell ref="AQ71:AQ74"/>
    <mergeCell ref="O78:O79"/>
    <mergeCell ref="P78:P79"/>
    <mergeCell ref="R78:R79"/>
    <mergeCell ref="S78:S79"/>
    <mergeCell ref="Y78:Y79"/>
    <mergeCell ref="Z78:Z79"/>
    <mergeCell ref="AA78:AA79"/>
    <mergeCell ref="AB78:AB79"/>
    <mergeCell ref="AC78:AC79"/>
    <mergeCell ref="AK71:AK74"/>
    <mergeCell ref="AL71:AL74"/>
    <mergeCell ref="AM71:AM74"/>
    <mergeCell ref="AN71:AN74"/>
    <mergeCell ref="AO71:AO74"/>
    <mergeCell ref="AP71:AP74"/>
    <mergeCell ref="AE71:AE74"/>
    <mergeCell ref="Y71:Y74"/>
    <mergeCell ref="Z71:Z74"/>
    <mergeCell ref="AP78:AP79"/>
    <mergeCell ref="AQ78:AQ79"/>
    <mergeCell ref="J85:J86"/>
    <mergeCell ref="K85:K86"/>
    <mergeCell ref="L85:L86"/>
    <mergeCell ref="M85:M86"/>
    <mergeCell ref="N85:N87"/>
    <mergeCell ref="O85:O88"/>
    <mergeCell ref="P85:P88"/>
    <mergeCell ref="Q85:Q86"/>
    <mergeCell ref="AJ78:AJ79"/>
    <mergeCell ref="AK78:AK79"/>
    <mergeCell ref="AL78:AL79"/>
    <mergeCell ref="AM78:AM79"/>
    <mergeCell ref="AN78:AN79"/>
    <mergeCell ref="AO78:AO79"/>
    <mergeCell ref="AD78:AD79"/>
    <mergeCell ref="AE78:AE79"/>
    <mergeCell ref="AF78:AF79"/>
    <mergeCell ref="AG78:AG79"/>
    <mergeCell ref="AH78:AH79"/>
    <mergeCell ref="AI78:AI79"/>
    <mergeCell ref="Y85:Y88"/>
    <mergeCell ref="Z85:Z88"/>
    <mergeCell ref="AA85:AA88"/>
    <mergeCell ref="AB85:AB88"/>
    <mergeCell ref="AC85:AC88"/>
    <mergeCell ref="R85:R88"/>
    <mergeCell ref="S85:S88"/>
    <mergeCell ref="T85:T86"/>
    <mergeCell ref="U85:U86"/>
    <mergeCell ref="V85:V86"/>
    <mergeCell ref="W85:W88"/>
    <mergeCell ref="N96:P96"/>
    <mergeCell ref="AP85:AP88"/>
    <mergeCell ref="AQ85:AQ88"/>
    <mergeCell ref="J87:J88"/>
    <mergeCell ref="K87:K88"/>
    <mergeCell ref="L87:L88"/>
    <mergeCell ref="M87:M88"/>
    <mergeCell ref="Q87:Q88"/>
    <mergeCell ref="T87:T88"/>
    <mergeCell ref="U87:U88"/>
    <mergeCell ref="V87:V88"/>
    <mergeCell ref="AJ85:AJ88"/>
    <mergeCell ref="AK85:AK88"/>
    <mergeCell ref="AL85:AL88"/>
    <mergeCell ref="AM85:AM88"/>
    <mergeCell ref="AN85:AN88"/>
    <mergeCell ref="AO85:AO88"/>
    <mergeCell ref="AD85:AD88"/>
    <mergeCell ref="AE85:AE88"/>
    <mergeCell ref="AF85:AF88"/>
    <mergeCell ref="AG85:AG88"/>
    <mergeCell ref="AH85:AH88"/>
    <mergeCell ref="AI85:AI88"/>
    <mergeCell ref="X85:X8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SC165"/>
  <sheetViews>
    <sheetView showGridLines="0" topLeftCell="O6" zoomScale="70" zoomScaleNormal="70" workbookViewId="0">
      <selection sqref="A1:AM4"/>
    </sheetView>
  </sheetViews>
  <sheetFormatPr baseColWidth="10" defaultColWidth="11.42578125" defaultRowHeight="15" x14ac:dyDescent="0.2"/>
  <cols>
    <col min="1" max="1" width="14.42578125" style="485" customWidth="1"/>
    <col min="2" max="2" width="21.140625" style="485" customWidth="1"/>
    <col min="3" max="3" width="13.85546875" style="485" customWidth="1"/>
    <col min="4" max="4" width="20.28515625" style="485" customWidth="1"/>
    <col min="5" max="5" width="15.85546875" style="485" customWidth="1"/>
    <col min="6" max="6" width="26.140625" style="648" customWidth="1"/>
    <col min="7" max="7" width="19.28515625" style="485" customWidth="1"/>
    <col min="8" max="8" width="30.85546875" style="646" customWidth="1"/>
    <col min="9" max="9" width="19.5703125" style="646" customWidth="1"/>
    <col min="10" max="10" width="15.28515625" style="485" customWidth="1"/>
    <col min="11" max="11" width="36.28515625" style="485" customWidth="1"/>
    <col min="12" max="12" width="19.7109375" style="485" customWidth="1"/>
    <col min="13" max="13" width="35.5703125" style="646" customWidth="1"/>
    <col min="14" max="14" width="18.7109375" style="485" customWidth="1"/>
    <col min="15" max="15" width="27.140625" style="647" customWidth="1"/>
    <col min="16" max="16" width="29.42578125" style="646" customWidth="1"/>
    <col min="17" max="17" width="29" style="646" customWidth="1"/>
    <col min="18" max="18" width="57.42578125" style="488" customWidth="1"/>
    <col min="19" max="19" width="30.28515625" style="647" customWidth="1"/>
    <col min="20" max="20" width="15" style="648" customWidth="1"/>
    <col min="21" max="21" width="21.85546875" style="646" customWidth="1"/>
    <col min="22" max="22" width="13.42578125" style="485" customWidth="1"/>
    <col min="23" max="37" width="11.140625" style="485" customWidth="1"/>
    <col min="38" max="38" width="22.85546875" style="485" customWidth="1"/>
    <col min="39" max="39" width="22.42578125" style="485" customWidth="1"/>
    <col min="40" max="40" width="38.42578125" style="646" customWidth="1"/>
    <col min="41" max="45" width="11.42578125" style="488"/>
    <col min="46" max="256" width="11.42578125" style="485"/>
    <col min="257" max="257" width="13.5703125" style="485" customWidth="1"/>
    <col min="258" max="258" width="19" style="485" customWidth="1"/>
    <col min="259" max="259" width="13.5703125" style="485" customWidth="1"/>
    <col min="260" max="260" width="19.7109375" style="485" customWidth="1"/>
    <col min="261" max="261" width="13.5703125" style="485" customWidth="1"/>
    <col min="262" max="263" width="14.7109375" style="485" customWidth="1"/>
    <col min="264" max="264" width="36.140625" style="485" customWidth="1"/>
    <col min="265" max="265" width="29.42578125" style="485" customWidth="1"/>
    <col min="266" max="266" width="16" style="485" customWidth="1"/>
    <col min="267" max="267" width="38.28515625" style="485" customWidth="1"/>
    <col min="268" max="268" width="12" style="485" customWidth="1"/>
    <col min="269" max="269" width="38.140625" style="485" customWidth="1"/>
    <col min="270" max="270" width="17.85546875" style="485" bestFit="1" customWidth="1"/>
    <col min="271" max="271" width="24.7109375" style="485" customWidth="1"/>
    <col min="272" max="272" width="36.42578125" style="485" customWidth="1"/>
    <col min="273" max="273" width="46.7109375" style="485" customWidth="1"/>
    <col min="274" max="274" width="43.7109375" style="485" customWidth="1"/>
    <col min="275" max="275" width="25.42578125" style="485" customWidth="1"/>
    <col min="276" max="276" width="12.42578125" style="485" customWidth="1"/>
    <col min="277" max="277" width="16.42578125" style="485" customWidth="1"/>
    <col min="278" max="278" width="13.42578125" style="485" customWidth="1"/>
    <col min="279" max="279" width="8.5703125" style="485" customWidth="1"/>
    <col min="280" max="283" width="11.42578125" style="485" customWidth="1"/>
    <col min="284" max="284" width="12.7109375" style="485" customWidth="1"/>
    <col min="285" max="285" width="11.85546875" style="485" customWidth="1"/>
    <col min="286" max="286" width="7.85546875" style="485" customWidth="1"/>
    <col min="287" max="287" width="7.5703125" style="485" customWidth="1"/>
    <col min="288" max="288" width="8.85546875" style="485" customWidth="1"/>
    <col min="289" max="289" width="8.140625" style="485" customWidth="1"/>
    <col min="290" max="290" width="7.85546875" style="485" customWidth="1"/>
    <col min="291" max="291" width="8.5703125" style="485" customWidth="1"/>
    <col min="292" max="292" width="8.28515625" style="485" customWidth="1"/>
    <col min="293" max="293" width="11.42578125" style="485" customWidth="1"/>
    <col min="294" max="294" width="18" style="485" customWidth="1"/>
    <col min="295" max="295" width="21.42578125" style="485" customWidth="1"/>
    <col min="296" max="296" width="27.85546875" style="485" customWidth="1"/>
    <col min="297" max="512" width="11.42578125" style="485"/>
    <col min="513" max="513" width="13.5703125" style="485" customWidth="1"/>
    <col min="514" max="514" width="19" style="485" customWidth="1"/>
    <col min="515" max="515" width="13.5703125" style="485" customWidth="1"/>
    <col min="516" max="516" width="19.7109375" style="485" customWidth="1"/>
    <col min="517" max="517" width="13.5703125" style="485" customWidth="1"/>
    <col min="518" max="519" width="14.7109375" style="485" customWidth="1"/>
    <col min="520" max="520" width="36.140625" style="485" customWidth="1"/>
    <col min="521" max="521" width="29.42578125" style="485" customWidth="1"/>
    <col min="522" max="522" width="16" style="485" customWidth="1"/>
    <col min="523" max="523" width="38.28515625" style="485" customWidth="1"/>
    <col min="524" max="524" width="12" style="485" customWidth="1"/>
    <col min="525" max="525" width="38.140625" style="485" customWidth="1"/>
    <col min="526" max="526" width="17.85546875" style="485" bestFit="1" customWidth="1"/>
    <col min="527" max="527" width="24.7109375" style="485" customWidth="1"/>
    <col min="528" max="528" width="36.42578125" style="485" customWidth="1"/>
    <col min="529" max="529" width="46.7109375" style="485" customWidth="1"/>
    <col min="530" max="530" width="43.7109375" style="485" customWidth="1"/>
    <col min="531" max="531" width="25.42578125" style="485" customWidth="1"/>
    <col min="532" max="532" width="12.42578125" style="485" customWidth="1"/>
    <col min="533" max="533" width="16.42578125" style="485" customWidth="1"/>
    <col min="534" max="534" width="13.42578125" style="485" customWidth="1"/>
    <col min="535" max="535" width="8.5703125" style="485" customWidth="1"/>
    <col min="536" max="539" width="11.42578125" style="485" customWidth="1"/>
    <col min="540" max="540" width="12.7109375" style="485" customWidth="1"/>
    <col min="541" max="541" width="11.85546875" style="485" customWidth="1"/>
    <col min="542" max="542" width="7.85546875" style="485" customWidth="1"/>
    <col min="543" max="543" width="7.5703125" style="485" customWidth="1"/>
    <col min="544" max="544" width="8.85546875" style="485" customWidth="1"/>
    <col min="545" max="545" width="8.140625" style="485" customWidth="1"/>
    <col min="546" max="546" width="7.85546875" style="485" customWidth="1"/>
    <col min="547" max="547" width="8.5703125" style="485" customWidth="1"/>
    <col min="548" max="548" width="8.28515625" style="485" customWidth="1"/>
    <col min="549" max="549" width="11.42578125" style="485" customWidth="1"/>
    <col min="550" max="550" width="18" style="485" customWidth="1"/>
    <col min="551" max="551" width="21.42578125" style="485" customWidth="1"/>
    <col min="552" max="552" width="27.85546875" style="485" customWidth="1"/>
    <col min="553" max="768" width="11.42578125" style="485"/>
    <col min="769" max="769" width="13.5703125" style="485" customWidth="1"/>
    <col min="770" max="770" width="19" style="485" customWidth="1"/>
    <col min="771" max="771" width="13.5703125" style="485" customWidth="1"/>
    <col min="772" max="772" width="19.7109375" style="485" customWidth="1"/>
    <col min="773" max="773" width="13.5703125" style="485" customWidth="1"/>
    <col min="774" max="775" width="14.7109375" style="485" customWidth="1"/>
    <col min="776" max="776" width="36.140625" style="485" customWidth="1"/>
    <col min="777" max="777" width="29.42578125" style="485" customWidth="1"/>
    <col min="778" max="778" width="16" style="485" customWidth="1"/>
    <col min="779" max="779" width="38.28515625" style="485" customWidth="1"/>
    <col min="780" max="780" width="12" style="485" customWidth="1"/>
    <col min="781" max="781" width="38.140625" style="485" customWidth="1"/>
    <col min="782" max="782" width="17.85546875" style="485" bestFit="1" customWidth="1"/>
    <col min="783" max="783" width="24.7109375" style="485" customWidth="1"/>
    <col min="784" max="784" width="36.42578125" style="485" customWidth="1"/>
    <col min="785" max="785" width="46.7109375" style="485" customWidth="1"/>
    <col min="786" max="786" width="43.7109375" style="485" customWidth="1"/>
    <col min="787" max="787" width="25.42578125" style="485" customWidth="1"/>
    <col min="788" max="788" width="12.42578125" style="485" customWidth="1"/>
    <col min="789" max="789" width="16.42578125" style="485" customWidth="1"/>
    <col min="790" max="790" width="13.42578125" style="485" customWidth="1"/>
    <col min="791" max="791" width="8.5703125" style="485" customWidth="1"/>
    <col min="792" max="795" width="11.42578125" style="485" customWidth="1"/>
    <col min="796" max="796" width="12.7109375" style="485" customWidth="1"/>
    <col min="797" max="797" width="11.85546875" style="485" customWidth="1"/>
    <col min="798" max="798" width="7.85546875" style="485" customWidth="1"/>
    <col min="799" max="799" width="7.5703125" style="485" customWidth="1"/>
    <col min="800" max="800" width="8.85546875" style="485" customWidth="1"/>
    <col min="801" max="801" width="8.140625" style="485" customWidth="1"/>
    <col min="802" max="802" width="7.85546875" style="485" customWidth="1"/>
    <col min="803" max="803" width="8.5703125" style="485" customWidth="1"/>
    <col min="804" max="804" width="8.28515625" style="485" customWidth="1"/>
    <col min="805" max="805" width="11.42578125" style="485" customWidth="1"/>
    <col min="806" max="806" width="18" style="485" customWidth="1"/>
    <col min="807" max="807" width="21.42578125" style="485" customWidth="1"/>
    <col min="808" max="808" width="27.85546875" style="485" customWidth="1"/>
    <col min="809" max="1024" width="11.42578125" style="485"/>
    <col min="1025" max="1025" width="13.5703125" style="485" customWidth="1"/>
    <col min="1026" max="1026" width="19" style="485" customWidth="1"/>
    <col min="1027" max="1027" width="13.5703125" style="485" customWidth="1"/>
    <col min="1028" max="1028" width="19.7109375" style="485" customWidth="1"/>
    <col min="1029" max="1029" width="13.5703125" style="485" customWidth="1"/>
    <col min="1030" max="1031" width="14.7109375" style="485" customWidth="1"/>
    <col min="1032" max="1032" width="36.140625" style="485" customWidth="1"/>
    <col min="1033" max="1033" width="29.42578125" style="485" customWidth="1"/>
    <col min="1034" max="1034" width="16" style="485" customWidth="1"/>
    <col min="1035" max="1035" width="38.28515625" style="485" customWidth="1"/>
    <col min="1036" max="1036" width="12" style="485" customWidth="1"/>
    <col min="1037" max="1037" width="38.140625" style="485" customWidth="1"/>
    <col min="1038" max="1038" width="17.85546875" style="485" bestFit="1" customWidth="1"/>
    <col min="1039" max="1039" width="24.7109375" style="485" customWidth="1"/>
    <col min="1040" max="1040" width="36.42578125" style="485" customWidth="1"/>
    <col min="1041" max="1041" width="46.7109375" style="485" customWidth="1"/>
    <col min="1042" max="1042" width="43.7109375" style="485" customWidth="1"/>
    <col min="1043" max="1043" width="25.42578125" style="485" customWidth="1"/>
    <col min="1044" max="1044" width="12.42578125" style="485" customWidth="1"/>
    <col min="1045" max="1045" width="16.42578125" style="485" customWidth="1"/>
    <col min="1046" max="1046" width="13.42578125" style="485" customWidth="1"/>
    <col min="1047" max="1047" width="8.5703125" style="485" customWidth="1"/>
    <col min="1048" max="1051" width="11.42578125" style="485" customWidth="1"/>
    <col min="1052" max="1052" width="12.7109375" style="485" customWidth="1"/>
    <col min="1053" max="1053" width="11.85546875" style="485" customWidth="1"/>
    <col min="1054" max="1054" width="7.85546875" style="485" customWidth="1"/>
    <col min="1055" max="1055" width="7.5703125" style="485" customWidth="1"/>
    <col min="1056" max="1056" width="8.85546875" style="485" customWidth="1"/>
    <col min="1057" max="1057" width="8.140625" style="485" customWidth="1"/>
    <col min="1058" max="1058" width="7.85546875" style="485" customWidth="1"/>
    <col min="1059" max="1059" width="8.5703125" style="485" customWidth="1"/>
    <col min="1060" max="1060" width="8.28515625" style="485" customWidth="1"/>
    <col min="1061" max="1061" width="11.42578125" style="485" customWidth="1"/>
    <col min="1062" max="1062" width="18" style="485" customWidth="1"/>
    <col min="1063" max="1063" width="21.42578125" style="485" customWidth="1"/>
    <col min="1064" max="1064" width="27.85546875" style="485" customWidth="1"/>
    <col min="1065" max="1280" width="11.42578125" style="485"/>
    <col min="1281" max="1281" width="13.5703125" style="485" customWidth="1"/>
    <col min="1282" max="1282" width="19" style="485" customWidth="1"/>
    <col min="1283" max="1283" width="13.5703125" style="485" customWidth="1"/>
    <col min="1284" max="1284" width="19.7109375" style="485" customWidth="1"/>
    <col min="1285" max="1285" width="13.5703125" style="485" customWidth="1"/>
    <col min="1286" max="1287" width="14.7109375" style="485" customWidth="1"/>
    <col min="1288" max="1288" width="36.140625" style="485" customWidth="1"/>
    <col min="1289" max="1289" width="29.42578125" style="485" customWidth="1"/>
    <col min="1290" max="1290" width="16" style="485" customWidth="1"/>
    <col min="1291" max="1291" width="38.28515625" style="485" customWidth="1"/>
    <col min="1292" max="1292" width="12" style="485" customWidth="1"/>
    <col min="1293" max="1293" width="38.140625" style="485" customWidth="1"/>
    <col min="1294" max="1294" width="17.85546875" style="485" bestFit="1" customWidth="1"/>
    <col min="1295" max="1295" width="24.7109375" style="485" customWidth="1"/>
    <col min="1296" max="1296" width="36.42578125" style="485" customWidth="1"/>
    <col min="1297" max="1297" width="46.7109375" style="485" customWidth="1"/>
    <col min="1298" max="1298" width="43.7109375" style="485" customWidth="1"/>
    <col min="1299" max="1299" width="25.42578125" style="485" customWidth="1"/>
    <col min="1300" max="1300" width="12.42578125" style="485" customWidth="1"/>
    <col min="1301" max="1301" width="16.42578125" style="485" customWidth="1"/>
    <col min="1302" max="1302" width="13.42578125" style="485" customWidth="1"/>
    <col min="1303" max="1303" width="8.5703125" style="485" customWidth="1"/>
    <col min="1304" max="1307" width="11.42578125" style="485" customWidth="1"/>
    <col min="1308" max="1308" width="12.7109375" style="485" customWidth="1"/>
    <col min="1309" max="1309" width="11.85546875" style="485" customWidth="1"/>
    <col min="1310" max="1310" width="7.85546875" style="485" customWidth="1"/>
    <col min="1311" max="1311" width="7.5703125" style="485" customWidth="1"/>
    <col min="1312" max="1312" width="8.85546875" style="485" customWidth="1"/>
    <col min="1313" max="1313" width="8.140625" style="485" customWidth="1"/>
    <col min="1314" max="1314" width="7.85546875" style="485" customWidth="1"/>
    <col min="1315" max="1315" width="8.5703125" style="485" customWidth="1"/>
    <col min="1316" max="1316" width="8.28515625" style="485" customWidth="1"/>
    <col min="1317" max="1317" width="11.42578125" style="485" customWidth="1"/>
    <col min="1318" max="1318" width="18" style="485" customWidth="1"/>
    <col min="1319" max="1319" width="21.42578125" style="485" customWidth="1"/>
    <col min="1320" max="1320" width="27.85546875" style="485" customWidth="1"/>
    <col min="1321" max="1536" width="11.42578125" style="485"/>
    <col min="1537" max="1537" width="13.5703125" style="485" customWidth="1"/>
    <col min="1538" max="1538" width="19" style="485" customWidth="1"/>
    <col min="1539" max="1539" width="13.5703125" style="485" customWidth="1"/>
    <col min="1540" max="1540" width="19.7109375" style="485" customWidth="1"/>
    <col min="1541" max="1541" width="13.5703125" style="485" customWidth="1"/>
    <col min="1542" max="1543" width="14.7109375" style="485" customWidth="1"/>
    <col min="1544" max="1544" width="36.140625" style="485" customWidth="1"/>
    <col min="1545" max="1545" width="29.42578125" style="485" customWidth="1"/>
    <col min="1546" max="1546" width="16" style="485" customWidth="1"/>
    <col min="1547" max="1547" width="38.28515625" style="485" customWidth="1"/>
    <col min="1548" max="1548" width="12" style="485" customWidth="1"/>
    <col min="1549" max="1549" width="38.140625" style="485" customWidth="1"/>
    <col min="1550" max="1550" width="17.85546875" style="485" bestFit="1" customWidth="1"/>
    <col min="1551" max="1551" width="24.7109375" style="485" customWidth="1"/>
    <col min="1552" max="1552" width="36.42578125" style="485" customWidth="1"/>
    <col min="1553" max="1553" width="46.7109375" style="485" customWidth="1"/>
    <col min="1554" max="1554" width="43.7109375" style="485" customWidth="1"/>
    <col min="1555" max="1555" width="25.42578125" style="485" customWidth="1"/>
    <col min="1556" max="1556" width="12.42578125" style="485" customWidth="1"/>
    <col min="1557" max="1557" width="16.42578125" style="485" customWidth="1"/>
    <col min="1558" max="1558" width="13.42578125" style="485" customWidth="1"/>
    <col min="1559" max="1559" width="8.5703125" style="485" customWidth="1"/>
    <col min="1560" max="1563" width="11.42578125" style="485" customWidth="1"/>
    <col min="1564" max="1564" width="12.7109375" style="485" customWidth="1"/>
    <col min="1565" max="1565" width="11.85546875" style="485" customWidth="1"/>
    <col min="1566" max="1566" width="7.85546875" style="485" customWidth="1"/>
    <col min="1567" max="1567" width="7.5703125" style="485" customWidth="1"/>
    <col min="1568" max="1568" width="8.85546875" style="485" customWidth="1"/>
    <col min="1569" max="1569" width="8.140625" style="485" customWidth="1"/>
    <col min="1570" max="1570" width="7.85546875" style="485" customWidth="1"/>
    <col min="1571" max="1571" width="8.5703125" style="485" customWidth="1"/>
    <col min="1572" max="1572" width="8.28515625" style="485" customWidth="1"/>
    <col min="1573" max="1573" width="11.42578125" style="485" customWidth="1"/>
    <col min="1574" max="1574" width="18" style="485" customWidth="1"/>
    <col min="1575" max="1575" width="21.42578125" style="485" customWidth="1"/>
    <col min="1576" max="1576" width="27.85546875" style="485" customWidth="1"/>
    <col min="1577" max="1792" width="11.42578125" style="485"/>
    <col min="1793" max="1793" width="13.5703125" style="485" customWidth="1"/>
    <col min="1794" max="1794" width="19" style="485" customWidth="1"/>
    <col min="1795" max="1795" width="13.5703125" style="485" customWidth="1"/>
    <col min="1796" max="1796" width="19.7109375" style="485" customWidth="1"/>
    <col min="1797" max="1797" width="13.5703125" style="485" customWidth="1"/>
    <col min="1798" max="1799" width="14.7109375" style="485" customWidth="1"/>
    <col min="1800" max="1800" width="36.140625" style="485" customWidth="1"/>
    <col min="1801" max="1801" width="29.42578125" style="485" customWidth="1"/>
    <col min="1802" max="1802" width="16" style="485" customWidth="1"/>
    <col min="1803" max="1803" width="38.28515625" style="485" customWidth="1"/>
    <col min="1804" max="1804" width="12" style="485" customWidth="1"/>
    <col min="1805" max="1805" width="38.140625" style="485" customWidth="1"/>
    <col min="1806" max="1806" width="17.85546875" style="485" bestFit="1" customWidth="1"/>
    <col min="1807" max="1807" width="24.7109375" style="485" customWidth="1"/>
    <col min="1808" max="1808" width="36.42578125" style="485" customWidth="1"/>
    <col min="1809" max="1809" width="46.7109375" style="485" customWidth="1"/>
    <col min="1810" max="1810" width="43.7109375" style="485" customWidth="1"/>
    <col min="1811" max="1811" width="25.42578125" style="485" customWidth="1"/>
    <col min="1812" max="1812" width="12.42578125" style="485" customWidth="1"/>
    <col min="1813" max="1813" width="16.42578125" style="485" customWidth="1"/>
    <col min="1814" max="1814" width="13.42578125" style="485" customWidth="1"/>
    <col min="1815" max="1815" width="8.5703125" style="485" customWidth="1"/>
    <col min="1816" max="1819" width="11.42578125" style="485" customWidth="1"/>
    <col min="1820" max="1820" width="12.7109375" style="485" customWidth="1"/>
    <col min="1821" max="1821" width="11.85546875" style="485" customWidth="1"/>
    <col min="1822" max="1822" width="7.85546875" style="485" customWidth="1"/>
    <col min="1823" max="1823" width="7.5703125" style="485" customWidth="1"/>
    <col min="1824" max="1824" width="8.85546875" style="485" customWidth="1"/>
    <col min="1825" max="1825" width="8.140625" style="485" customWidth="1"/>
    <col min="1826" max="1826" width="7.85546875" style="485" customWidth="1"/>
    <col min="1827" max="1827" width="8.5703125" style="485" customWidth="1"/>
    <col min="1828" max="1828" width="8.28515625" style="485" customWidth="1"/>
    <col min="1829" max="1829" width="11.42578125" style="485" customWidth="1"/>
    <col min="1830" max="1830" width="18" style="485" customWidth="1"/>
    <col min="1831" max="1831" width="21.42578125" style="485" customWidth="1"/>
    <col min="1832" max="1832" width="27.85546875" style="485" customWidth="1"/>
    <col min="1833" max="2048" width="11.42578125" style="485"/>
    <col min="2049" max="2049" width="13.5703125" style="485" customWidth="1"/>
    <col min="2050" max="2050" width="19" style="485" customWidth="1"/>
    <col min="2051" max="2051" width="13.5703125" style="485" customWidth="1"/>
    <col min="2052" max="2052" width="19.7109375" style="485" customWidth="1"/>
    <col min="2053" max="2053" width="13.5703125" style="485" customWidth="1"/>
    <col min="2054" max="2055" width="14.7109375" style="485" customWidth="1"/>
    <col min="2056" max="2056" width="36.140625" style="485" customWidth="1"/>
    <col min="2057" max="2057" width="29.42578125" style="485" customWidth="1"/>
    <col min="2058" max="2058" width="16" style="485" customWidth="1"/>
    <col min="2059" max="2059" width="38.28515625" style="485" customWidth="1"/>
    <col min="2060" max="2060" width="12" style="485" customWidth="1"/>
    <col min="2061" max="2061" width="38.140625" style="485" customWidth="1"/>
    <col min="2062" max="2062" width="17.85546875" style="485" bestFit="1" customWidth="1"/>
    <col min="2063" max="2063" width="24.7109375" style="485" customWidth="1"/>
    <col min="2064" max="2064" width="36.42578125" style="485" customWidth="1"/>
    <col min="2065" max="2065" width="46.7109375" style="485" customWidth="1"/>
    <col min="2066" max="2066" width="43.7109375" style="485" customWidth="1"/>
    <col min="2067" max="2067" width="25.42578125" style="485" customWidth="1"/>
    <col min="2068" max="2068" width="12.42578125" style="485" customWidth="1"/>
    <col min="2069" max="2069" width="16.42578125" style="485" customWidth="1"/>
    <col min="2070" max="2070" width="13.42578125" style="485" customWidth="1"/>
    <col min="2071" max="2071" width="8.5703125" style="485" customWidth="1"/>
    <col min="2072" max="2075" width="11.42578125" style="485" customWidth="1"/>
    <col min="2076" max="2076" width="12.7109375" style="485" customWidth="1"/>
    <col min="2077" max="2077" width="11.85546875" style="485" customWidth="1"/>
    <col min="2078" max="2078" width="7.85546875" style="485" customWidth="1"/>
    <col min="2079" max="2079" width="7.5703125" style="485" customWidth="1"/>
    <col min="2080" max="2080" width="8.85546875" style="485" customWidth="1"/>
    <col min="2081" max="2081" width="8.140625" style="485" customWidth="1"/>
    <col min="2082" max="2082" width="7.85546875" style="485" customWidth="1"/>
    <col min="2083" max="2083" width="8.5703125" style="485" customWidth="1"/>
    <col min="2084" max="2084" width="8.28515625" style="485" customWidth="1"/>
    <col min="2085" max="2085" width="11.42578125" style="485" customWidth="1"/>
    <col min="2086" max="2086" width="18" style="485" customWidth="1"/>
    <col min="2087" max="2087" width="21.42578125" style="485" customWidth="1"/>
    <col min="2088" max="2088" width="27.85546875" style="485" customWidth="1"/>
    <col min="2089" max="2304" width="11.42578125" style="485"/>
    <col min="2305" max="2305" width="13.5703125" style="485" customWidth="1"/>
    <col min="2306" max="2306" width="19" style="485" customWidth="1"/>
    <col min="2307" max="2307" width="13.5703125" style="485" customWidth="1"/>
    <col min="2308" max="2308" width="19.7109375" style="485" customWidth="1"/>
    <col min="2309" max="2309" width="13.5703125" style="485" customWidth="1"/>
    <col min="2310" max="2311" width="14.7109375" style="485" customWidth="1"/>
    <col min="2312" max="2312" width="36.140625" style="485" customWidth="1"/>
    <col min="2313" max="2313" width="29.42578125" style="485" customWidth="1"/>
    <col min="2314" max="2314" width="16" style="485" customWidth="1"/>
    <col min="2315" max="2315" width="38.28515625" style="485" customWidth="1"/>
    <col min="2316" max="2316" width="12" style="485" customWidth="1"/>
    <col min="2317" max="2317" width="38.140625" style="485" customWidth="1"/>
    <col min="2318" max="2318" width="17.85546875" style="485" bestFit="1" customWidth="1"/>
    <col min="2319" max="2319" width="24.7109375" style="485" customWidth="1"/>
    <col min="2320" max="2320" width="36.42578125" style="485" customWidth="1"/>
    <col min="2321" max="2321" width="46.7109375" style="485" customWidth="1"/>
    <col min="2322" max="2322" width="43.7109375" style="485" customWidth="1"/>
    <col min="2323" max="2323" width="25.42578125" style="485" customWidth="1"/>
    <col min="2324" max="2324" width="12.42578125" style="485" customWidth="1"/>
    <col min="2325" max="2325" width="16.42578125" style="485" customWidth="1"/>
    <col min="2326" max="2326" width="13.42578125" style="485" customWidth="1"/>
    <col min="2327" max="2327" width="8.5703125" style="485" customWidth="1"/>
    <col min="2328" max="2331" width="11.42578125" style="485" customWidth="1"/>
    <col min="2332" max="2332" width="12.7109375" style="485" customWidth="1"/>
    <col min="2333" max="2333" width="11.85546875" style="485" customWidth="1"/>
    <col min="2334" max="2334" width="7.85546875" style="485" customWidth="1"/>
    <col min="2335" max="2335" width="7.5703125" style="485" customWidth="1"/>
    <col min="2336" max="2336" width="8.85546875" style="485" customWidth="1"/>
    <col min="2337" max="2337" width="8.140625" style="485" customWidth="1"/>
    <col min="2338" max="2338" width="7.85546875" style="485" customWidth="1"/>
    <col min="2339" max="2339" width="8.5703125" style="485" customWidth="1"/>
    <col min="2340" max="2340" width="8.28515625" style="485" customWidth="1"/>
    <col min="2341" max="2341" width="11.42578125" style="485" customWidth="1"/>
    <col min="2342" max="2342" width="18" style="485" customWidth="1"/>
    <col min="2343" max="2343" width="21.42578125" style="485" customWidth="1"/>
    <col min="2344" max="2344" width="27.85546875" style="485" customWidth="1"/>
    <col min="2345" max="2560" width="11.42578125" style="485"/>
    <col min="2561" max="2561" width="13.5703125" style="485" customWidth="1"/>
    <col min="2562" max="2562" width="19" style="485" customWidth="1"/>
    <col min="2563" max="2563" width="13.5703125" style="485" customWidth="1"/>
    <col min="2564" max="2564" width="19.7109375" style="485" customWidth="1"/>
    <col min="2565" max="2565" width="13.5703125" style="485" customWidth="1"/>
    <col min="2566" max="2567" width="14.7109375" style="485" customWidth="1"/>
    <col min="2568" max="2568" width="36.140625" style="485" customWidth="1"/>
    <col min="2569" max="2569" width="29.42578125" style="485" customWidth="1"/>
    <col min="2570" max="2570" width="16" style="485" customWidth="1"/>
    <col min="2571" max="2571" width="38.28515625" style="485" customWidth="1"/>
    <col min="2572" max="2572" width="12" style="485" customWidth="1"/>
    <col min="2573" max="2573" width="38.140625" style="485" customWidth="1"/>
    <col min="2574" max="2574" width="17.85546875" style="485" bestFit="1" customWidth="1"/>
    <col min="2575" max="2575" width="24.7109375" style="485" customWidth="1"/>
    <col min="2576" max="2576" width="36.42578125" style="485" customWidth="1"/>
    <col min="2577" max="2577" width="46.7109375" style="485" customWidth="1"/>
    <col min="2578" max="2578" width="43.7109375" style="485" customWidth="1"/>
    <col min="2579" max="2579" width="25.42578125" style="485" customWidth="1"/>
    <col min="2580" max="2580" width="12.42578125" style="485" customWidth="1"/>
    <col min="2581" max="2581" width="16.42578125" style="485" customWidth="1"/>
    <col min="2582" max="2582" width="13.42578125" style="485" customWidth="1"/>
    <col min="2583" max="2583" width="8.5703125" style="485" customWidth="1"/>
    <col min="2584" max="2587" width="11.42578125" style="485" customWidth="1"/>
    <col min="2588" max="2588" width="12.7109375" style="485" customWidth="1"/>
    <col min="2589" max="2589" width="11.85546875" style="485" customWidth="1"/>
    <col min="2590" max="2590" width="7.85546875" style="485" customWidth="1"/>
    <col min="2591" max="2591" width="7.5703125" style="485" customWidth="1"/>
    <col min="2592" max="2592" width="8.85546875" style="485" customWidth="1"/>
    <col min="2593" max="2593" width="8.140625" style="485" customWidth="1"/>
    <col min="2594" max="2594" width="7.85546875" style="485" customWidth="1"/>
    <col min="2595" max="2595" width="8.5703125" style="485" customWidth="1"/>
    <col min="2596" max="2596" width="8.28515625" style="485" customWidth="1"/>
    <col min="2597" max="2597" width="11.42578125" style="485" customWidth="1"/>
    <col min="2598" max="2598" width="18" style="485" customWidth="1"/>
    <col min="2599" max="2599" width="21.42578125" style="485" customWidth="1"/>
    <col min="2600" max="2600" width="27.85546875" style="485" customWidth="1"/>
    <col min="2601" max="2816" width="11.42578125" style="485"/>
    <col min="2817" max="2817" width="13.5703125" style="485" customWidth="1"/>
    <col min="2818" max="2818" width="19" style="485" customWidth="1"/>
    <col min="2819" max="2819" width="13.5703125" style="485" customWidth="1"/>
    <col min="2820" max="2820" width="19.7109375" style="485" customWidth="1"/>
    <col min="2821" max="2821" width="13.5703125" style="485" customWidth="1"/>
    <col min="2822" max="2823" width="14.7109375" style="485" customWidth="1"/>
    <col min="2824" max="2824" width="36.140625" style="485" customWidth="1"/>
    <col min="2825" max="2825" width="29.42578125" style="485" customWidth="1"/>
    <col min="2826" max="2826" width="16" style="485" customWidth="1"/>
    <col min="2827" max="2827" width="38.28515625" style="485" customWidth="1"/>
    <col min="2828" max="2828" width="12" style="485" customWidth="1"/>
    <col min="2829" max="2829" width="38.140625" style="485" customWidth="1"/>
    <col min="2830" max="2830" width="17.85546875" style="485" bestFit="1" customWidth="1"/>
    <col min="2831" max="2831" width="24.7109375" style="485" customWidth="1"/>
    <col min="2832" max="2832" width="36.42578125" style="485" customWidth="1"/>
    <col min="2833" max="2833" width="46.7109375" style="485" customWidth="1"/>
    <col min="2834" max="2834" width="43.7109375" style="485" customWidth="1"/>
    <col min="2835" max="2835" width="25.42578125" style="485" customWidth="1"/>
    <col min="2836" max="2836" width="12.42578125" style="485" customWidth="1"/>
    <col min="2837" max="2837" width="16.42578125" style="485" customWidth="1"/>
    <col min="2838" max="2838" width="13.42578125" style="485" customWidth="1"/>
    <col min="2839" max="2839" width="8.5703125" style="485" customWidth="1"/>
    <col min="2840" max="2843" width="11.42578125" style="485" customWidth="1"/>
    <col min="2844" max="2844" width="12.7109375" style="485" customWidth="1"/>
    <col min="2845" max="2845" width="11.85546875" style="485" customWidth="1"/>
    <col min="2846" max="2846" width="7.85546875" style="485" customWidth="1"/>
    <col min="2847" max="2847" width="7.5703125" style="485" customWidth="1"/>
    <col min="2848" max="2848" width="8.85546875" style="485" customWidth="1"/>
    <col min="2849" max="2849" width="8.140625" style="485" customWidth="1"/>
    <col min="2850" max="2850" width="7.85546875" style="485" customWidth="1"/>
    <col min="2851" max="2851" width="8.5703125" style="485" customWidth="1"/>
    <col min="2852" max="2852" width="8.28515625" style="485" customWidth="1"/>
    <col min="2853" max="2853" width="11.42578125" style="485" customWidth="1"/>
    <col min="2854" max="2854" width="18" style="485" customWidth="1"/>
    <col min="2855" max="2855" width="21.42578125" style="485" customWidth="1"/>
    <col min="2856" max="2856" width="27.85546875" style="485" customWidth="1"/>
    <col min="2857" max="3072" width="11.42578125" style="485"/>
    <col min="3073" max="3073" width="13.5703125" style="485" customWidth="1"/>
    <col min="3074" max="3074" width="19" style="485" customWidth="1"/>
    <col min="3075" max="3075" width="13.5703125" style="485" customWidth="1"/>
    <col min="3076" max="3076" width="19.7109375" style="485" customWidth="1"/>
    <col min="3077" max="3077" width="13.5703125" style="485" customWidth="1"/>
    <col min="3078" max="3079" width="14.7109375" style="485" customWidth="1"/>
    <col min="3080" max="3080" width="36.140625" style="485" customWidth="1"/>
    <col min="3081" max="3081" width="29.42578125" style="485" customWidth="1"/>
    <col min="3082" max="3082" width="16" style="485" customWidth="1"/>
    <col min="3083" max="3083" width="38.28515625" style="485" customWidth="1"/>
    <col min="3084" max="3084" width="12" style="485" customWidth="1"/>
    <col min="3085" max="3085" width="38.140625" style="485" customWidth="1"/>
    <col min="3086" max="3086" width="17.85546875" style="485" bestFit="1" customWidth="1"/>
    <col min="3087" max="3087" width="24.7109375" style="485" customWidth="1"/>
    <col min="3088" max="3088" width="36.42578125" style="485" customWidth="1"/>
    <col min="3089" max="3089" width="46.7109375" style="485" customWidth="1"/>
    <col min="3090" max="3090" width="43.7109375" style="485" customWidth="1"/>
    <col min="3091" max="3091" width="25.42578125" style="485" customWidth="1"/>
    <col min="3092" max="3092" width="12.42578125" style="485" customWidth="1"/>
    <col min="3093" max="3093" width="16.42578125" style="485" customWidth="1"/>
    <col min="3094" max="3094" width="13.42578125" style="485" customWidth="1"/>
    <col min="3095" max="3095" width="8.5703125" style="485" customWidth="1"/>
    <col min="3096" max="3099" width="11.42578125" style="485" customWidth="1"/>
    <col min="3100" max="3100" width="12.7109375" style="485" customWidth="1"/>
    <col min="3101" max="3101" width="11.85546875" style="485" customWidth="1"/>
    <col min="3102" max="3102" width="7.85546875" style="485" customWidth="1"/>
    <col min="3103" max="3103" width="7.5703125" style="485" customWidth="1"/>
    <col min="3104" max="3104" width="8.85546875" style="485" customWidth="1"/>
    <col min="3105" max="3105" width="8.140625" style="485" customWidth="1"/>
    <col min="3106" max="3106" width="7.85546875" style="485" customWidth="1"/>
    <col min="3107" max="3107" width="8.5703125" style="485" customWidth="1"/>
    <col min="3108" max="3108" width="8.28515625" style="485" customWidth="1"/>
    <col min="3109" max="3109" width="11.42578125" style="485" customWidth="1"/>
    <col min="3110" max="3110" width="18" style="485" customWidth="1"/>
    <col min="3111" max="3111" width="21.42578125" style="485" customWidth="1"/>
    <col min="3112" max="3112" width="27.85546875" style="485" customWidth="1"/>
    <col min="3113" max="3328" width="11.42578125" style="485"/>
    <col min="3329" max="3329" width="13.5703125" style="485" customWidth="1"/>
    <col min="3330" max="3330" width="19" style="485" customWidth="1"/>
    <col min="3331" max="3331" width="13.5703125" style="485" customWidth="1"/>
    <col min="3332" max="3332" width="19.7109375" style="485" customWidth="1"/>
    <col min="3333" max="3333" width="13.5703125" style="485" customWidth="1"/>
    <col min="3334" max="3335" width="14.7109375" style="485" customWidth="1"/>
    <col min="3336" max="3336" width="36.140625" style="485" customWidth="1"/>
    <col min="3337" max="3337" width="29.42578125" style="485" customWidth="1"/>
    <col min="3338" max="3338" width="16" style="485" customWidth="1"/>
    <col min="3339" max="3339" width="38.28515625" style="485" customWidth="1"/>
    <col min="3340" max="3340" width="12" style="485" customWidth="1"/>
    <col min="3341" max="3341" width="38.140625" style="485" customWidth="1"/>
    <col min="3342" max="3342" width="17.85546875" style="485" bestFit="1" customWidth="1"/>
    <col min="3343" max="3343" width="24.7109375" style="485" customWidth="1"/>
    <col min="3344" max="3344" width="36.42578125" style="485" customWidth="1"/>
    <col min="3345" max="3345" width="46.7109375" style="485" customWidth="1"/>
    <col min="3346" max="3346" width="43.7109375" style="485" customWidth="1"/>
    <col min="3347" max="3347" width="25.42578125" style="485" customWidth="1"/>
    <col min="3348" max="3348" width="12.42578125" style="485" customWidth="1"/>
    <col min="3349" max="3349" width="16.42578125" style="485" customWidth="1"/>
    <col min="3350" max="3350" width="13.42578125" style="485" customWidth="1"/>
    <col min="3351" max="3351" width="8.5703125" style="485" customWidth="1"/>
    <col min="3352" max="3355" width="11.42578125" style="485" customWidth="1"/>
    <col min="3356" max="3356" width="12.7109375" style="485" customWidth="1"/>
    <col min="3357" max="3357" width="11.85546875" style="485" customWidth="1"/>
    <col min="3358" max="3358" width="7.85546875" style="485" customWidth="1"/>
    <col min="3359" max="3359" width="7.5703125" style="485" customWidth="1"/>
    <col min="3360" max="3360" width="8.85546875" style="485" customWidth="1"/>
    <col min="3361" max="3361" width="8.140625" style="485" customWidth="1"/>
    <col min="3362" max="3362" width="7.85546875" style="485" customWidth="1"/>
    <col min="3363" max="3363" width="8.5703125" style="485" customWidth="1"/>
    <col min="3364" max="3364" width="8.28515625" style="485" customWidth="1"/>
    <col min="3365" max="3365" width="11.42578125" style="485" customWidth="1"/>
    <col min="3366" max="3366" width="18" style="485" customWidth="1"/>
    <col min="3367" max="3367" width="21.42578125" style="485" customWidth="1"/>
    <col min="3368" max="3368" width="27.85546875" style="485" customWidth="1"/>
    <col min="3369" max="3584" width="11.42578125" style="485"/>
    <col min="3585" max="3585" width="13.5703125" style="485" customWidth="1"/>
    <col min="3586" max="3586" width="19" style="485" customWidth="1"/>
    <col min="3587" max="3587" width="13.5703125" style="485" customWidth="1"/>
    <col min="3588" max="3588" width="19.7109375" style="485" customWidth="1"/>
    <col min="3589" max="3589" width="13.5703125" style="485" customWidth="1"/>
    <col min="3590" max="3591" width="14.7109375" style="485" customWidth="1"/>
    <col min="3592" max="3592" width="36.140625" style="485" customWidth="1"/>
    <col min="3593" max="3593" width="29.42578125" style="485" customWidth="1"/>
    <col min="3594" max="3594" width="16" style="485" customWidth="1"/>
    <col min="3595" max="3595" width="38.28515625" style="485" customWidth="1"/>
    <col min="3596" max="3596" width="12" style="485" customWidth="1"/>
    <col min="3597" max="3597" width="38.140625" style="485" customWidth="1"/>
    <col min="3598" max="3598" width="17.85546875" style="485" bestFit="1" customWidth="1"/>
    <col min="3599" max="3599" width="24.7109375" style="485" customWidth="1"/>
    <col min="3600" max="3600" width="36.42578125" style="485" customWidth="1"/>
    <col min="3601" max="3601" width="46.7109375" style="485" customWidth="1"/>
    <col min="3602" max="3602" width="43.7109375" style="485" customWidth="1"/>
    <col min="3603" max="3603" width="25.42578125" style="485" customWidth="1"/>
    <col min="3604" max="3604" width="12.42578125" style="485" customWidth="1"/>
    <col min="3605" max="3605" width="16.42578125" style="485" customWidth="1"/>
    <col min="3606" max="3606" width="13.42578125" style="485" customWidth="1"/>
    <col min="3607" max="3607" width="8.5703125" style="485" customWidth="1"/>
    <col min="3608" max="3611" width="11.42578125" style="485" customWidth="1"/>
    <col min="3612" max="3612" width="12.7109375" style="485" customWidth="1"/>
    <col min="3613" max="3613" width="11.85546875" style="485" customWidth="1"/>
    <col min="3614" max="3614" width="7.85546875" style="485" customWidth="1"/>
    <col min="3615" max="3615" width="7.5703125" style="485" customWidth="1"/>
    <col min="3616" max="3616" width="8.85546875" style="485" customWidth="1"/>
    <col min="3617" max="3617" width="8.140625" style="485" customWidth="1"/>
    <col min="3618" max="3618" width="7.85546875" style="485" customWidth="1"/>
    <col min="3619" max="3619" width="8.5703125" style="485" customWidth="1"/>
    <col min="3620" max="3620" width="8.28515625" style="485" customWidth="1"/>
    <col min="3621" max="3621" width="11.42578125" style="485" customWidth="1"/>
    <col min="3622" max="3622" width="18" style="485" customWidth="1"/>
    <col min="3623" max="3623" width="21.42578125" style="485" customWidth="1"/>
    <col min="3624" max="3624" width="27.85546875" style="485" customWidth="1"/>
    <col min="3625" max="3840" width="11.42578125" style="485"/>
    <col min="3841" max="3841" width="13.5703125" style="485" customWidth="1"/>
    <col min="3842" max="3842" width="19" style="485" customWidth="1"/>
    <col min="3843" max="3843" width="13.5703125" style="485" customWidth="1"/>
    <col min="3844" max="3844" width="19.7109375" style="485" customWidth="1"/>
    <col min="3845" max="3845" width="13.5703125" style="485" customWidth="1"/>
    <col min="3846" max="3847" width="14.7109375" style="485" customWidth="1"/>
    <col min="3848" max="3848" width="36.140625" style="485" customWidth="1"/>
    <col min="3849" max="3849" width="29.42578125" style="485" customWidth="1"/>
    <col min="3850" max="3850" width="16" style="485" customWidth="1"/>
    <col min="3851" max="3851" width="38.28515625" style="485" customWidth="1"/>
    <col min="3852" max="3852" width="12" style="485" customWidth="1"/>
    <col min="3853" max="3853" width="38.140625" style="485" customWidth="1"/>
    <col min="3854" max="3854" width="17.85546875" style="485" bestFit="1" customWidth="1"/>
    <col min="3855" max="3855" width="24.7109375" style="485" customWidth="1"/>
    <col min="3856" max="3856" width="36.42578125" style="485" customWidth="1"/>
    <col min="3857" max="3857" width="46.7109375" style="485" customWidth="1"/>
    <col min="3858" max="3858" width="43.7109375" style="485" customWidth="1"/>
    <col min="3859" max="3859" width="25.42578125" style="485" customWidth="1"/>
    <col min="3860" max="3860" width="12.42578125" style="485" customWidth="1"/>
    <col min="3861" max="3861" width="16.42578125" style="485" customWidth="1"/>
    <col min="3862" max="3862" width="13.42578125" style="485" customWidth="1"/>
    <col min="3863" max="3863" width="8.5703125" style="485" customWidth="1"/>
    <col min="3864" max="3867" width="11.42578125" style="485" customWidth="1"/>
    <col min="3868" max="3868" width="12.7109375" style="485" customWidth="1"/>
    <col min="3869" max="3869" width="11.85546875" style="485" customWidth="1"/>
    <col min="3870" max="3870" width="7.85546875" style="485" customWidth="1"/>
    <col min="3871" max="3871" width="7.5703125" style="485" customWidth="1"/>
    <col min="3872" max="3872" width="8.85546875" style="485" customWidth="1"/>
    <col min="3873" max="3873" width="8.140625" style="485" customWidth="1"/>
    <col min="3874" max="3874" width="7.85546875" style="485" customWidth="1"/>
    <col min="3875" max="3875" width="8.5703125" style="485" customWidth="1"/>
    <col min="3876" max="3876" width="8.28515625" style="485" customWidth="1"/>
    <col min="3877" max="3877" width="11.42578125" style="485" customWidth="1"/>
    <col min="3878" max="3878" width="18" style="485" customWidth="1"/>
    <col min="3879" max="3879" width="21.42578125" style="485" customWidth="1"/>
    <col min="3880" max="3880" width="27.85546875" style="485" customWidth="1"/>
    <col min="3881" max="4096" width="11.42578125" style="485"/>
    <col min="4097" max="4097" width="13.5703125" style="485" customWidth="1"/>
    <col min="4098" max="4098" width="19" style="485" customWidth="1"/>
    <col min="4099" max="4099" width="13.5703125" style="485" customWidth="1"/>
    <col min="4100" max="4100" width="19.7109375" style="485" customWidth="1"/>
    <col min="4101" max="4101" width="13.5703125" style="485" customWidth="1"/>
    <col min="4102" max="4103" width="14.7109375" style="485" customWidth="1"/>
    <col min="4104" max="4104" width="36.140625" style="485" customWidth="1"/>
    <col min="4105" max="4105" width="29.42578125" style="485" customWidth="1"/>
    <col min="4106" max="4106" width="16" style="485" customWidth="1"/>
    <col min="4107" max="4107" width="38.28515625" style="485" customWidth="1"/>
    <col min="4108" max="4108" width="12" style="485" customWidth="1"/>
    <col min="4109" max="4109" width="38.140625" style="485" customWidth="1"/>
    <col min="4110" max="4110" width="17.85546875" style="485" bestFit="1" customWidth="1"/>
    <col min="4111" max="4111" width="24.7109375" style="485" customWidth="1"/>
    <col min="4112" max="4112" width="36.42578125" style="485" customWidth="1"/>
    <col min="4113" max="4113" width="46.7109375" style="485" customWidth="1"/>
    <col min="4114" max="4114" width="43.7109375" style="485" customWidth="1"/>
    <col min="4115" max="4115" width="25.42578125" style="485" customWidth="1"/>
    <col min="4116" max="4116" width="12.42578125" style="485" customWidth="1"/>
    <col min="4117" max="4117" width="16.42578125" style="485" customWidth="1"/>
    <col min="4118" max="4118" width="13.42578125" style="485" customWidth="1"/>
    <col min="4119" max="4119" width="8.5703125" style="485" customWidth="1"/>
    <col min="4120" max="4123" width="11.42578125" style="485" customWidth="1"/>
    <col min="4124" max="4124" width="12.7109375" style="485" customWidth="1"/>
    <col min="4125" max="4125" width="11.85546875" style="485" customWidth="1"/>
    <col min="4126" max="4126" width="7.85546875" style="485" customWidth="1"/>
    <col min="4127" max="4127" width="7.5703125" style="485" customWidth="1"/>
    <col min="4128" max="4128" width="8.85546875" style="485" customWidth="1"/>
    <col min="4129" max="4129" width="8.140625" style="485" customWidth="1"/>
    <col min="4130" max="4130" width="7.85546875" style="485" customWidth="1"/>
    <col min="4131" max="4131" width="8.5703125" style="485" customWidth="1"/>
    <col min="4132" max="4132" width="8.28515625" style="485" customWidth="1"/>
    <col min="4133" max="4133" width="11.42578125" style="485" customWidth="1"/>
    <col min="4134" max="4134" width="18" style="485" customWidth="1"/>
    <col min="4135" max="4135" width="21.42578125" style="485" customWidth="1"/>
    <col min="4136" max="4136" width="27.85546875" style="485" customWidth="1"/>
    <col min="4137" max="4352" width="11.42578125" style="485"/>
    <col min="4353" max="4353" width="13.5703125" style="485" customWidth="1"/>
    <col min="4354" max="4354" width="19" style="485" customWidth="1"/>
    <col min="4355" max="4355" width="13.5703125" style="485" customWidth="1"/>
    <col min="4356" max="4356" width="19.7109375" style="485" customWidth="1"/>
    <col min="4357" max="4357" width="13.5703125" style="485" customWidth="1"/>
    <col min="4358" max="4359" width="14.7109375" style="485" customWidth="1"/>
    <col min="4360" max="4360" width="36.140625" style="485" customWidth="1"/>
    <col min="4361" max="4361" width="29.42578125" style="485" customWidth="1"/>
    <col min="4362" max="4362" width="16" style="485" customWidth="1"/>
    <col min="4363" max="4363" width="38.28515625" style="485" customWidth="1"/>
    <col min="4364" max="4364" width="12" style="485" customWidth="1"/>
    <col min="4365" max="4365" width="38.140625" style="485" customWidth="1"/>
    <col min="4366" max="4366" width="17.85546875" style="485" bestFit="1" customWidth="1"/>
    <col min="4367" max="4367" width="24.7109375" style="485" customWidth="1"/>
    <col min="4368" max="4368" width="36.42578125" style="485" customWidth="1"/>
    <col min="4369" max="4369" width="46.7109375" style="485" customWidth="1"/>
    <col min="4370" max="4370" width="43.7109375" style="485" customWidth="1"/>
    <col min="4371" max="4371" width="25.42578125" style="485" customWidth="1"/>
    <col min="4372" max="4372" width="12.42578125" style="485" customWidth="1"/>
    <col min="4373" max="4373" width="16.42578125" style="485" customWidth="1"/>
    <col min="4374" max="4374" width="13.42578125" style="485" customWidth="1"/>
    <col min="4375" max="4375" width="8.5703125" style="485" customWidth="1"/>
    <col min="4376" max="4379" width="11.42578125" style="485" customWidth="1"/>
    <col min="4380" max="4380" width="12.7109375" style="485" customWidth="1"/>
    <col min="4381" max="4381" width="11.85546875" style="485" customWidth="1"/>
    <col min="4382" max="4382" width="7.85546875" style="485" customWidth="1"/>
    <col min="4383" max="4383" width="7.5703125" style="485" customWidth="1"/>
    <col min="4384" max="4384" width="8.85546875" style="485" customWidth="1"/>
    <col min="4385" max="4385" width="8.140625" style="485" customWidth="1"/>
    <col min="4386" max="4386" width="7.85546875" style="485" customWidth="1"/>
    <col min="4387" max="4387" width="8.5703125" style="485" customWidth="1"/>
    <col min="4388" max="4388" width="8.28515625" style="485" customWidth="1"/>
    <col min="4389" max="4389" width="11.42578125" style="485" customWidth="1"/>
    <col min="4390" max="4390" width="18" style="485" customWidth="1"/>
    <col min="4391" max="4391" width="21.42578125" style="485" customWidth="1"/>
    <col min="4392" max="4392" width="27.85546875" style="485" customWidth="1"/>
    <col min="4393" max="4608" width="11.42578125" style="485"/>
    <col min="4609" max="4609" width="13.5703125" style="485" customWidth="1"/>
    <col min="4610" max="4610" width="19" style="485" customWidth="1"/>
    <col min="4611" max="4611" width="13.5703125" style="485" customWidth="1"/>
    <col min="4612" max="4612" width="19.7109375" style="485" customWidth="1"/>
    <col min="4613" max="4613" width="13.5703125" style="485" customWidth="1"/>
    <col min="4614" max="4615" width="14.7109375" style="485" customWidth="1"/>
    <col min="4616" max="4616" width="36.140625" style="485" customWidth="1"/>
    <col min="4617" max="4617" width="29.42578125" style="485" customWidth="1"/>
    <col min="4618" max="4618" width="16" style="485" customWidth="1"/>
    <col min="4619" max="4619" width="38.28515625" style="485" customWidth="1"/>
    <col min="4620" max="4620" width="12" style="485" customWidth="1"/>
    <col min="4621" max="4621" width="38.140625" style="485" customWidth="1"/>
    <col min="4622" max="4622" width="17.85546875" style="485" bestFit="1" customWidth="1"/>
    <col min="4623" max="4623" width="24.7109375" style="485" customWidth="1"/>
    <col min="4624" max="4624" width="36.42578125" style="485" customWidth="1"/>
    <col min="4625" max="4625" width="46.7109375" style="485" customWidth="1"/>
    <col min="4626" max="4626" width="43.7109375" style="485" customWidth="1"/>
    <col min="4627" max="4627" width="25.42578125" style="485" customWidth="1"/>
    <col min="4628" max="4628" width="12.42578125" style="485" customWidth="1"/>
    <col min="4629" max="4629" width="16.42578125" style="485" customWidth="1"/>
    <col min="4630" max="4630" width="13.42578125" style="485" customWidth="1"/>
    <col min="4631" max="4631" width="8.5703125" style="485" customWidth="1"/>
    <col min="4632" max="4635" width="11.42578125" style="485" customWidth="1"/>
    <col min="4636" max="4636" width="12.7109375" style="485" customWidth="1"/>
    <col min="4637" max="4637" width="11.85546875" style="485" customWidth="1"/>
    <col min="4638" max="4638" width="7.85546875" style="485" customWidth="1"/>
    <col min="4639" max="4639" width="7.5703125" style="485" customWidth="1"/>
    <col min="4640" max="4640" width="8.85546875" style="485" customWidth="1"/>
    <col min="4641" max="4641" width="8.140625" style="485" customWidth="1"/>
    <col min="4642" max="4642" width="7.85546875" style="485" customWidth="1"/>
    <col min="4643" max="4643" width="8.5703125" style="485" customWidth="1"/>
    <col min="4644" max="4644" width="8.28515625" style="485" customWidth="1"/>
    <col min="4645" max="4645" width="11.42578125" style="485" customWidth="1"/>
    <col min="4646" max="4646" width="18" style="485" customWidth="1"/>
    <col min="4647" max="4647" width="21.42578125" style="485" customWidth="1"/>
    <col min="4648" max="4648" width="27.85546875" style="485" customWidth="1"/>
    <col min="4649" max="4864" width="11.42578125" style="485"/>
    <col min="4865" max="4865" width="13.5703125" style="485" customWidth="1"/>
    <col min="4866" max="4866" width="19" style="485" customWidth="1"/>
    <col min="4867" max="4867" width="13.5703125" style="485" customWidth="1"/>
    <col min="4868" max="4868" width="19.7109375" style="485" customWidth="1"/>
    <col min="4869" max="4869" width="13.5703125" style="485" customWidth="1"/>
    <col min="4870" max="4871" width="14.7109375" style="485" customWidth="1"/>
    <col min="4872" max="4872" width="36.140625" style="485" customWidth="1"/>
    <col min="4873" max="4873" width="29.42578125" style="485" customWidth="1"/>
    <col min="4874" max="4874" width="16" style="485" customWidth="1"/>
    <col min="4875" max="4875" width="38.28515625" style="485" customWidth="1"/>
    <col min="4876" max="4876" width="12" style="485" customWidth="1"/>
    <col min="4877" max="4877" width="38.140625" style="485" customWidth="1"/>
    <col min="4878" max="4878" width="17.85546875" style="485" bestFit="1" customWidth="1"/>
    <col min="4879" max="4879" width="24.7109375" style="485" customWidth="1"/>
    <col min="4880" max="4880" width="36.42578125" style="485" customWidth="1"/>
    <col min="4881" max="4881" width="46.7109375" style="485" customWidth="1"/>
    <col min="4882" max="4882" width="43.7109375" style="485" customWidth="1"/>
    <col min="4883" max="4883" width="25.42578125" style="485" customWidth="1"/>
    <col min="4884" max="4884" width="12.42578125" style="485" customWidth="1"/>
    <col min="4885" max="4885" width="16.42578125" style="485" customWidth="1"/>
    <col min="4886" max="4886" width="13.42578125" style="485" customWidth="1"/>
    <col min="4887" max="4887" width="8.5703125" style="485" customWidth="1"/>
    <col min="4888" max="4891" width="11.42578125" style="485" customWidth="1"/>
    <col min="4892" max="4892" width="12.7109375" style="485" customWidth="1"/>
    <col min="4893" max="4893" width="11.85546875" style="485" customWidth="1"/>
    <col min="4894" max="4894" width="7.85546875" style="485" customWidth="1"/>
    <col min="4895" max="4895" width="7.5703125" style="485" customWidth="1"/>
    <col min="4896" max="4896" width="8.85546875" style="485" customWidth="1"/>
    <col min="4897" max="4897" width="8.140625" style="485" customWidth="1"/>
    <col min="4898" max="4898" width="7.85546875" style="485" customWidth="1"/>
    <col min="4899" max="4899" width="8.5703125" style="485" customWidth="1"/>
    <col min="4900" max="4900" width="8.28515625" style="485" customWidth="1"/>
    <col min="4901" max="4901" width="11.42578125" style="485" customWidth="1"/>
    <col min="4902" max="4902" width="18" style="485" customWidth="1"/>
    <col min="4903" max="4903" width="21.42578125" style="485" customWidth="1"/>
    <col min="4904" max="4904" width="27.85546875" style="485" customWidth="1"/>
    <col min="4905" max="5120" width="11.42578125" style="485"/>
    <col min="5121" max="5121" width="13.5703125" style="485" customWidth="1"/>
    <col min="5122" max="5122" width="19" style="485" customWidth="1"/>
    <col min="5123" max="5123" width="13.5703125" style="485" customWidth="1"/>
    <col min="5124" max="5124" width="19.7109375" style="485" customWidth="1"/>
    <col min="5125" max="5125" width="13.5703125" style="485" customWidth="1"/>
    <col min="5126" max="5127" width="14.7109375" style="485" customWidth="1"/>
    <col min="5128" max="5128" width="36.140625" style="485" customWidth="1"/>
    <col min="5129" max="5129" width="29.42578125" style="485" customWidth="1"/>
    <col min="5130" max="5130" width="16" style="485" customWidth="1"/>
    <col min="5131" max="5131" width="38.28515625" style="485" customWidth="1"/>
    <col min="5132" max="5132" width="12" style="485" customWidth="1"/>
    <col min="5133" max="5133" width="38.140625" style="485" customWidth="1"/>
    <col min="5134" max="5134" width="17.85546875" style="485" bestFit="1" customWidth="1"/>
    <col min="5135" max="5135" width="24.7109375" style="485" customWidth="1"/>
    <col min="5136" max="5136" width="36.42578125" style="485" customWidth="1"/>
    <col min="5137" max="5137" width="46.7109375" style="485" customWidth="1"/>
    <col min="5138" max="5138" width="43.7109375" style="485" customWidth="1"/>
    <col min="5139" max="5139" width="25.42578125" style="485" customWidth="1"/>
    <col min="5140" max="5140" width="12.42578125" style="485" customWidth="1"/>
    <col min="5141" max="5141" width="16.42578125" style="485" customWidth="1"/>
    <col min="5142" max="5142" width="13.42578125" style="485" customWidth="1"/>
    <col min="5143" max="5143" width="8.5703125" style="485" customWidth="1"/>
    <col min="5144" max="5147" width="11.42578125" style="485" customWidth="1"/>
    <col min="5148" max="5148" width="12.7109375" style="485" customWidth="1"/>
    <col min="5149" max="5149" width="11.85546875" style="485" customWidth="1"/>
    <col min="5150" max="5150" width="7.85546875" style="485" customWidth="1"/>
    <col min="5151" max="5151" width="7.5703125" style="485" customWidth="1"/>
    <col min="5152" max="5152" width="8.85546875" style="485" customWidth="1"/>
    <col min="5153" max="5153" width="8.140625" style="485" customWidth="1"/>
    <col min="5154" max="5154" width="7.85546875" style="485" customWidth="1"/>
    <col min="5155" max="5155" width="8.5703125" style="485" customWidth="1"/>
    <col min="5156" max="5156" width="8.28515625" style="485" customWidth="1"/>
    <col min="5157" max="5157" width="11.42578125" style="485" customWidth="1"/>
    <col min="5158" max="5158" width="18" style="485" customWidth="1"/>
    <col min="5159" max="5159" width="21.42578125" style="485" customWidth="1"/>
    <col min="5160" max="5160" width="27.85546875" style="485" customWidth="1"/>
    <col min="5161" max="5376" width="11.42578125" style="485"/>
    <col min="5377" max="5377" width="13.5703125" style="485" customWidth="1"/>
    <col min="5378" max="5378" width="19" style="485" customWidth="1"/>
    <col min="5379" max="5379" width="13.5703125" style="485" customWidth="1"/>
    <col min="5380" max="5380" width="19.7109375" style="485" customWidth="1"/>
    <col min="5381" max="5381" width="13.5703125" style="485" customWidth="1"/>
    <col min="5382" max="5383" width="14.7109375" style="485" customWidth="1"/>
    <col min="5384" max="5384" width="36.140625" style="485" customWidth="1"/>
    <col min="5385" max="5385" width="29.42578125" style="485" customWidth="1"/>
    <col min="5386" max="5386" width="16" style="485" customWidth="1"/>
    <col min="5387" max="5387" width="38.28515625" style="485" customWidth="1"/>
    <col min="5388" max="5388" width="12" style="485" customWidth="1"/>
    <col min="5389" max="5389" width="38.140625" style="485" customWidth="1"/>
    <col min="5390" max="5390" width="17.85546875" style="485" bestFit="1" customWidth="1"/>
    <col min="5391" max="5391" width="24.7109375" style="485" customWidth="1"/>
    <col min="5392" max="5392" width="36.42578125" style="485" customWidth="1"/>
    <col min="5393" max="5393" width="46.7109375" style="485" customWidth="1"/>
    <col min="5394" max="5394" width="43.7109375" style="485" customWidth="1"/>
    <col min="5395" max="5395" width="25.42578125" style="485" customWidth="1"/>
    <col min="5396" max="5396" width="12.42578125" style="485" customWidth="1"/>
    <col min="5397" max="5397" width="16.42578125" style="485" customWidth="1"/>
    <col min="5398" max="5398" width="13.42578125" style="485" customWidth="1"/>
    <col min="5399" max="5399" width="8.5703125" style="485" customWidth="1"/>
    <col min="5400" max="5403" width="11.42578125" style="485" customWidth="1"/>
    <col min="5404" max="5404" width="12.7109375" style="485" customWidth="1"/>
    <col min="5405" max="5405" width="11.85546875" style="485" customWidth="1"/>
    <col min="5406" max="5406" width="7.85546875" style="485" customWidth="1"/>
    <col min="5407" max="5407" width="7.5703125" style="485" customWidth="1"/>
    <col min="5408" max="5408" width="8.85546875" style="485" customWidth="1"/>
    <col min="5409" max="5409" width="8.140625" style="485" customWidth="1"/>
    <col min="5410" max="5410" width="7.85546875" style="485" customWidth="1"/>
    <col min="5411" max="5411" width="8.5703125" style="485" customWidth="1"/>
    <col min="5412" max="5412" width="8.28515625" style="485" customWidth="1"/>
    <col min="5413" max="5413" width="11.42578125" style="485" customWidth="1"/>
    <col min="5414" max="5414" width="18" style="485" customWidth="1"/>
    <col min="5415" max="5415" width="21.42578125" style="485" customWidth="1"/>
    <col min="5416" max="5416" width="27.85546875" style="485" customWidth="1"/>
    <col min="5417" max="5632" width="11.42578125" style="485"/>
    <col min="5633" max="5633" width="13.5703125" style="485" customWidth="1"/>
    <col min="5634" max="5634" width="19" style="485" customWidth="1"/>
    <col min="5635" max="5635" width="13.5703125" style="485" customWidth="1"/>
    <col min="5636" max="5636" width="19.7109375" style="485" customWidth="1"/>
    <col min="5637" max="5637" width="13.5703125" style="485" customWidth="1"/>
    <col min="5638" max="5639" width="14.7109375" style="485" customWidth="1"/>
    <col min="5640" max="5640" width="36.140625" style="485" customWidth="1"/>
    <col min="5641" max="5641" width="29.42578125" style="485" customWidth="1"/>
    <col min="5642" max="5642" width="16" style="485" customWidth="1"/>
    <col min="5643" max="5643" width="38.28515625" style="485" customWidth="1"/>
    <col min="5644" max="5644" width="12" style="485" customWidth="1"/>
    <col min="5645" max="5645" width="38.140625" style="485" customWidth="1"/>
    <col min="5646" max="5646" width="17.85546875" style="485" bestFit="1" customWidth="1"/>
    <col min="5647" max="5647" width="24.7109375" style="485" customWidth="1"/>
    <col min="5648" max="5648" width="36.42578125" style="485" customWidth="1"/>
    <col min="5649" max="5649" width="46.7109375" style="485" customWidth="1"/>
    <col min="5650" max="5650" width="43.7109375" style="485" customWidth="1"/>
    <col min="5651" max="5651" width="25.42578125" style="485" customWidth="1"/>
    <col min="5652" max="5652" width="12.42578125" style="485" customWidth="1"/>
    <col min="5653" max="5653" width="16.42578125" style="485" customWidth="1"/>
    <col min="5654" max="5654" width="13.42578125" style="485" customWidth="1"/>
    <col min="5655" max="5655" width="8.5703125" style="485" customWidth="1"/>
    <col min="5656" max="5659" width="11.42578125" style="485" customWidth="1"/>
    <col min="5660" max="5660" width="12.7109375" style="485" customWidth="1"/>
    <col min="5661" max="5661" width="11.85546875" style="485" customWidth="1"/>
    <col min="5662" max="5662" width="7.85546875" style="485" customWidth="1"/>
    <col min="5663" max="5663" width="7.5703125" style="485" customWidth="1"/>
    <col min="5664" max="5664" width="8.85546875" style="485" customWidth="1"/>
    <col min="5665" max="5665" width="8.140625" style="485" customWidth="1"/>
    <col min="5666" max="5666" width="7.85546875" style="485" customWidth="1"/>
    <col min="5667" max="5667" width="8.5703125" style="485" customWidth="1"/>
    <col min="5668" max="5668" width="8.28515625" style="485" customWidth="1"/>
    <col min="5669" max="5669" width="11.42578125" style="485" customWidth="1"/>
    <col min="5670" max="5670" width="18" style="485" customWidth="1"/>
    <col min="5671" max="5671" width="21.42578125" style="485" customWidth="1"/>
    <col min="5672" max="5672" width="27.85546875" style="485" customWidth="1"/>
    <col min="5673" max="5888" width="11.42578125" style="485"/>
    <col min="5889" max="5889" width="13.5703125" style="485" customWidth="1"/>
    <col min="5890" max="5890" width="19" style="485" customWidth="1"/>
    <col min="5891" max="5891" width="13.5703125" style="485" customWidth="1"/>
    <col min="5892" max="5892" width="19.7109375" style="485" customWidth="1"/>
    <col min="5893" max="5893" width="13.5703125" style="485" customWidth="1"/>
    <col min="5894" max="5895" width="14.7109375" style="485" customWidth="1"/>
    <col min="5896" max="5896" width="36.140625" style="485" customWidth="1"/>
    <col min="5897" max="5897" width="29.42578125" style="485" customWidth="1"/>
    <col min="5898" max="5898" width="16" style="485" customWidth="1"/>
    <col min="5899" max="5899" width="38.28515625" style="485" customWidth="1"/>
    <col min="5900" max="5900" width="12" style="485" customWidth="1"/>
    <col min="5901" max="5901" width="38.140625" style="485" customWidth="1"/>
    <col min="5902" max="5902" width="17.85546875" style="485" bestFit="1" customWidth="1"/>
    <col min="5903" max="5903" width="24.7109375" style="485" customWidth="1"/>
    <col min="5904" max="5904" width="36.42578125" style="485" customWidth="1"/>
    <col min="5905" max="5905" width="46.7109375" style="485" customWidth="1"/>
    <col min="5906" max="5906" width="43.7109375" style="485" customWidth="1"/>
    <col min="5907" max="5907" width="25.42578125" style="485" customWidth="1"/>
    <col min="5908" max="5908" width="12.42578125" style="485" customWidth="1"/>
    <col min="5909" max="5909" width="16.42578125" style="485" customWidth="1"/>
    <col min="5910" max="5910" width="13.42578125" style="485" customWidth="1"/>
    <col min="5911" max="5911" width="8.5703125" style="485" customWidth="1"/>
    <col min="5912" max="5915" width="11.42578125" style="485" customWidth="1"/>
    <col min="5916" max="5916" width="12.7109375" style="485" customWidth="1"/>
    <col min="5917" max="5917" width="11.85546875" style="485" customWidth="1"/>
    <col min="5918" max="5918" width="7.85546875" style="485" customWidth="1"/>
    <col min="5919" max="5919" width="7.5703125" style="485" customWidth="1"/>
    <col min="5920" max="5920" width="8.85546875" style="485" customWidth="1"/>
    <col min="5921" max="5921" width="8.140625" style="485" customWidth="1"/>
    <col min="5922" max="5922" width="7.85546875" style="485" customWidth="1"/>
    <col min="5923" max="5923" width="8.5703125" style="485" customWidth="1"/>
    <col min="5924" max="5924" width="8.28515625" style="485" customWidth="1"/>
    <col min="5925" max="5925" width="11.42578125" style="485" customWidth="1"/>
    <col min="5926" max="5926" width="18" style="485" customWidth="1"/>
    <col min="5927" max="5927" width="21.42578125" style="485" customWidth="1"/>
    <col min="5928" max="5928" width="27.85546875" style="485" customWidth="1"/>
    <col min="5929" max="6144" width="11.42578125" style="485"/>
    <col min="6145" max="6145" width="13.5703125" style="485" customWidth="1"/>
    <col min="6146" max="6146" width="19" style="485" customWidth="1"/>
    <col min="6147" max="6147" width="13.5703125" style="485" customWidth="1"/>
    <col min="6148" max="6148" width="19.7109375" style="485" customWidth="1"/>
    <col min="6149" max="6149" width="13.5703125" style="485" customWidth="1"/>
    <col min="6150" max="6151" width="14.7109375" style="485" customWidth="1"/>
    <col min="6152" max="6152" width="36.140625" style="485" customWidth="1"/>
    <col min="6153" max="6153" width="29.42578125" style="485" customWidth="1"/>
    <col min="6154" max="6154" width="16" style="485" customWidth="1"/>
    <col min="6155" max="6155" width="38.28515625" style="485" customWidth="1"/>
    <col min="6156" max="6156" width="12" style="485" customWidth="1"/>
    <col min="6157" max="6157" width="38.140625" style="485" customWidth="1"/>
    <col min="6158" max="6158" width="17.85546875" style="485" bestFit="1" customWidth="1"/>
    <col min="6159" max="6159" width="24.7109375" style="485" customWidth="1"/>
    <col min="6160" max="6160" width="36.42578125" style="485" customWidth="1"/>
    <col min="6161" max="6161" width="46.7109375" style="485" customWidth="1"/>
    <col min="6162" max="6162" width="43.7109375" style="485" customWidth="1"/>
    <col min="6163" max="6163" width="25.42578125" style="485" customWidth="1"/>
    <col min="6164" max="6164" width="12.42578125" style="485" customWidth="1"/>
    <col min="6165" max="6165" width="16.42578125" style="485" customWidth="1"/>
    <col min="6166" max="6166" width="13.42578125" style="485" customWidth="1"/>
    <col min="6167" max="6167" width="8.5703125" style="485" customWidth="1"/>
    <col min="6168" max="6171" width="11.42578125" style="485" customWidth="1"/>
    <col min="6172" max="6172" width="12.7109375" style="485" customWidth="1"/>
    <col min="6173" max="6173" width="11.85546875" style="485" customWidth="1"/>
    <col min="6174" max="6174" width="7.85546875" style="485" customWidth="1"/>
    <col min="6175" max="6175" width="7.5703125" style="485" customWidth="1"/>
    <col min="6176" max="6176" width="8.85546875" style="485" customWidth="1"/>
    <col min="6177" max="6177" width="8.140625" style="485" customWidth="1"/>
    <col min="6178" max="6178" width="7.85546875" style="485" customWidth="1"/>
    <col min="6179" max="6179" width="8.5703125" style="485" customWidth="1"/>
    <col min="6180" max="6180" width="8.28515625" style="485" customWidth="1"/>
    <col min="6181" max="6181" width="11.42578125" style="485" customWidth="1"/>
    <col min="6182" max="6182" width="18" style="485" customWidth="1"/>
    <col min="6183" max="6183" width="21.42578125" style="485" customWidth="1"/>
    <col min="6184" max="6184" width="27.85546875" style="485" customWidth="1"/>
    <col min="6185" max="6400" width="11.42578125" style="485"/>
    <col min="6401" max="6401" width="13.5703125" style="485" customWidth="1"/>
    <col min="6402" max="6402" width="19" style="485" customWidth="1"/>
    <col min="6403" max="6403" width="13.5703125" style="485" customWidth="1"/>
    <col min="6404" max="6404" width="19.7109375" style="485" customWidth="1"/>
    <col min="6405" max="6405" width="13.5703125" style="485" customWidth="1"/>
    <col min="6406" max="6407" width="14.7109375" style="485" customWidth="1"/>
    <col min="6408" max="6408" width="36.140625" style="485" customWidth="1"/>
    <col min="6409" max="6409" width="29.42578125" style="485" customWidth="1"/>
    <col min="6410" max="6410" width="16" style="485" customWidth="1"/>
    <col min="6411" max="6411" width="38.28515625" style="485" customWidth="1"/>
    <col min="6412" max="6412" width="12" style="485" customWidth="1"/>
    <col min="6413" max="6413" width="38.140625" style="485" customWidth="1"/>
    <col min="6414" max="6414" width="17.85546875" style="485" bestFit="1" customWidth="1"/>
    <col min="6415" max="6415" width="24.7109375" style="485" customWidth="1"/>
    <col min="6416" max="6416" width="36.42578125" style="485" customWidth="1"/>
    <col min="6417" max="6417" width="46.7109375" style="485" customWidth="1"/>
    <col min="6418" max="6418" width="43.7109375" style="485" customWidth="1"/>
    <col min="6419" max="6419" width="25.42578125" style="485" customWidth="1"/>
    <col min="6420" max="6420" width="12.42578125" style="485" customWidth="1"/>
    <col min="6421" max="6421" width="16.42578125" style="485" customWidth="1"/>
    <col min="6422" max="6422" width="13.42578125" style="485" customWidth="1"/>
    <col min="6423" max="6423" width="8.5703125" style="485" customWidth="1"/>
    <col min="6424" max="6427" width="11.42578125" style="485" customWidth="1"/>
    <col min="6428" max="6428" width="12.7109375" style="485" customWidth="1"/>
    <col min="6429" max="6429" width="11.85546875" style="485" customWidth="1"/>
    <col min="6430" max="6430" width="7.85546875" style="485" customWidth="1"/>
    <col min="6431" max="6431" width="7.5703125" style="485" customWidth="1"/>
    <col min="6432" max="6432" width="8.85546875" style="485" customWidth="1"/>
    <col min="6433" max="6433" width="8.140625" style="485" customWidth="1"/>
    <col min="6434" max="6434" width="7.85546875" style="485" customWidth="1"/>
    <col min="6435" max="6435" width="8.5703125" style="485" customWidth="1"/>
    <col min="6436" max="6436" width="8.28515625" style="485" customWidth="1"/>
    <col min="6437" max="6437" width="11.42578125" style="485" customWidth="1"/>
    <col min="6438" max="6438" width="18" style="485" customWidth="1"/>
    <col min="6439" max="6439" width="21.42578125" style="485" customWidth="1"/>
    <col min="6440" max="6440" width="27.85546875" style="485" customWidth="1"/>
    <col min="6441" max="6656" width="11.42578125" style="485"/>
    <col min="6657" max="6657" width="13.5703125" style="485" customWidth="1"/>
    <col min="6658" max="6658" width="19" style="485" customWidth="1"/>
    <col min="6659" max="6659" width="13.5703125" style="485" customWidth="1"/>
    <col min="6660" max="6660" width="19.7109375" style="485" customWidth="1"/>
    <col min="6661" max="6661" width="13.5703125" style="485" customWidth="1"/>
    <col min="6662" max="6663" width="14.7109375" style="485" customWidth="1"/>
    <col min="6664" max="6664" width="36.140625" style="485" customWidth="1"/>
    <col min="6665" max="6665" width="29.42578125" style="485" customWidth="1"/>
    <col min="6666" max="6666" width="16" style="485" customWidth="1"/>
    <col min="6667" max="6667" width="38.28515625" style="485" customWidth="1"/>
    <col min="6668" max="6668" width="12" style="485" customWidth="1"/>
    <col min="6669" max="6669" width="38.140625" style="485" customWidth="1"/>
    <col min="6670" max="6670" width="17.85546875" style="485" bestFit="1" customWidth="1"/>
    <col min="6671" max="6671" width="24.7109375" style="485" customWidth="1"/>
    <col min="6672" max="6672" width="36.42578125" style="485" customWidth="1"/>
    <col min="6673" max="6673" width="46.7109375" style="485" customWidth="1"/>
    <col min="6674" max="6674" width="43.7109375" style="485" customWidth="1"/>
    <col min="6675" max="6675" width="25.42578125" style="485" customWidth="1"/>
    <col min="6676" max="6676" width="12.42578125" style="485" customWidth="1"/>
    <col min="6677" max="6677" width="16.42578125" style="485" customWidth="1"/>
    <col min="6678" max="6678" width="13.42578125" style="485" customWidth="1"/>
    <col min="6679" max="6679" width="8.5703125" style="485" customWidth="1"/>
    <col min="6680" max="6683" width="11.42578125" style="485" customWidth="1"/>
    <col min="6684" max="6684" width="12.7109375" style="485" customWidth="1"/>
    <col min="6685" max="6685" width="11.85546875" style="485" customWidth="1"/>
    <col min="6686" max="6686" width="7.85546875" style="485" customWidth="1"/>
    <col min="6687" max="6687" width="7.5703125" style="485" customWidth="1"/>
    <col min="6688" max="6688" width="8.85546875" style="485" customWidth="1"/>
    <col min="6689" max="6689" width="8.140625" style="485" customWidth="1"/>
    <col min="6690" max="6690" width="7.85546875" style="485" customWidth="1"/>
    <col min="6691" max="6691" width="8.5703125" style="485" customWidth="1"/>
    <col min="6692" max="6692" width="8.28515625" style="485" customWidth="1"/>
    <col min="6693" max="6693" width="11.42578125" style="485" customWidth="1"/>
    <col min="6694" max="6694" width="18" style="485" customWidth="1"/>
    <col min="6695" max="6695" width="21.42578125" style="485" customWidth="1"/>
    <col min="6696" max="6696" width="27.85546875" style="485" customWidth="1"/>
    <col min="6697" max="6912" width="11.42578125" style="485"/>
    <col min="6913" max="6913" width="13.5703125" style="485" customWidth="1"/>
    <col min="6914" max="6914" width="19" style="485" customWidth="1"/>
    <col min="6915" max="6915" width="13.5703125" style="485" customWidth="1"/>
    <col min="6916" max="6916" width="19.7109375" style="485" customWidth="1"/>
    <col min="6917" max="6917" width="13.5703125" style="485" customWidth="1"/>
    <col min="6918" max="6919" width="14.7109375" style="485" customWidth="1"/>
    <col min="6920" max="6920" width="36.140625" style="485" customWidth="1"/>
    <col min="6921" max="6921" width="29.42578125" style="485" customWidth="1"/>
    <col min="6922" max="6922" width="16" style="485" customWidth="1"/>
    <col min="6923" max="6923" width="38.28515625" style="485" customWidth="1"/>
    <col min="6924" max="6924" width="12" style="485" customWidth="1"/>
    <col min="6925" max="6925" width="38.140625" style="485" customWidth="1"/>
    <col min="6926" max="6926" width="17.85546875" style="485" bestFit="1" customWidth="1"/>
    <col min="6927" max="6927" width="24.7109375" style="485" customWidth="1"/>
    <col min="6928" max="6928" width="36.42578125" style="485" customWidth="1"/>
    <col min="6929" max="6929" width="46.7109375" style="485" customWidth="1"/>
    <col min="6930" max="6930" width="43.7109375" style="485" customWidth="1"/>
    <col min="6931" max="6931" width="25.42578125" style="485" customWidth="1"/>
    <col min="6932" max="6932" width="12.42578125" style="485" customWidth="1"/>
    <col min="6933" max="6933" width="16.42578125" style="485" customWidth="1"/>
    <col min="6934" max="6934" width="13.42578125" style="485" customWidth="1"/>
    <col min="6935" max="6935" width="8.5703125" style="485" customWidth="1"/>
    <col min="6936" max="6939" width="11.42578125" style="485" customWidth="1"/>
    <col min="6940" max="6940" width="12.7109375" style="485" customWidth="1"/>
    <col min="6941" max="6941" width="11.85546875" style="485" customWidth="1"/>
    <col min="6942" max="6942" width="7.85546875" style="485" customWidth="1"/>
    <col min="6943" max="6943" width="7.5703125" style="485" customWidth="1"/>
    <col min="6944" max="6944" width="8.85546875" style="485" customWidth="1"/>
    <col min="6945" max="6945" width="8.140625" style="485" customWidth="1"/>
    <col min="6946" max="6946" width="7.85546875" style="485" customWidth="1"/>
    <col min="6947" max="6947" width="8.5703125" style="485" customWidth="1"/>
    <col min="6948" max="6948" width="8.28515625" style="485" customWidth="1"/>
    <col min="6949" max="6949" width="11.42578125" style="485" customWidth="1"/>
    <col min="6950" max="6950" width="18" style="485" customWidth="1"/>
    <col min="6951" max="6951" width="21.42578125" style="485" customWidth="1"/>
    <col min="6952" max="6952" width="27.85546875" style="485" customWidth="1"/>
    <col min="6953" max="7168" width="11.42578125" style="485"/>
    <col min="7169" max="7169" width="13.5703125" style="485" customWidth="1"/>
    <col min="7170" max="7170" width="19" style="485" customWidth="1"/>
    <col min="7171" max="7171" width="13.5703125" style="485" customWidth="1"/>
    <col min="7172" max="7172" width="19.7109375" style="485" customWidth="1"/>
    <col min="7173" max="7173" width="13.5703125" style="485" customWidth="1"/>
    <col min="7174" max="7175" width="14.7109375" style="485" customWidth="1"/>
    <col min="7176" max="7176" width="36.140625" style="485" customWidth="1"/>
    <col min="7177" max="7177" width="29.42578125" style="485" customWidth="1"/>
    <col min="7178" max="7178" width="16" style="485" customWidth="1"/>
    <col min="7179" max="7179" width="38.28515625" style="485" customWidth="1"/>
    <col min="7180" max="7180" width="12" style="485" customWidth="1"/>
    <col min="7181" max="7181" width="38.140625" style="485" customWidth="1"/>
    <col min="7182" max="7182" width="17.85546875" style="485" bestFit="1" customWidth="1"/>
    <col min="7183" max="7183" width="24.7109375" style="485" customWidth="1"/>
    <col min="7184" max="7184" width="36.42578125" style="485" customWidth="1"/>
    <col min="7185" max="7185" width="46.7109375" style="485" customWidth="1"/>
    <col min="7186" max="7186" width="43.7109375" style="485" customWidth="1"/>
    <col min="7187" max="7187" width="25.42578125" style="485" customWidth="1"/>
    <col min="7188" max="7188" width="12.42578125" style="485" customWidth="1"/>
    <col min="7189" max="7189" width="16.42578125" style="485" customWidth="1"/>
    <col min="7190" max="7190" width="13.42578125" style="485" customWidth="1"/>
    <col min="7191" max="7191" width="8.5703125" style="485" customWidth="1"/>
    <col min="7192" max="7195" width="11.42578125" style="485" customWidth="1"/>
    <col min="7196" max="7196" width="12.7109375" style="485" customWidth="1"/>
    <col min="7197" max="7197" width="11.85546875" style="485" customWidth="1"/>
    <col min="7198" max="7198" width="7.85546875" style="485" customWidth="1"/>
    <col min="7199" max="7199" width="7.5703125" style="485" customWidth="1"/>
    <col min="7200" max="7200" width="8.85546875" style="485" customWidth="1"/>
    <col min="7201" max="7201" width="8.140625" style="485" customWidth="1"/>
    <col min="7202" max="7202" width="7.85546875" style="485" customWidth="1"/>
    <col min="7203" max="7203" width="8.5703125" style="485" customWidth="1"/>
    <col min="7204" max="7204" width="8.28515625" style="485" customWidth="1"/>
    <col min="7205" max="7205" width="11.42578125" style="485" customWidth="1"/>
    <col min="7206" max="7206" width="18" style="485" customWidth="1"/>
    <col min="7207" max="7207" width="21.42578125" style="485" customWidth="1"/>
    <col min="7208" max="7208" width="27.85546875" style="485" customWidth="1"/>
    <col min="7209" max="7424" width="11.42578125" style="485"/>
    <col min="7425" max="7425" width="13.5703125" style="485" customWidth="1"/>
    <col min="7426" max="7426" width="19" style="485" customWidth="1"/>
    <col min="7427" max="7427" width="13.5703125" style="485" customWidth="1"/>
    <col min="7428" max="7428" width="19.7109375" style="485" customWidth="1"/>
    <col min="7429" max="7429" width="13.5703125" style="485" customWidth="1"/>
    <col min="7430" max="7431" width="14.7109375" style="485" customWidth="1"/>
    <col min="7432" max="7432" width="36.140625" style="485" customWidth="1"/>
    <col min="7433" max="7433" width="29.42578125" style="485" customWidth="1"/>
    <col min="7434" max="7434" width="16" style="485" customWidth="1"/>
    <col min="7435" max="7435" width="38.28515625" style="485" customWidth="1"/>
    <col min="7436" max="7436" width="12" style="485" customWidth="1"/>
    <col min="7437" max="7437" width="38.140625" style="485" customWidth="1"/>
    <col min="7438" max="7438" width="17.85546875" style="485" bestFit="1" customWidth="1"/>
    <col min="7439" max="7439" width="24.7109375" style="485" customWidth="1"/>
    <col min="7440" max="7440" width="36.42578125" style="485" customWidth="1"/>
    <col min="7441" max="7441" width="46.7109375" style="485" customWidth="1"/>
    <col min="7442" max="7442" width="43.7109375" style="485" customWidth="1"/>
    <col min="7443" max="7443" width="25.42578125" style="485" customWidth="1"/>
    <col min="7444" max="7444" width="12.42578125" style="485" customWidth="1"/>
    <col min="7445" max="7445" width="16.42578125" style="485" customWidth="1"/>
    <col min="7446" max="7446" width="13.42578125" style="485" customWidth="1"/>
    <col min="7447" max="7447" width="8.5703125" style="485" customWidth="1"/>
    <col min="7448" max="7451" width="11.42578125" style="485" customWidth="1"/>
    <col min="7452" max="7452" width="12.7109375" style="485" customWidth="1"/>
    <col min="7453" max="7453" width="11.85546875" style="485" customWidth="1"/>
    <col min="7454" max="7454" width="7.85546875" style="485" customWidth="1"/>
    <col min="7455" max="7455" width="7.5703125" style="485" customWidth="1"/>
    <col min="7456" max="7456" width="8.85546875" style="485" customWidth="1"/>
    <col min="7457" max="7457" width="8.140625" style="485" customWidth="1"/>
    <col min="7458" max="7458" width="7.85546875" style="485" customWidth="1"/>
    <col min="7459" max="7459" width="8.5703125" style="485" customWidth="1"/>
    <col min="7460" max="7460" width="8.28515625" style="485" customWidth="1"/>
    <col min="7461" max="7461" width="11.42578125" style="485" customWidth="1"/>
    <col min="7462" max="7462" width="18" style="485" customWidth="1"/>
    <col min="7463" max="7463" width="21.42578125" style="485" customWidth="1"/>
    <col min="7464" max="7464" width="27.85546875" style="485" customWidth="1"/>
    <col min="7465" max="7680" width="11.42578125" style="485"/>
    <col min="7681" max="7681" width="13.5703125" style="485" customWidth="1"/>
    <col min="7682" max="7682" width="19" style="485" customWidth="1"/>
    <col min="7683" max="7683" width="13.5703125" style="485" customWidth="1"/>
    <col min="7684" max="7684" width="19.7109375" style="485" customWidth="1"/>
    <col min="7685" max="7685" width="13.5703125" style="485" customWidth="1"/>
    <col min="7686" max="7687" width="14.7109375" style="485" customWidth="1"/>
    <col min="7688" max="7688" width="36.140625" style="485" customWidth="1"/>
    <col min="7689" max="7689" width="29.42578125" style="485" customWidth="1"/>
    <col min="7690" max="7690" width="16" style="485" customWidth="1"/>
    <col min="7691" max="7691" width="38.28515625" style="485" customWidth="1"/>
    <col min="7692" max="7692" width="12" style="485" customWidth="1"/>
    <col min="7693" max="7693" width="38.140625" style="485" customWidth="1"/>
    <col min="7694" max="7694" width="17.85546875" style="485" bestFit="1" customWidth="1"/>
    <col min="7695" max="7695" width="24.7109375" style="485" customWidth="1"/>
    <col min="7696" max="7696" width="36.42578125" style="485" customWidth="1"/>
    <col min="7697" max="7697" width="46.7109375" style="485" customWidth="1"/>
    <col min="7698" max="7698" width="43.7109375" style="485" customWidth="1"/>
    <col min="7699" max="7699" width="25.42578125" style="485" customWidth="1"/>
    <col min="7700" max="7700" width="12.42578125" style="485" customWidth="1"/>
    <col min="7701" max="7701" width="16.42578125" style="485" customWidth="1"/>
    <col min="7702" max="7702" width="13.42578125" style="485" customWidth="1"/>
    <col min="7703" max="7703" width="8.5703125" style="485" customWidth="1"/>
    <col min="7704" max="7707" width="11.42578125" style="485" customWidth="1"/>
    <col min="7708" max="7708" width="12.7109375" style="485" customWidth="1"/>
    <col min="7709" max="7709" width="11.85546875" style="485" customWidth="1"/>
    <col min="7710" max="7710" width="7.85546875" style="485" customWidth="1"/>
    <col min="7711" max="7711" width="7.5703125" style="485" customWidth="1"/>
    <col min="7712" max="7712" width="8.85546875" style="485" customWidth="1"/>
    <col min="7713" max="7713" width="8.140625" style="485" customWidth="1"/>
    <col min="7714" max="7714" width="7.85546875" style="485" customWidth="1"/>
    <col min="7715" max="7715" width="8.5703125" style="485" customWidth="1"/>
    <col min="7716" max="7716" width="8.28515625" style="485" customWidth="1"/>
    <col min="7717" max="7717" width="11.42578125" style="485" customWidth="1"/>
    <col min="7718" max="7718" width="18" style="485" customWidth="1"/>
    <col min="7719" max="7719" width="21.42578125" style="485" customWidth="1"/>
    <col min="7720" max="7720" width="27.85546875" style="485" customWidth="1"/>
    <col min="7721" max="7936" width="11.42578125" style="485"/>
    <col min="7937" max="7937" width="13.5703125" style="485" customWidth="1"/>
    <col min="7938" max="7938" width="19" style="485" customWidth="1"/>
    <col min="7939" max="7939" width="13.5703125" style="485" customWidth="1"/>
    <col min="7940" max="7940" width="19.7109375" style="485" customWidth="1"/>
    <col min="7941" max="7941" width="13.5703125" style="485" customWidth="1"/>
    <col min="7942" max="7943" width="14.7109375" style="485" customWidth="1"/>
    <col min="7944" max="7944" width="36.140625" style="485" customWidth="1"/>
    <col min="7945" max="7945" width="29.42578125" style="485" customWidth="1"/>
    <col min="7946" max="7946" width="16" style="485" customWidth="1"/>
    <col min="7947" max="7947" width="38.28515625" style="485" customWidth="1"/>
    <col min="7948" max="7948" width="12" style="485" customWidth="1"/>
    <col min="7949" max="7949" width="38.140625" style="485" customWidth="1"/>
    <col min="7950" max="7950" width="17.85546875" style="485" bestFit="1" customWidth="1"/>
    <col min="7951" max="7951" width="24.7109375" style="485" customWidth="1"/>
    <col min="7952" max="7952" width="36.42578125" style="485" customWidth="1"/>
    <col min="7953" max="7953" width="46.7109375" style="485" customWidth="1"/>
    <col min="7954" max="7954" width="43.7109375" style="485" customWidth="1"/>
    <col min="7955" max="7955" width="25.42578125" style="485" customWidth="1"/>
    <col min="7956" max="7956" width="12.42578125" style="485" customWidth="1"/>
    <col min="7957" max="7957" width="16.42578125" style="485" customWidth="1"/>
    <col min="7958" max="7958" width="13.42578125" style="485" customWidth="1"/>
    <col min="7959" max="7959" width="8.5703125" style="485" customWidth="1"/>
    <col min="7960" max="7963" width="11.42578125" style="485" customWidth="1"/>
    <col min="7964" max="7964" width="12.7109375" style="485" customWidth="1"/>
    <col min="7965" max="7965" width="11.85546875" style="485" customWidth="1"/>
    <col min="7966" max="7966" width="7.85546875" style="485" customWidth="1"/>
    <col min="7967" max="7967" width="7.5703125" style="485" customWidth="1"/>
    <col min="7968" max="7968" width="8.85546875" style="485" customWidth="1"/>
    <col min="7969" max="7969" width="8.140625" style="485" customWidth="1"/>
    <col min="7970" max="7970" width="7.85546875" style="485" customWidth="1"/>
    <col min="7971" max="7971" width="8.5703125" style="485" customWidth="1"/>
    <col min="7972" max="7972" width="8.28515625" style="485" customWidth="1"/>
    <col min="7973" max="7973" width="11.42578125" style="485" customWidth="1"/>
    <col min="7974" max="7974" width="18" style="485" customWidth="1"/>
    <col min="7975" max="7975" width="21.42578125" style="485" customWidth="1"/>
    <col min="7976" max="7976" width="27.85546875" style="485" customWidth="1"/>
    <col min="7977" max="8192" width="11.42578125" style="485"/>
    <col min="8193" max="8193" width="13.5703125" style="485" customWidth="1"/>
    <col min="8194" max="8194" width="19" style="485" customWidth="1"/>
    <col min="8195" max="8195" width="13.5703125" style="485" customWidth="1"/>
    <col min="8196" max="8196" width="19.7109375" style="485" customWidth="1"/>
    <col min="8197" max="8197" width="13.5703125" style="485" customWidth="1"/>
    <col min="8198" max="8199" width="14.7109375" style="485" customWidth="1"/>
    <col min="8200" max="8200" width="36.140625" style="485" customWidth="1"/>
    <col min="8201" max="8201" width="29.42578125" style="485" customWidth="1"/>
    <col min="8202" max="8202" width="16" style="485" customWidth="1"/>
    <col min="8203" max="8203" width="38.28515625" style="485" customWidth="1"/>
    <col min="8204" max="8204" width="12" style="485" customWidth="1"/>
    <col min="8205" max="8205" width="38.140625" style="485" customWidth="1"/>
    <col min="8206" max="8206" width="17.85546875" style="485" bestFit="1" customWidth="1"/>
    <col min="8207" max="8207" width="24.7109375" style="485" customWidth="1"/>
    <col min="8208" max="8208" width="36.42578125" style="485" customWidth="1"/>
    <col min="8209" max="8209" width="46.7109375" style="485" customWidth="1"/>
    <col min="8210" max="8210" width="43.7109375" style="485" customWidth="1"/>
    <col min="8211" max="8211" width="25.42578125" style="485" customWidth="1"/>
    <col min="8212" max="8212" width="12.42578125" style="485" customWidth="1"/>
    <col min="8213" max="8213" width="16.42578125" style="485" customWidth="1"/>
    <col min="8214" max="8214" width="13.42578125" style="485" customWidth="1"/>
    <col min="8215" max="8215" width="8.5703125" style="485" customWidth="1"/>
    <col min="8216" max="8219" width="11.42578125" style="485" customWidth="1"/>
    <col min="8220" max="8220" width="12.7109375" style="485" customWidth="1"/>
    <col min="8221" max="8221" width="11.85546875" style="485" customWidth="1"/>
    <col min="8222" max="8222" width="7.85546875" style="485" customWidth="1"/>
    <col min="8223" max="8223" width="7.5703125" style="485" customWidth="1"/>
    <col min="8224" max="8224" width="8.85546875" style="485" customWidth="1"/>
    <col min="8225" max="8225" width="8.140625" style="485" customWidth="1"/>
    <col min="8226" max="8226" width="7.85546875" style="485" customWidth="1"/>
    <col min="8227" max="8227" width="8.5703125" style="485" customWidth="1"/>
    <col min="8228" max="8228" width="8.28515625" style="485" customWidth="1"/>
    <col min="8229" max="8229" width="11.42578125" style="485" customWidth="1"/>
    <col min="8230" max="8230" width="18" style="485" customWidth="1"/>
    <col min="8231" max="8231" width="21.42578125" style="485" customWidth="1"/>
    <col min="8232" max="8232" width="27.85546875" style="485" customWidth="1"/>
    <col min="8233" max="8448" width="11.42578125" style="485"/>
    <col min="8449" max="8449" width="13.5703125" style="485" customWidth="1"/>
    <col min="8450" max="8450" width="19" style="485" customWidth="1"/>
    <col min="8451" max="8451" width="13.5703125" style="485" customWidth="1"/>
    <col min="8452" max="8452" width="19.7109375" style="485" customWidth="1"/>
    <col min="8453" max="8453" width="13.5703125" style="485" customWidth="1"/>
    <col min="8454" max="8455" width="14.7109375" style="485" customWidth="1"/>
    <col min="8456" max="8456" width="36.140625" style="485" customWidth="1"/>
    <col min="8457" max="8457" width="29.42578125" style="485" customWidth="1"/>
    <col min="8458" max="8458" width="16" style="485" customWidth="1"/>
    <col min="8459" max="8459" width="38.28515625" style="485" customWidth="1"/>
    <col min="8460" max="8460" width="12" style="485" customWidth="1"/>
    <col min="8461" max="8461" width="38.140625" style="485" customWidth="1"/>
    <col min="8462" max="8462" width="17.85546875" style="485" bestFit="1" customWidth="1"/>
    <col min="8463" max="8463" width="24.7109375" style="485" customWidth="1"/>
    <col min="8464" max="8464" width="36.42578125" style="485" customWidth="1"/>
    <col min="8465" max="8465" width="46.7109375" style="485" customWidth="1"/>
    <col min="8466" max="8466" width="43.7109375" style="485" customWidth="1"/>
    <col min="8467" max="8467" width="25.42578125" style="485" customWidth="1"/>
    <col min="8468" max="8468" width="12.42578125" style="485" customWidth="1"/>
    <col min="8469" max="8469" width="16.42578125" style="485" customWidth="1"/>
    <col min="8470" max="8470" width="13.42578125" style="485" customWidth="1"/>
    <col min="8471" max="8471" width="8.5703125" style="485" customWidth="1"/>
    <col min="8472" max="8475" width="11.42578125" style="485" customWidth="1"/>
    <col min="8476" max="8476" width="12.7109375" style="485" customWidth="1"/>
    <col min="8477" max="8477" width="11.85546875" style="485" customWidth="1"/>
    <col min="8478" max="8478" width="7.85546875" style="485" customWidth="1"/>
    <col min="8479" max="8479" width="7.5703125" style="485" customWidth="1"/>
    <col min="8480" max="8480" width="8.85546875" style="485" customWidth="1"/>
    <col min="8481" max="8481" width="8.140625" style="485" customWidth="1"/>
    <col min="8482" max="8482" width="7.85546875" style="485" customWidth="1"/>
    <col min="8483" max="8483" width="8.5703125" style="485" customWidth="1"/>
    <col min="8484" max="8484" width="8.28515625" style="485" customWidth="1"/>
    <col min="8485" max="8485" width="11.42578125" style="485" customWidth="1"/>
    <col min="8486" max="8486" width="18" style="485" customWidth="1"/>
    <col min="8487" max="8487" width="21.42578125" style="485" customWidth="1"/>
    <col min="8488" max="8488" width="27.85546875" style="485" customWidth="1"/>
    <col min="8489" max="8704" width="11.42578125" style="485"/>
    <col min="8705" max="8705" width="13.5703125" style="485" customWidth="1"/>
    <col min="8706" max="8706" width="19" style="485" customWidth="1"/>
    <col min="8707" max="8707" width="13.5703125" style="485" customWidth="1"/>
    <col min="8708" max="8708" width="19.7109375" style="485" customWidth="1"/>
    <col min="8709" max="8709" width="13.5703125" style="485" customWidth="1"/>
    <col min="8710" max="8711" width="14.7109375" style="485" customWidth="1"/>
    <col min="8712" max="8712" width="36.140625" style="485" customWidth="1"/>
    <col min="8713" max="8713" width="29.42578125" style="485" customWidth="1"/>
    <col min="8714" max="8714" width="16" style="485" customWidth="1"/>
    <col min="8715" max="8715" width="38.28515625" style="485" customWidth="1"/>
    <col min="8716" max="8716" width="12" style="485" customWidth="1"/>
    <col min="8717" max="8717" width="38.140625" style="485" customWidth="1"/>
    <col min="8718" max="8718" width="17.85546875" style="485" bestFit="1" customWidth="1"/>
    <col min="8719" max="8719" width="24.7109375" style="485" customWidth="1"/>
    <col min="8720" max="8720" width="36.42578125" style="485" customWidth="1"/>
    <col min="8721" max="8721" width="46.7109375" style="485" customWidth="1"/>
    <col min="8722" max="8722" width="43.7109375" style="485" customWidth="1"/>
    <col min="8723" max="8723" width="25.42578125" style="485" customWidth="1"/>
    <col min="8724" max="8724" width="12.42578125" style="485" customWidth="1"/>
    <col min="8725" max="8725" width="16.42578125" style="485" customWidth="1"/>
    <col min="8726" max="8726" width="13.42578125" style="485" customWidth="1"/>
    <col min="8727" max="8727" width="8.5703125" style="485" customWidth="1"/>
    <col min="8728" max="8731" width="11.42578125" style="485" customWidth="1"/>
    <col min="8732" max="8732" width="12.7109375" style="485" customWidth="1"/>
    <col min="8733" max="8733" width="11.85546875" style="485" customWidth="1"/>
    <col min="8734" max="8734" width="7.85546875" style="485" customWidth="1"/>
    <col min="8735" max="8735" width="7.5703125" style="485" customWidth="1"/>
    <col min="8736" max="8736" width="8.85546875" style="485" customWidth="1"/>
    <col min="8737" max="8737" width="8.140625" style="485" customWidth="1"/>
    <col min="8738" max="8738" width="7.85546875" style="485" customWidth="1"/>
    <col min="8739" max="8739" width="8.5703125" style="485" customWidth="1"/>
    <col min="8740" max="8740" width="8.28515625" style="485" customWidth="1"/>
    <col min="8741" max="8741" width="11.42578125" style="485" customWidth="1"/>
    <col min="8742" max="8742" width="18" style="485" customWidth="1"/>
    <col min="8743" max="8743" width="21.42578125" style="485" customWidth="1"/>
    <col min="8744" max="8744" width="27.85546875" style="485" customWidth="1"/>
    <col min="8745" max="8960" width="11.42578125" style="485"/>
    <col min="8961" max="8961" width="13.5703125" style="485" customWidth="1"/>
    <col min="8962" max="8962" width="19" style="485" customWidth="1"/>
    <col min="8963" max="8963" width="13.5703125" style="485" customWidth="1"/>
    <col min="8964" max="8964" width="19.7109375" style="485" customWidth="1"/>
    <col min="8965" max="8965" width="13.5703125" style="485" customWidth="1"/>
    <col min="8966" max="8967" width="14.7109375" style="485" customWidth="1"/>
    <col min="8968" max="8968" width="36.140625" style="485" customWidth="1"/>
    <col min="8969" max="8969" width="29.42578125" style="485" customWidth="1"/>
    <col min="8970" max="8970" width="16" style="485" customWidth="1"/>
    <col min="8971" max="8971" width="38.28515625" style="485" customWidth="1"/>
    <col min="8972" max="8972" width="12" style="485" customWidth="1"/>
    <col min="8973" max="8973" width="38.140625" style="485" customWidth="1"/>
    <col min="8974" max="8974" width="17.85546875" style="485" bestFit="1" customWidth="1"/>
    <col min="8975" max="8975" width="24.7109375" style="485" customWidth="1"/>
    <col min="8976" max="8976" width="36.42578125" style="485" customWidth="1"/>
    <col min="8977" max="8977" width="46.7109375" style="485" customWidth="1"/>
    <col min="8978" max="8978" width="43.7109375" style="485" customWidth="1"/>
    <col min="8979" max="8979" width="25.42578125" style="485" customWidth="1"/>
    <col min="8980" max="8980" width="12.42578125" style="485" customWidth="1"/>
    <col min="8981" max="8981" width="16.42578125" style="485" customWidth="1"/>
    <col min="8982" max="8982" width="13.42578125" style="485" customWidth="1"/>
    <col min="8983" max="8983" width="8.5703125" style="485" customWidth="1"/>
    <col min="8984" max="8987" width="11.42578125" style="485" customWidth="1"/>
    <col min="8988" max="8988" width="12.7109375" style="485" customWidth="1"/>
    <col min="8989" max="8989" width="11.85546875" style="485" customWidth="1"/>
    <col min="8990" max="8990" width="7.85546875" style="485" customWidth="1"/>
    <col min="8991" max="8991" width="7.5703125" style="485" customWidth="1"/>
    <col min="8992" max="8992" width="8.85546875" style="485" customWidth="1"/>
    <col min="8993" max="8993" width="8.140625" style="485" customWidth="1"/>
    <col min="8994" max="8994" width="7.85546875" style="485" customWidth="1"/>
    <col min="8995" max="8995" width="8.5703125" style="485" customWidth="1"/>
    <col min="8996" max="8996" width="8.28515625" style="485" customWidth="1"/>
    <col min="8997" max="8997" width="11.42578125" style="485" customWidth="1"/>
    <col min="8998" max="8998" width="18" style="485" customWidth="1"/>
    <col min="8999" max="8999" width="21.42578125" style="485" customWidth="1"/>
    <col min="9000" max="9000" width="27.85546875" style="485" customWidth="1"/>
    <col min="9001" max="9216" width="11.42578125" style="485"/>
    <col min="9217" max="9217" width="13.5703125" style="485" customWidth="1"/>
    <col min="9218" max="9218" width="19" style="485" customWidth="1"/>
    <col min="9219" max="9219" width="13.5703125" style="485" customWidth="1"/>
    <col min="9220" max="9220" width="19.7109375" style="485" customWidth="1"/>
    <col min="9221" max="9221" width="13.5703125" style="485" customWidth="1"/>
    <col min="9222" max="9223" width="14.7109375" style="485" customWidth="1"/>
    <col min="9224" max="9224" width="36.140625" style="485" customWidth="1"/>
    <col min="9225" max="9225" width="29.42578125" style="485" customWidth="1"/>
    <col min="9226" max="9226" width="16" style="485" customWidth="1"/>
    <col min="9227" max="9227" width="38.28515625" style="485" customWidth="1"/>
    <col min="9228" max="9228" width="12" style="485" customWidth="1"/>
    <col min="9229" max="9229" width="38.140625" style="485" customWidth="1"/>
    <col min="9230" max="9230" width="17.85546875" style="485" bestFit="1" customWidth="1"/>
    <col min="9231" max="9231" width="24.7109375" style="485" customWidth="1"/>
    <col min="9232" max="9232" width="36.42578125" style="485" customWidth="1"/>
    <col min="9233" max="9233" width="46.7109375" style="485" customWidth="1"/>
    <col min="9234" max="9234" width="43.7109375" style="485" customWidth="1"/>
    <col min="9235" max="9235" width="25.42578125" style="485" customWidth="1"/>
    <col min="9236" max="9236" width="12.42578125" style="485" customWidth="1"/>
    <col min="9237" max="9237" width="16.42578125" style="485" customWidth="1"/>
    <col min="9238" max="9238" width="13.42578125" style="485" customWidth="1"/>
    <col min="9239" max="9239" width="8.5703125" style="485" customWidth="1"/>
    <col min="9240" max="9243" width="11.42578125" style="485" customWidth="1"/>
    <col min="9244" max="9244" width="12.7109375" style="485" customWidth="1"/>
    <col min="9245" max="9245" width="11.85546875" style="485" customWidth="1"/>
    <col min="9246" max="9246" width="7.85546875" style="485" customWidth="1"/>
    <col min="9247" max="9247" width="7.5703125" style="485" customWidth="1"/>
    <col min="9248" max="9248" width="8.85546875" style="485" customWidth="1"/>
    <col min="9249" max="9249" width="8.140625" style="485" customWidth="1"/>
    <col min="9250" max="9250" width="7.85546875" style="485" customWidth="1"/>
    <col min="9251" max="9251" width="8.5703125" style="485" customWidth="1"/>
    <col min="9252" max="9252" width="8.28515625" style="485" customWidth="1"/>
    <col min="9253" max="9253" width="11.42578125" style="485" customWidth="1"/>
    <col min="9254" max="9254" width="18" style="485" customWidth="1"/>
    <col min="9255" max="9255" width="21.42578125" style="485" customWidth="1"/>
    <col min="9256" max="9256" width="27.85546875" style="485" customWidth="1"/>
    <col min="9257" max="9472" width="11.42578125" style="485"/>
    <col min="9473" max="9473" width="13.5703125" style="485" customWidth="1"/>
    <col min="9474" max="9474" width="19" style="485" customWidth="1"/>
    <col min="9475" max="9475" width="13.5703125" style="485" customWidth="1"/>
    <col min="9476" max="9476" width="19.7109375" style="485" customWidth="1"/>
    <col min="9477" max="9477" width="13.5703125" style="485" customWidth="1"/>
    <col min="9478" max="9479" width="14.7109375" style="485" customWidth="1"/>
    <col min="9480" max="9480" width="36.140625" style="485" customWidth="1"/>
    <col min="9481" max="9481" width="29.42578125" style="485" customWidth="1"/>
    <col min="9482" max="9482" width="16" style="485" customWidth="1"/>
    <col min="9483" max="9483" width="38.28515625" style="485" customWidth="1"/>
    <col min="9484" max="9484" width="12" style="485" customWidth="1"/>
    <col min="9485" max="9485" width="38.140625" style="485" customWidth="1"/>
    <col min="9486" max="9486" width="17.85546875" style="485" bestFit="1" customWidth="1"/>
    <col min="9487" max="9487" width="24.7109375" style="485" customWidth="1"/>
    <col min="9488" max="9488" width="36.42578125" style="485" customWidth="1"/>
    <col min="9489" max="9489" width="46.7109375" style="485" customWidth="1"/>
    <col min="9490" max="9490" width="43.7109375" style="485" customWidth="1"/>
    <col min="9491" max="9491" width="25.42578125" style="485" customWidth="1"/>
    <col min="9492" max="9492" width="12.42578125" style="485" customWidth="1"/>
    <col min="9493" max="9493" width="16.42578125" style="485" customWidth="1"/>
    <col min="9494" max="9494" width="13.42578125" style="485" customWidth="1"/>
    <col min="9495" max="9495" width="8.5703125" style="485" customWidth="1"/>
    <col min="9496" max="9499" width="11.42578125" style="485" customWidth="1"/>
    <col min="9500" max="9500" width="12.7109375" style="485" customWidth="1"/>
    <col min="9501" max="9501" width="11.85546875" style="485" customWidth="1"/>
    <col min="9502" max="9502" width="7.85546875" style="485" customWidth="1"/>
    <col min="9503" max="9503" width="7.5703125" style="485" customWidth="1"/>
    <col min="9504" max="9504" width="8.85546875" style="485" customWidth="1"/>
    <col min="9505" max="9505" width="8.140625" style="485" customWidth="1"/>
    <col min="9506" max="9506" width="7.85546875" style="485" customWidth="1"/>
    <col min="9507" max="9507" width="8.5703125" style="485" customWidth="1"/>
    <col min="9508" max="9508" width="8.28515625" style="485" customWidth="1"/>
    <col min="9509" max="9509" width="11.42578125" style="485" customWidth="1"/>
    <col min="9510" max="9510" width="18" style="485" customWidth="1"/>
    <col min="9511" max="9511" width="21.42578125" style="485" customWidth="1"/>
    <col min="9512" max="9512" width="27.85546875" style="485" customWidth="1"/>
    <col min="9513" max="9728" width="11.42578125" style="485"/>
    <col min="9729" max="9729" width="13.5703125" style="485" customWidth="1"/>
    <col min="9730" max="9730" width="19" style="485" customWidth="1"/>
    <col min="9731" max="9731" width="13.5703125" style="485" customWidth="1"/>
    <col min="9732" max="9732" width="19.7109375" style="485" customWidth="1"/>
    <col min="9733" max="9733" width="13.5703125" style="485" customWidth="1"/>
    <col min="9734" max="9735" width="14.7109375" style="485" customWidth="1"/>
    <col min="9736" max="9736" width="36.140625" style="485" customWidth="1"/>
    <col min="9737" max="9737" width="29.42578125" style="485" customWidth="1"/>
    <col min="9738" max="9738" width="16" style="485" customWidth="1"/>
    <col min="9739" max="9739" width="38.28515625" style="485" customWidth="1"/>
    <col min="9740" max="9740" width="12" style="485" customWidth="1"/>
    <col min="9741" max="9741" width="38.140625" style="485" customWidth="1"/>
    <col min="9742" max="9742" width="17.85546875" style="485" bestFit="1" customWidth="1"/>
    <col min="9743" max="9743" width="24.7109375" style="485" customWidth="1"/>
    <col min="9744" max="9744" width="36.42578125" style="485" customWidth="1"/>
    <col min="9745" max="9745" width="46.7109375" style="485" customWidth="1"/>
    <col min="9746" max="9746" width="43.7109375" style="485" customWidth="1"/>
    <col min="9747" max="9747" width="25.42578125" style="485" customWidth="1"/>
    <col min="9748" max="9748" width="12.42578125" style="485" customWidth="1"/>
    <col min="9749" max="9749" width="16.42578125" style="485" customWidth="1"/>
    <col min="9750" max="9750" width="13.42578125" style="485" customWidth="1"/>
    <col min="9751" max="9751" width="8.5703125" style="485" customWidth="1"/>
    <col min="9752" max="9755" width="11.42578125" style="485" customWidth="1"/>
    <col min="9756" max="9756" width="12.7109375" style="485" customWidth="1"/>
    <col min="9757" max="9757" width="11.85546875" style="485" customWidth="1"/>
    <col min="9758" max="9758" width="7.85546875" style="485" customWidth="1"/>
    <col min="9759" max="9759" width="7.5703125" style="485" customWidth="1"/>
    <col min="9760" max="9760" width="8.85546875" style="485" customWidth="1"/>
    <col min="9761" max="9761" width="8.140625" style="485" customWidth="1"/>
    <col min="9762" max="9762" width="7.85546875" style="485" customWidth="1"/>
    <col min="9763" max="9763" width="8.5703125" style="485" customWidth="1"/>
    <col min="9764" max="9764" width="8.28515625" style="485" customWidth="1"/>
    <col min="9765" max="9765" width="11.42578125" style="485" customWidth="1"/>
    <col min="9766" max="9766" width="18" style="485" customWidth="1"/>
    <col min="9767" max="9767" width="21.42578125" style="485" customWidth="1"/>
    <col min="9768" max="9768" width="27.85546875" style="485" customWidth="1"/>
    <col min="9769" max="9984" width="11.42578125" style="485"/>
    <col min="9985" max="9985" width="13.5703125" style="485" customWidth="1"/>
    <col min="9986" max="9986" width="19" style="485" customWidth="1"/>
    <col min="9987" max="9987" width="13.5703125" style="485" customWidth="1"/>
    <col min="9988" max="9988" width="19.7109375" style="485" customWidth="1"/>
    <col min="9989" max="9989" width="13.5703125" style="485" customWidth="1"/>
    <col min="9990" max="9991" width="14.7109375" style="485" customWidth="1"/>
    <col min="9992" max="9992" width="36.140625" style="485" customWidth="1"/>
    <col min="9993" max="9993" width="29.42578125" style="485" customWidth="1"/>
    <col min="9994" max="9994" width="16" style="485" customWidth="1"/>
    <col min="9995" max="9995" width="38.28515625" style="485" customWidth="1"/>
    <col min="9996" max="9996" width="12" style="485" customWidth="1"/>
    <col min="9997" max="9997" width="38.140625" style="485" customWidth="1"/>
    <col min="9998" max="9998" width="17.85546875" style="485" bestFit="1" customWidth="1"/>
    <col min="9999" max="9999" width="24.7109375" style="485" customWidth="1"/>
    <col min="10000" max="10000" width="36.42578125" style="485" customWidth="1"/>
    <col min="10001" max="10001" width="46.7109375" style="485" customWidth="1"/>
    <col min="10002" max="10002" width="43.7109375" style="485" customWidth="1"/>
    <col min="10003" max="10003" width="25.42578125" style="485" customWidth="1"/>
    <col min="10004" max="10004" width="12.42578125" style="485" customWidth="1"/>
    <col min="10005" max="10005" width="16.42578125" style="485" customWidth="1"/>
    <col min="10006" max="10006" width="13.42578125" style="485" customWidth="1"/>
    <col min="10007" max="10007" width="8.5703125" style="485" customWidth="1"/>
    <col min="10008" max="10011" width="11.42578125" style="485" customWidth="1"/>
    <col min="10012" max="10012" width="12.7109375" style="485" customWidth="1"/>
    <col min="10013" max="10013" width="11.85546875" style="485" customWidth="1"/>
    <col min="10014" max="10014" width="7.85546875" style="485" customWidth="1"/>
    <col min="10015" max="10015" width="7.5703125" style="485" customWidth="1"/>
    <col min="10016" max="10016" width="8.85546875" style="485" customWidth="1"/>
    <col min="10017" max="10017" width="8.140625" style="485" customWidth="1"/>
    <col min="10018" max="10018" width="7.85546875" style="485" customWidth="1"/>
    <col min="10019" max="10019" width="8.5703125" style="485" customWidth="1"/>
    <col min="10020" max="10020" width="8.28515625" style="485" customWidth="1"/>
    <col min="10021" max="10021" width="11.42578125" style="485" customWidth="1"/>
    <col min="10022" max="10022" width="18" style="485" customWidth="1"/>
    <col min="10023" max="10023" width="21.42578125" style="485" customWidth="1"/>
    <col min="10024" max="10024" width="27.85546875" style="485" customWidth="1"/>
    <col min="10025" max="10240" width="11.42578125" style="485"/>
    <col min="10241" max="10241" width="13.5703125" style="485" customWidth="1"/>
    <col min="10242" max="10242" width="19" style="485" customWidth="1"/>
    <col min="10243" max="10243" width="13.5703125" style="485" customWidth="1"/>
    <col min="10244" max="10244" width="19.7109375" style="485" customWidth="1"/>
    <col min="10245" max="10245" width="13.5703125" style="485" customWidth="1"/>
    <col min="10246" max="10247" width="14.7109375" style="485" customWidth="1"/>
    <col min="10248" max="10248" width="36.140625" style="485" customWidth="1"/>
    <col min="10249" max="10249" width="29.42578125" style="485" customWidth="1"/>
    <col min="10250" max="10250" width="16" style="485" customWidth="1"/>
    <col min="10251" max="10251" width="38.28515625" style="485" customWidth="1"/>
    <col min="10252" max="10252" width="12" style="485" customWidth="1"/>
    <col min="10253" max="10253" width="38.140625" style="485" customWidth="1"/>
    <col min="10254" max="10254" width="17.85546875" style="485" bestFit="1" customWidth="1"/>
    <col min="10255" max="10255" width="24.7109375" style="485" customWidth="1"/>
    <col min="10256" max="10256" width="36.42578125" style="485" customWidth="1"/>
    <col min="10257" max="10257" width="46.7109375" style="485" customWidth="1"/>
    <col min="10258" max="10258" width="43.7109375" style="485" customWidth="1"/>
    <col min="10259" max="10259" width="25.42578125" style="485" customWidth="1"/>
    <col min="10260" max="10260" width="12.42578125" style="485" customWidth="1"/>
    <col min="10261" max="10261" width="16.42578125" style="485" customWidth="1"/>
    <col min="10262" max="10262" width="13.42578125" style="485" customWidth="1"/>
    <col min="10263" max="10263" width="8.5703125" style="485" customWidth="1"/>
    <col min="10264" max="10267" width="11.42578125" style="485" customWidth="1"/>
    <col min="10268" max="10268" width="12.7109375" style="485" customWidth="1"/>
    <col min="10269" max="10269" width="11.85546875" style="485" customWidth="1"/>
    <col min="10270" max="10270" width="7.85546875" style="485" customWidth="1"/>
    <col min="10271" max="10271" width="7.5703125" style="485" customWidth="1"/>
    <col min="10272" max="10272" width="8.85546875" style="485" customWidth="1"/>
    <col min="10273" max="10273" width="8.140625" style="485" customWidth="1"/>
    <col min="10274" max="10274" width="7.85546875" style="485" customWidth="1"/>
    <col min="10275" max="10275" width="8.5703125" style="485" customWidth="1"/>
    <col min="10276" max="10276" width="8.28515625" style="485" customWidth="1"/>
    <col min="10277" max="10277" width="11.42578125" style="485" customWidth="1"/>
    <col min="10278" max="10278" width="18" style="485" customWidth="1"/>
    <col min="10279" max="10279" width="21.42578125" style="485" customWidth="1"/>
    <col min="10280" max="10280" width="27.85546875" style="485" customWidth="1"/>
    <col min="10281" max="10496" width="11.42578125" style="485"/>
    <col min="10497" max="10497" width="13.5703125" style="485" customWidth="1"/>
    <col min="10498" max="10498" width="19" style="485" customWidth="1"/>
    <col min="10499" max="10499" width="13.5703125" style="485" customWidth="1"/>
    <col min="10500" max="10500" width="19.7109375" style="485" customWidth="1"/>
    <col min="10501" max="10501" width="13.5703125" style="485" customWidth="1"/>
    <col min="10502" max="10503" width="14.7109375" style="485" customWidth="1"/>
    <col min="10504" max="10504" width="36.140625" style="485" customWidth="1"/>
    <col min="10505" max="10505" width="29.42578125" style="485" customWidth="1"/>
    <col min="10506" max="10506" width="16" style="485" customWidth="1"/>
    <col min="10507" max="10507" width="38.28515625" style="485" customWidth="1"/>
    <col min="10508" max="10508" width="12" style="485" customWidth="1"/>
    <col min="10509" max="10509" width="38.140625" style="485" customWidth="1"/>
    <col min="10510" max="10510" width="17.85546875" style="485" bestFit="1" customWidth="1"/>
    <col min="10511" max="10511" width="24.7109375" style="485" customWidth="1"/>
    <col min="10512" max="10512" width="36.42578125" style="485" customWidth="1"/>
    <col min="10513" max="10513" width="46.7109375" style="485" customWidth="1"/>
    <col min="10514" max="10514" width="43.7109375" style="485" customWidth="1"/>
    <col min="10515" max="10515" width="25.42578125" style="485" customWidth="1"/>
    <col min="10516" max="10516" width="12.42578125" style="485" customWidth="1"/>
    <col min="10517" max="10517" width="16.42578125" style="485" customWidth="1"/>
    <col min="10518" max="10518" width="13.42578125" style="485" customWidth="1"/>
    <col min="10519" max="10519" width="8.5703125" style="485" customWidth="1"/>
    <col min="10520" max="10523" width="11.42578125" style="485" customWidth="1"/>
    <col min="10524" max="10524" width="12.7109375" style="485" customWidth="1"/>
    <col min="10525" max="10525" width="11.85546875" style="485" customWidth="1"/>
    <col min="10526" max="10526" width="7.85546875" style="485" customWidth="1"/>
    <col min="10527" max="10527" width="7.5703125" style="485" customWidth="1"/>
    <col min="10528" max="10528" width="8.85546875" style="485" customWidth="1"/>
    <col min="10529" max="10529" width="8.140625" style="485" customWidth="1"/>
    <col min="10530" max="10530" width="7.85546875" style="485" customWidth="1"/>
    <col min="10531" max="10531" width="8.5703125" style="485" customWidth="1"/>
    <col min="10532" max="10532" width="8.28515625" style="485" customWidth="1"/>
    <col min="10533" max="10533" width="11.42578125" style="485" customWidth="1"/>
    <col min="10534" max="10534" width="18" style="485" customWidth="1"/>
    <col min="10535" max="10535" width="21.42578125" style="485" customWidth="1"/>
    <col min="10536" max="10536" width="27.85546875" style="485" customWidth="1"/>
    <col min="10537" max="10752" width="11.42578125" style="485"/>
    <col min="10753" max="10753" width="13.5703125" style="485" customWidth="1"/>
    <col min="10754" max="10754" width="19" style="485" customWidth="1"/>
    <col min="10755" max="10755" width="13.5703125" style="485" customWidth="1"/>
    <col min="10756" max="10756" width="19.7109375" style="485" customWidth="1"/>
    <col min="10757" max="10757" width="13.5703125" style="485" customWidth="1"/>
    <col min="10758" max="10759" width="14.7109375" style="485" customWidth="1"/>
    <col min="10760" max="10760" width="36.140625" style="485" customWidth="1"/>
    <col min="10761" max="10761" width="29.42578125" style="485" customWidth="1"/>
    <col min="10762" max="10762" width="16" style="485" customWidth="1"/>
    <col min="10763" max="10763" width="38.28515625" style="485" customWidth="1"/>
    <col min="10764" max="10764" width="12" style="485" customWidth="1"/>
    <col min="10765" max="10765" width="38.140625" style="485" customWidth="1"/>
    <col min="10766" max="10766" width="17.85546875" style="485" bestFit="1" customWidth="1"/>
    <col min="10767" max="10767" width="24.7109375" style="485" customWidth="1"/>
    <col min="10768" max="10768" width="36.42578125" style="485" customWidth="1"/>
    <col min="10769" max="10769" width="46.7109375" style="485" customWidth="1"/>
    <col min="10770" max="10770" width="43.7109375" style="485" customWidth="1"/>
    <col min="10771" max="10771" width="25.42578125" style="485" customWidth="1"/>
    <col min="10772" max="10772" width="12.42578125" style="485" customWidth="1"/>
    <col min="10773" max="10773" width="16.42578125" style="485" customWidth="1"/>
    <col min="10774" max="10774" width="13.42578125" style="485" customWidth="1"/>
    <col min="10775" max="10775" width="8.5703125" style="485" customWidth="1"/>
    <col min="10776" max="10779" width="11.42578125" style="485" customWidth="1"/>
    <col min="10780" max="10780" width="12.7109375" style="485" customWidth="1"/>
    <col min="10781" max="10781" width="11.85546875" style="485" customWidth="1"/>
    <col min="10782" max="10782" width="7.85546875" style="485" customWidth="1"/>
    <col min="10783" max="10783" width="7.5703125" style="485" customWidth="1"/>
    <col min="10784" max="10784" width="8.85546875" style="485" customWidth="1"/>
    <col min="10785" max="10785" width="8.140625" style="485" customWidth="1"/>
    <col min="10786" max="10786" width="7.85546875" style="485" customWidth="1"/>
    <col min="10787" max="10787" width="8.5703125" style="485" customWidth="1"/>
    <col min="10788" max="10788" width="8.28515625" style="485" customWidth="1"/>
    <col min="10789" max="10789" width="11.42578125" style="485" customWidth="1"/>
    <col min="10790" max="10790" width="18" style="485" customWidth="1"/>
    <col min="10791" max="10791" width="21.42578125" style="485" customWidth="1"/>
    <col min="10792" max="10792" width="27.85546875" style="485" customWidth="1"/>
    <col min="10793" max="11008" width="11.42578125" style="485"/>
    <col min="11009" max="11009" width="13.5703125" style="485" customWidth="1"/>
    <col min="11010" max="11010" width="19" style="485" customWidth="1"/>
    <col min="11011" max="11011" width="13.5703125" style="485" customWidth="1"/>
    <col min="11012" max="11012" width="19.7109375" style="485" customWidth="1"/>
    <col min="11013" max="11013" width="13.5703125" style="485" customWidth="1"/>
    <col min="11014" max="11015" width="14.7109375" style="485" customWidth="1"/>
    <col min="11016" max="11016" width="36.140625" style="485" customWidth="1"/>
    <col min="11017" max="11017" width="29.42578125" style="485" customWidth="1"/>
    <col min="11018" max="11018" width="16" style="485" customWidth="1"/>
    <col min="11019" max="11019" width="38.28515625" style="485" customWidth="1"/>
    <col min="11020" max="11020" width="12" style="485" customWidth="1"/>
    <col min="11021" max="11021" width="38.140625" style="485" customWidth="1"/>
    <col min="11022" max="11022" width="17.85546875" style="485" bestFit="1" customWidth="1"/>
    <col min="11023" max="11023" width="24.7109375" style="485" customWidth="1"/>
    <col min="11024" max="11024" width="36.42578125" style="485" customWidth="1"/>
    <col min="11025" max="11025" width="46.7109375" style="485" customWidth="1"/>
    <col min="11026" max="11026" width="43.7109375" style="485" customWidth="1"/>
    <col min="11027" max="11027" width="25.42578125" style="485" customWidth="1"/>
    <col min="11028" max="11028" width="12.42578125" style="485" customWidth="1"/>
    <col min="11029" max="11029" width="16.42578125" style="485" customWidth="1"/>
    <col min="11030" max="11030" width="13.42578125" style="485" customWidth="1"/>
    <col min="11031" max="11031" width="8.5703125" style="485" customWidth="1"/>
    <col min="11032" max="11035" width="11.42578125" style="485" customWidth="1"/>
    <col min="11036" max="11036" width="12.7109375" style="485" customWidth="1"/>
    <col min="11037" max="11037" width="11.85546875" style="485" customWidth="1"/>
    <col min="11038" max="11038" width="7.85546875" style="485" customWidth="1"/>
    <col min="11039" max="11039" width="7.5703125" style="485" customWidth="1"/>
    <col min="11040" max="11040" width="8.85546875" style="485" customWidth="1"/>
    <col min="11041" max="11041" width="8.140625" style="485" customWidth="1"/>
    <col min="11042" max="11042" width="7.85546875" style="485" customWidth="1"/>
    <col min="11043" max="11043" width="8.5703125" style="485" customWidth="1"/>
    <col min="11044" max="11044" width="8.28515625" style="485" customWidth="1"/>
    <col min="11045" max="11045" width="11.42578125" style="485" customWidth="1"/>
    <col min="11046" max="11046" width="18" style="485" customWidth="1"/>
    <col min="11047" max="11047" width="21.42578125" style="485" customWidth="1"/>
    <col min="11048" max="11048" width="27.85546875" style="485" customWidth="1"/>
    <col min="11049" max="11264" width="11.42578125" style="485"/>
    <col min="11265" max="11265" width="13.5703125" style="485" customWidth="1"/>
    <col min="11266" max="11266" width="19" style="485" customWidth="1"/>
    <col min="11267" max="11267" width="13.5703125" style="485" customWidth="1"/>
    <col min="11268" max="11268" width="19.7109375" style="485" customWidth="1"/>
    <col min="11269" max="11269" width="13.5703125" style="485" customWidth="1"/>
    <col min="11270" max="11271" width="14.7109375" style="485" customWidth="1"/>
    <col min="11272" max="11272" width="36.140625" style="485" customWidth="1"/>
    <col min="11273" max="11273" width="29.42578125" style="485" customWidth="1"/>
    <col min="11274" max="11274" width="16" style="485" customWidth="1"/>
    <col min="11275" max="11275" width="38.28515625" style="485" customWidth="1"/>
    <col min="11276" max="11276" width="12" style="485" customWidth="1"/>
    <col min="11277" max="11277" width="38.140625" style="485" customWidth="1"/>
    <col min="11278" max="11278" width="17.85546875" style="485" bestFit="1" customWidth="1"/>
    <col min="11279" max="11279" width="24.7109375" style="485" customWidth="1"/>
    <col min="11280" max="11280" width="36.42578125" style="485" customWidth="1"/>
    <col min="11281" max="11281" width="46.7109375" style="485" customWidth="1"/>
    <col min="11282" max="11282" width="43.7109375" style="485" customWidth="1"/>
    <col min="11283" max="11283" width="25.42578125" style="485" customWidth="1"/>
    <col min="11284" max="11284" width="12.42578125" style="485" customWidth="1"/>
    <col min="11285" max="11285" width="16.42578125" style="485" customWidth="1"/>
    <col min="11286" max="11286" width="13.42578125" style="485" customWidth="1"/>
    <col min="11287" max="11287" width="8.5703125" style="485" customWidth="1"/>
    <col min="11288" max="11291" width="11.42578125" style="485" customWidth="1"/>
    <col min="11292" max="11292" width="12.7109375" style="485" customWidth="1"/>
    <col min="11293" max="11293" width="11.85546875" style="485" customWidth="1"/>
    <col min="11294" max="11294" width="7.85546875" style="485" customWidth="1"/>
    <col min="11295" max="11295" width="7.5703125" style="485" customWidth="1"/>
    <col min="11296" max="11296" width="8.85546875" style="485" customWidth="1"/>
    <col min="11297" max="11297" width="8.140625" style="485" customWidth="1"/>
    <col min="11298" max="11298" width="7.85546875" style="485" customWidth="1"/>
    <col min="11299" max="11299" width="8.5703125" style="485" customWidth="1"/>
    <col min="11300" max="11300" width="8.28515625" style="485" customWidth="1"/>
    <col min="11301" max="11301" width="11.42578125" style="485" customWidth="1"/>
    <col min="11302" max="11302" width="18" style="485" customWidth="1"/>
    <col min="11303" max="11303" width="21.42578125" style="485" customWidth="1"/>
    <col min="11304" max="11304" width="27.85546875" style="485" customWidth="1"/>
    <col min="11305" max="11520" width="11.42578125" style="485"/>
    <col min="11521" max="11521" width="13.5703125" style="485" customWidth="1"/>
    <col min="11522" max="11522" width="19" style="485" customWidth="1"/>
    <col min="11523" max="11523" width="13.5703125" style="485" customWidth="1"/>
    <col min="11524" max="11524" width="19.7109375" style="485" customWidth="1"/>
    <col min="11525" max="11525" width="13.5703125" style="485" customWidth="1"/>
    <col min="11526" max="11527" width="14.7109375" style="485" customWidth="1"/>
    <col min="11528" max="11528" width="36.140625" style="485" customWidth="1"/>
    <col min="11529" max="11529" width="29.42578125" style="485" customWidth="1"/>
    <col min="11530" max="11530" width="16" style="485" customWidth="1"/>
    <col min="11531" max="11531" width="38.28515625" style="485" customWidth="1"/>
    <col min="11532" max="11532" width="12" style="485" customWidth="1"/>
    <col min="11533" max="11533" width="38.140625" style="485" customWidth="1"/>
    <col min="11534" max="11534" width="17.85546875" style="485" bestFit="1" customWidth="1"/>
    <col min="11535" max="11535" width="24.7109375" style="485" customWidth="1"/>
    <col min="11536" max="11536" width="36.42578125" style="485" customWidth="1"/>
    <col min="11537" max="11537" width="46.7109375" style="485" customWidth="1"/>
    <col min="11538" max="11538" width="43.7109375" style="485" customWidth="1"/>
    <col min="11539" max="11539" width="25.42578125" style="485" customWidth="1"/>
    <col min="11540" max="11540" width="12.42578125" style="485" customWidth="1"/>
    <col min="11541" max="11541" width="16.42578125" style="485" customWidth="1"/>
    <col min="11542" max="11542" width="13.42578125" style="485" customWidth="1"/>
    <col min="11543" max="11543" width="8.5703125" style="485" customWidth="1"/>
    <col min="11544" max="11547" width="11.42578125" style="485" customWidth="1"/>
    <col min="11548" max="11548" width="12.7109375" style="485" customWidth="1"/>
    <col min="11549" max="11549" width="11.85546875" style="485" customWidth="1"/>
    <col min="11550" max="11550" width="7.85546875" style="485" customWidth="1"/>
    <col min="11551" max="11551" width="7.5703125" style="485" customWidth="1"/>
    <col min="11552" max="11552" width="8.85546875" style="485" customWidth="1"/>
    <col min="11553" max="11553" width="8.140625" style="485" customWidth="1"/>
    <col min="11554" max="11554" width="7.85546875" style="485" customWidth="1"/>
    <col min="11555" max="11555" width="8.5703125" style="485" customWidth="1"/>
    <col min="11556" max="11556" width="8.28515625" style="485" customWidth="1"/>
    <col min="11557" max="11557" width="11.42578125" style="485" customWidth="1"/>
    <col min="11558" max="11558" width="18" style="485" customWidth="1"/>
    <col min="11559" max="11559" width="21.42578125" style="485" customWidth="1"/>
    <col min="11560" max="11560" width="27.85546875" style="485" customWidth="1"/>
    <col min="11561" max="11776" width="11.42578125" style="485"/>
    <col min="11777" max="11777" width="13.5703125" style="485" customWidth="1"/>
    <col min="11778" max="11778" width="19" style="485" customWidth="1"/>
    <col min="11779" max="11779" width="13.5703125" style="485" customWidth="1"/>
    <col min="11780" max="11780" width="19.7109375" style="485" customWidth="1"/>
    <col min="11781" max="11781" width="13.5703125" style="485" customWidth="1"/>
    <col min="11782" max="11783" width="14.7109375" style="485" customWidth="1"/>
    <col min="11784" max="11784" width="36.140625" style="485" customWidth="1"/>
    <col min="11785" max="11785" width="29.42578125" style="485" customWidth="1"/>
    <col min="11786" max="11786" width="16" style="485" customWidth="1"/>
    <col min="11787" max="11787" width="38.28515625" style="485" customWidth="1"/>
    <col min="11788" max="11788" width="12" style="485" customWidth="1"/>
    <col min="11789" max="11789" width="38.140625" style="485" customWidth="1"/>
    <col min="11790" max="11790" width="17.85546875" style="485" bestFit="1" customWidth="1"/>
    <col min="11791" max="11791" width="24.7109375" style="485" customWidth="1"/>
    <col min="11792" max="11792" width="36.42578125" style="485" customWidth="1"/>
    <col min="11793" max="11793" width="46.7109375" style="485" customWidth="1"/>
    <col min="11794" max="11794" width="43.7109375" style="485" customWidth="1"/>
    <col min="11795" max="11795" width="25.42578125" style="485" customWidth="1"/>
    <col min="11796" max="11796" width="12.42578125" style="485" customWidth="1"/>
    <col min="11797" max="11797" width="16.42578125" style="485" customWidth="1"/>
    <col min="11798" max="11798" width="13.42578125" style="485" customWidth="1"/>
    <col min="11799" max="11799" width="8.5703125" style="485" customWidth="1"/>
    <col min="11800" max="11803" width="11.42578125" style="485" customWidth="1"/>
    <col min="11804" max="11804" width="12.7109375" style="485" customWidth="1"/>
    <col min="11805" max="11805" width="11.85546875" style="485" customWidth="1"/>
    <col min="11806" max="11806" width="7.85546875" style="485" customWidth="1"/>
    <col min="11807" max="11807" width="7.5703125" style="485" customWidth="1"/>
    <col min="11808" max="11808" width="8.85546875" style="485" customWidth="1"/>
    <col min="11809" max="11809" width="8.140625" style="485" customWidth="1"/>
    <col min="11810" max="11810" width="7.85546875" style="485" customWidth="1"/>
    <col min="11811" max="11811" width="8.5703125" style="485" customWidth="1"/>
    <col min="11812" max="11812" width="8.28515625" style="485" customWidth="1"/>
    <col min="11813" max="11813" width="11.42578125" style="485" customWidth="1"/>
    <col min="11814" max="11814" width="18" style="485" customWidth="1"/>
    <col min="11815" max="11815" width="21.42578125" style="485" customWidth="1"/>
    <col min="11816" max="11816" width="27.85546875" style="485" customWidth="1"/>
    <col min="11817" max="12032" width="11.42578125" style="485"/>
    <col min="12033" max="12033" width="13.5703125" style="485" customWidth="1"/>
    <col min="12034" max="12034" width="19" style="485" customWidth="1"/>
    <col min="12035" max="12035" width="13.5703125" style="485" customWidth="1"/>
    <col min="12036" max="12036" width="19.7109375" style="485" customWidth="1"/>
    <col min="12037" max="12037" width="13.5703125" style="485" customWidth="1"/>
    <col min="12038" max="12039" width="14.7109375" style="485" customWidth="1"/>
    <col min="12040" max="12040" width="36.140625" style="485" customWidth="1"/>
    <col min="12041" max="12041" width="29.42578125" style="485" customWidth="1"/>
    <col min="12042" max="12042" width="16" style="485" customWidth="1"/>
    <col min="12043" max="12043" width="38.28515625" style="485" customWidth="1"/>
    <col min="12044" max="12044" width="12" style="485" customWidth="1"/>
    <col min="12045" max="12045" width="38.140625" style="485" customWidth="1"/>
    <col min="12046" max="12046" width="17.85546875" style="485" bestFit="1" customWidth="1"/>
    <col min="12047" max="12047" width="24.7109375" style="485" customWidth="1"/>
    <col min="12048" max="12048" width="36.42578125" style="485" customWidth="1"/>
    <col min="12049" max="12049" width="46.7109375" style="485" customWidth="1"/>
    <col min="12050" max="12050" width="43.7109375" style="485" customWidth="1"/>
    <col min="12051" max="12051" width="25.42578125" style="485" customWidth="1"/>
    <col min="12052" max="12052" width="12.42578125" style="485" customWidth="1"/>
    <col min="12053" max="12053" width="16.42578125" style="485" customWidth="1"/>
    <col min="12054" max="12054" width="13.42578125" style="485" customWidth="1"/>
    <col min="12055" max="12055" width="8.5703125" style="485" customWidth="1"/>
    <col min="12056" max="12059" width="11.42578125" style="485" customWidth="1"/>
    <col min="12060" max="12060" width="12.7109375" style="485" customWidth="1"/>
    <col min="12061" max="12061" width="11.85546875" style="485" customWidth="1"/>
    <col min="12062" max="12062" width="7.85546875" style="485" customWidth="1"/>
    <col min="12063" max="12063" width="7.5703125" style="485" customWidth="1"/>
    <col min="12064" max="12064" width="8.85546875" style="485" customWidth="1"/>
    <col min="12065" max="12065" width="8.140625" style="485" customWidth="1"/>
    <col min="12066" max="12066" width="7.85546875" style="485" customWidth="1"/>
    <col min="12067" max="12067" width="8.5703125" style="485" customWidth="1"/>
    <col min="12068" max="12068" width="8.28515625" style="485" customWidth="1"/>
    <col min="12069" max="12069" width="11.42578125" style="485" customWidth="1"/>
    <col min="12070" max="12070" width="18" style="485" customWidth="1"/>
    <col min="12071" max="12071" width="21.42578125" style="485" customWidth="1"/>
    <col min="12072" max="12072" width="27.85546875" style="485" customWidth="1"/>
    <col min="12073" max="12288" width="11.42578125" style="485"/>
    <col min="12289" max="12289" width="13.5703125" style="485" customWidth="1"/>
    <col min="12290" max="12290" width="19" style="485" customWidth="1"/>
    <col min="12291" max="12291" width="13.5703125" style="485" customWidth="1"/>
    <col min="12292" max="12292" width="19.7109375" style="485" customWidth="1"/>
    <col min="12293" max="12293" width="13.5703125" style="485" customWidth="1"/>
    <col min="12294" max="12295" width="14.7109375" style="485" customWidth="1"/>
    <col min="12296" max="12296" width="36.140625" style="485" customWidth="1"/>
    <col min="12297" max="12297" width="29.42578125" style="485" customWidth="1"/>
    <col min="12298" max="12298" width="16" style="485" customWidth="1"/>
    <col min="12299" max="12299" width="38.28515625" style="485" customWidth="1"/>
    <col min="12300" max="12300" width="12" style="485" customWidth="1"/>
    <col min="12301" max="12301" width="38.140625" style="485" customWidth="1"/>
    <col min="12302" max="12302" width="17.85546875" style="485" bestFit="1" customWidth="1"/>
    <col min="12303" max="12303" width="24.7109375" style="485" customWidth="1"/>
    <col min="12304" max="12304" width="36.42578125" style="485" customWidth="1"/>
    <col min="12305" max="12305" width="46.7109375" style="485" customWidth="1"/>
    <col min="12306" max="12306" width="43.7109375" style="485" customWidth="1"/>
    <col min="12307" max="12307" width="25.42578125" style="485" customWidth="1"/>
    <col min="12308" max="12308" width="12.42578125" style="485" customWidth="1"/>
    <col min="12309" max="12309" width="16.42578125" style="485" customWidth="1"/>
    <col min="12310" max="12310" width="13.42578125" style="485" customWidth="1"/>
    <col min="12311" max="12311" width="8.5703125" style="485" customWidth="1"/>
    <col min="12312" max="12315" width="11.42578125" style="485" customWidth="1"/>
    <col min="12316" max="12316" width="12.7109375" style="485" customWidth="1"/>
    <col min="12317" max="12317" width="11.85546875" style="485" customWidth="1"/>
    <col min="12318" max="12318" width="7.85546875" style="485" customWidth="1"/>
    <col min="12319" max="12319" width="7.5703125" style="485" customWidth="1"/>
    <col min="12320" max="12320" width="8.85546875" style="485" customWidth="1"/>
    <col min="12321" max="12321" width="8.140625" style="485" customWidth="1"/>
    <col min="12322" max="12322" width="7.85546875" style="485" customWidth="1"/>
    <col min="12323" max="12323" width="8.5703125" style="485" customWidth="1"/>
    <col min="12324" max="12324" width="8.28515625" style="485" customWidth="1"/>
    <col min="12325" max="12325" width="11.42578125" style="485" customWidth="1"/>
    <col min="12326" max="12326" width="18" style="485" customWidth="1"/>
    <col min="12327" max="12327" width="21.42578125" style="485" customWidth="1"/>
    <col min="12328" max="12328" width="27.85546875" style="485" customWidth="1"/>
    <col min="12329" max="12544" width="11.42578125" style="485"/>
    <col min="12545" max="12545" width="13.5703125" style="485" customWidth="1"/>
    <col min="12546" max="12546" width="19" style="485" customWidth="1"/>
    <col min="12547" max="12547" width="13.5703125" style="485" customWidth="1"/>
    <col min="12548" max="12548" width="19.7109375" style="485" customWidth="1"/>
    <col min="12549" max="12549" width="13.5703125" style="485" customWidth="1"/>
    <col min="12550" max="12551" width="14.7109375" style="485" customWidth="1"/>
    <col min="12552" max="12552" width="36.140625" style="485" customWidth="1"/>
    <col min="12553" max="12553" width="29.42578125" style="485" customWidth="1"/>
    <col min="12554" max="12554" width="16" style="485" customWidth="1"/>
    <col min="12555" max="12555" width="38.28515625" style="485" customWidth="1"/>
    <col min="12556" max="12556" width="12" style="485" customWidth="1"/>
    <col min="12557" max="12557" width="38.140625" style="485" customWidth="1"/>
    <col min="12558" max="12558" width="17.85546875" style="485" bestFit="1" customWidth="1"/>
    <col min="12559" max="12559" width="24.7109375" style="485" customWidth="1"/>
    <col min="12560" max="12560" width="36.42578125" style="485" customWidth="1"/>
    <col min="12561" max="12561" width="46.7109375" style="485" customWidth="1"/>
    <col min="12562" max="12562" width="43.7109375" style="485" customWidth="1"/>
    <col min="12563" max="12563" width="25.42578125" style="485" customWidth="1"/>
    <col min="12564" max="12564" width="12.42578125" style="485" customWidth="1"/>
    <col min="12565" max="12565" width="16.42578125" style="485" customWidth="1"/>
    <col min="12566" max="12566" width="13.42578125" style="485" customWidth="1"/>
    <col min="12567" max="12567" width="8.5703125" style="485" customWidth="1"/>
    <col min="12568" max="12571" width="11.42578125" style="485" customWidth="1"/>
    <col min="12572" max="12572" width="12.7109375" style="485" customWidth="1"/>
    <col min="12573" max="12573" width="11.85546875" style="485" customWidth="1"/>
    <col min="12574" max="12574" width="7.85546875" style="485" customWidth="1"/>
    <col min="12575" max="12575" width="7.5703125" style="485" customWidth="1"/>
    <col min="12576" max="12576" width="8.85546875" style="485" customWidth="1"/>
    <col min="12577" max="12577" width="8.140625" style="485" customWidth="1"/>
    <col min="12578" max="12578" width="7.85546875" style="485" customWidth="1"/>
    <col min="12579" max="12579" width="8.5703125" style="485" customWidth="1"/>
    <col min="12580" max="12580" width="8.28515625" style="485" customWidth="1"/>
    <col min="12581" max="12581" width="11.42578125" style="485" customWidth="1"/>
    <col min="12582" max="12582" width="18" style="485" customWidth="1"/>
    <col min="12583" max="12583" width="21.42578125" style="485" customWidth="1"/>
    <col min="12584" max="12584" width="27.85546875" style="485" customWidth="1"/>
    <col min="12585" max="12800" width="11.42578125" style="485"/>
    <col min="12801" max="12801" width="13.5703125" style="485" customWidth="1"/>
    <col min="12802" max="12802" width="19" style="485" customWidth="1"/>
    <col min="12803" max="12803" width="13.5703125" style="485" customWidth="1"/>
    <col min="12804" max="12804" width="19.7109375" style="485" customWidth="1"/>
    <col min="12805" max="12805" width="13.5703125" style="485" customWidth="1"/>
    <col min="12806" max="12807" width="14.7109375" style="485" customWidth="1"/>
    <col min="12808" max="12808" width="36.140625" style="485" customWidth="1"/>
    <col min="12809" max="12809" width="29.42578125" style="485" customWidth="1"/>
    <col min="12810" max="12810" width="16" style="485" customWidth="1"/>
    <col min="12811" max="12811" width="38.28515625" style="485" customWidth="1"/>
    <col min="12812" max="12812" width="12" style="485" customWidth="1"/>
    <col min="12813" max="12813" width="38.140625" style="485" customWidth="1"/>
    <col min="12814" max="12814" width="17.85546875" style="485" bestFit="1" customWidth="1"/>
    <col min="12815" max="12815" width="24.7109375" style="485" customWidth="1"/>
    <col min="12816" max="12816" width="36.42578125" style="485" customWidth="1"/>
    <col min="12817" max="12817" width="46.7109375" style="485" customWidth="1"/>
    <col min="12818" max="12818" width="43.7109375" style="485" customWidth="1"/>
    <col min="12819" max="12819" width="25.42578125" style="485" customWidth="1"/>
    <col min="12820" max="12820" width="12.42578125" style="485" customWidth="1"/>
    <col min="12821" max="12821" width="16.42578125" style="485" customWidth="1"/>
    <col min="12822" max="12822" width="13.42578125" style="485" customWidth="1"/>
    <col min="12823" max="12823" width="8.5703125" style="485" customWidth="1"/>
    <col min="12824" max="12827" width="11.42578125" style="485" customWidth="1"/>
    <col min="12828" max="12828" width="12.7109375" style="485" customWidth="1"/>
    <col min="12829" max="12829" width="11.85546875" style="485" customWidth="1"/>
    <col min="12830" max="12830" width="7.85546875" style="485" customWidth="1"/>
    <col min="12831" max="12831" width="7.5703125" style="485" customWidth="1"/>
    <col min="12832" max="12832" width="8.85546875" style="485" customWidth="1"/>
    <col min="12833" max="12833" width="8.140625" style="485" customWidth="1"/>
    <col min="12834" max="12834" width="7.85546875" style="485" customWidth="1"/>
    <col min="12835" max="12835" width="8.5703125" style="485" customWidth="1"/>
    <col min="12836" max="12836" width="8.28515625" style="485" customWidth="1"/>
    <col min="12837" max="12837" width="11.42578125" style="485" customWidth="1"/>
    <col min="12838" max="12838" width="18" style="485" customWidth="1"/>
    <col min="12839" max="12839" width="21.42578125" style="485" customWidth="1"/>
    <col min="12840" max="12840" width="27.85546875" style="485" customWidth="1"/>
    <col min="12841" max="13056" width="11.42578125" style="485"/>
    <col min="13057" max="13057" width="13.5703125" style="485" customWidth="1"/>
    <col min="13058" max="13058" width="19" style="485" customWidth="1"/>
    <col min="13059" max="13059" width="13.5703125" style="485" customWidth="1"/>
    <col min="13060" max="13060" width="19.7109375" style="485" customWidth="1"/>
    <col min="13061" max="13061" width="13.5703125" style="485" customWidth="1"/>
    <col min="13062" max="13063" width="14.7109375" style="485" customWidth="1"/>
    <col min="13064" max="13064" width="36.140625" style="485" customWidth="1"/>
    <col min="13065" max="13065" width="29.42578125" style="485" customWidth="1"/>
    <col min="13066" max="13066" width="16" style="485" customWidth="1"/>
    <col min="13067" max="13067" width="38.28515625" style="485" customWidth="1"/>
    <col min="13068" max="13068" width="12" style="485" customWidth="1"/>
    <col min="13069" max="13069" width="38.140625" style="485" customWidth="1"/>
    <col min="13070" max="13070" width="17.85546875" style="485" bestFit="1" customWidth="1"/>
    <col min="13071" max="13071" width="24.7109375" style="485" customWidth="1"/>
    <col min="13072" max="13072" width="36.42578125" style="485" customWidth="1"/>
    <col min="13073" max="13073" width="46.7109375" style="485" customWidth="1"/>
    <col min="13074" max="13074" width="43.7109375" style="485" customWidth="1"/>
    <col min="13075" max="13075" width="25.42578125" style="485" customWidth="1"/>
    <col min="13076" max="13076" width="12.42578125" style="485" customWidth="1"/>
    <col min="13077" max="13077" width="16.42578125" style="485" customWidth="1"/>
    <col min="13078" max="13078" width="13.42578125" style="485" customWidth="1"/>
    <col min="13079" max="13079" width="8.5703125" style="485" customWidth="1"/>
    <col min="13080" max="13083" width="11.42578125" style="485" customWidth="1"/>
    <col min="13084" max="13084" width="12.7109375" style="485" customWidth="1"/>
    <col min="13085" max="13085" width="11.85546875" style="485" customWidth="1"/>
    <col min="13086" max="13086" width="7.85546875" style="485" customWidth="1"/>
    <col min="13087" max="13087" width="7.5703125" style="485" customWidth="1"/>
    <col min="13088" max="13088" width="8.85546875" style="485" customWidth="1"/>
    <col min="13089" max="13089" width="8.140625" style="485" customWidth="1"/>
    <col min="13090" max="13090" width="7.85546875" style="485" customWidth="1"/>
    <col min="13091" max="13091" width="8.5703125" style="485" customWidth="1"/>
    <col min="13092" max="13092" width="8.28515625" style="485" customWidth="1"/>
    <col min="13093" max="13093" width="11.42578125" style="485" customWidth="1"/>
    <col min="13094" max="13094" width="18" style="485" customWidth="1"/>
    <col min="13095" max="13095" width="21.42578125" style="485" customWidth="1"/>
    <col min="13096" max="13096" width="27.85546875" style="485" customWidth="1"/>
    <col min="13097" max="13312" width="11.42578125" style="485"/>
    <col min="13313" max="13313" width="13.5703125" style="485" customWidth="1"/>
    <col min="13314" max="13314" width="19" style="485" customWidth="1"/>
    <col min="13315" max="13315" width="13.5703125" style="485" customWidth="1"/>
    <col min="13316" max="13316" width="19.7109375" style="485" customWidth="1"/>
    <col min="13317" max="13317" width="13.5703125" style="485" customWidth="1"/>
    <col min="13318" max="13319" width="14.7109375" style="485" customWidth="1"/>
    <col min="13320" max="13320" width="36.140625" style="485" customWidth="1"/>
    <col min="13321" max="13321" width="29.42578125" style="485" customWidth="1"/>
    <col min="13322" max="13322" width="16" style="485" customWidth="1"/>
    <col min="13323" max="13323" width="38.28515625" style="485" customWidth="1"/>
    <col min="13324" max="13324" width="12" style="485" customWidth="1"/>
    <col min="13325" max="13325" width="38.140625" style="485" customWidth="1"/>
    <col min="13326" max="13326" width="17.85546875" style="485" bestFit="1" customWidth="1"/>
    <col min="13327" max="13327" width="24.7109375" style="485" customWidth="1"/>
    <col min="13328" max="13328" width="36.42578125" style="485" customWidth="1"/>
    <col min="13329" max="13329" width="46.7109375" style="485" customWidth="1"/>
    <col min="13330" max="13330" width="43.7109375" style="485" customWidth="1"/>
    <col min="13331" max="13331" width="25.42578125" style="485" customWidth="1"/>
    <col min="13332" max="13332" width="12.42578125" style="485" customWidth="1"/>
    <col min="13333" max="13333" width="16.42578125" style="485" customWidth="1"/>
    <col min="13334" max="13334" width="13.42578125" style="485" customWidth="1"/>
    <col min="13335" max="13335" width="8.5703125" style="485" customWidth="1"/>
    <col min="13336" max="13339" width="11.42578125" style="485" customWidth="1"/>
    <col min="13340" max="13340" width="12.7109375" style="485" customWidth="1"/>
    <col min="13341" max="13341" width="11.85546875" style="485" customWidth="1"/>
    <col min="13342" max="13342" width="7.85546875" style="485" customWidth="1"/>
    <col min="13343" max="13343" width="7.5703125" style="485" customWidth="1"/>
    <col min="13344" max="13344" width="8.85546875" style="485" customWidth="1"/>
    <col min="13345" max="13345" width="8.140625" style="485" customWidth="1"/>
    <col min="13346" max="13346" width="7.85546875" style="485" customWidth="1"/>
    <col min="13347" max="13347" width="8.5703125" style="485" customWidth="1"/>
    <col min="13348" max="13348" width="8.28515625" style="485" customWidth="1"/>
    <col min="13349" max="13349" width="11.42578125" style="485" customWidth="1"/>
    <col min="13350" max="13350" width="18" style="485" customWidth="1"/>
    <col min="13351" max="13351" width="21.42578125" style="485" customWidth="1"/>
    <col min="13352" max="13352" width="27.85546875" style="485" customWidth="1"/>
    <col min="13353" max="13568" width="11.42578125" style="485"/>
    <col min="13569" max="13569" width="13.5703125" style="485" customWidth="1"/>
    <col min="13570" max="13570" width="19" style="485" customWidth="1"/>
    <col min="13571" max="13571" width="13.5703125" style="485" customWidth="1"/>
    <col min="13572" max="13572" width="19.7109375" style="485" customWidth="1"/>
    <col min="13573" max="13573" width="13.5703125" style="485" customWidth="1"/>
    <col min="13574" max="13575" width="14.7109375" style="485" customWidth="1"/>
    <col min="13576" max="13576" width="36.140625" style="485" customWidth="1"/>
    <col min="13577" max="13577" width="29.42578125" style="485" customWidth="1"/>
    <col min="13578" max="13578" width="16" style="485" customWidth="1"/>
    <col min="13579" max="13579" width="38.28515625" style="485" customWidth="1"/>
    <col min="13580" max="13580" width="12" style="485" customWidth="1"/>
    <col min="13581" max="13581" width="38.140625" style="485" customWidth="1"/>
    <col min="13582" max="13582" width="17.85546875" style="485" bestFit="1" customWidth="1"/>
    <col min="13583" max="13583" width="24.7109375" style="485" customWidth="1"/>
    <col min="13584" max="13584" width="36.42578125" style="485" customWidth="1"/>
    <col min="13585" max="13585" width="46.7109375" style="485" customWidth="1"/>
    <col min="13586" max="13586" width="43.7109375" style="485" customWidth="1"/>
    <col min="13587" max="13587" width="25.42578125" style="485" customWidth="1"/>
    <col min="13588" max="13588" width="12.42578125" style="485" customWidth="1"/>
    <col min="13589" max="13589" width="16.42578125" style="485" customWidth="1"/>
    <col min="13590" max="13590" width="13.42578125" style="485" customWidth="1"/>
    <col min="13591" max="13591" width="8.5703125" style="485" customWidth="1"/>
    <col min="13592" max="13595" width="11.42578125" style="485" customWidth="1"/>
    <col min="13596" max="13596" width="12.7109375" style="485" customWidth="1"/>
    <col min="13597" max="13597" width="11.85546875" style="485" customWidth="1"/>
    <col min="13598" max="13598" width="7.85546875" style="485" customWidth="1"/>
    <col min="13599" max="13599" width="7.5703125" style="485" customWidth="1"/>
    <col min="13600" max="13600" width="8.85546875" style="485" customWidth="1"/>
    <col min="13601" max="13601" width="8.140625" style="485" customWidth="1"/>
    <col min="13602" max="13602" width="7.85546875" style="485" customWidth="1"/>
    <col min="13603" max="13603" width="8.5703125" style="485" customWidth="1"/>
    <col min="13604" max="13604" width="8.28515625" style="485" customWidth="1"/>
    <col min="13605" max="13605" width="11.42578125" style="485" customWidth="1"/>
    <col min="13606" max="13606" width="18" style="485" customWidth="1"/>
    <col min="13607" max="13607" width="21.42578125" style="485" customWidth="1"/>
    <col min="13608" max="13608" width="27.85546875" style="485" customWidth="1"/>
    <col min="13609" max="13824" width="11.42578125" style="485"/>
    <col min="13825" max="13825" width="13.5703125" style="485" customWidth="1"/>
    <col min="13826" max="13826" width="19" style="485" customWidth="1"/>
    <col min="13827" max="13827" width="13.5703125" style="485" customWidth="1"/>
    <col min="13828" max="13828" width="19.7109375" style="485" customWidth="1"/>
    <col min="13829" max="13829" width="13.5703125" style="485" customWidth="1"/>
    <col min="13830" max="13831" width="14.7109375" style="485" customWidth="1"/>
    <col min="13832" max="13832" width="36.140625" style="485" customWidth="1"/>
    <col min="13833" max="13833" width="29.42578125" style="485" customWidth="1"/>
    <col min="13834" max="13834" width="16" style="485" customWidth="1"/>
    <col min="13835" max="13835" width="38.28515625" style="485" customWidth="1"/>
    <col min="13836" max="13836" width="12" style="485" customWidth="1"/>
    <col min="13837" max="13837" width="38.140625" style="485" customWidth="1"/>
    <col min="13838" max="13838" width="17.85546875" style="485" bestFit="1" customWidth="1"/>
    <col min="13839" max="13839" width="24.7109375" style="485" customWidth="1"/>
    <col min="13840" max="13840" width="36.42578125" style="485" customWidth="1"/>
    <col min="13841" max="13841" width="46.7109375" style="485" customWidth="1"/>
    <col min="13842" max="13842" width="43.7109375" style="485" customWidth="1"/>
    <col min="13843" max="13843" width="25.42578125" style="485" customWidth="1"/>
    <col min="13844" max="13844" width="12.42578125" style="485" customWidth="1"/>
    <col min="13845" max="13845" width="16.42578125" style="485" customWidth="1"/>
    <col min="13846" max="13846" width="13.42578125" style="485" customWidth="1"/>
    <col min="13847" max="13847" width="8.5703125" style="485" customWidth="1"/>
    <col min="13848" max="13851" width="11.42578125" style="485" customWidth="1"/>
    <col min="13852" max="13852" width="12.7109375" style="485" customWidth="1"/>
    <col min="13853" max="13853" width="11.85546875" style="485" customWidth="1"/>
    <col min="13854" max="13854" width="7.85546875" style="485" customWidth="1"/>
    <col min="13855" max="13855" width="7.5703125" style="485" customWidth="1"/>
    <col min="13856" max="13856" width="8.85546875" style="485" customWidth="1"/>
    <col min="13857" max="13857" width="8.140625" style="485" customWidth="1"/>
    <col min="13858" max="13858" width="7.85546875" style="485" customWidth="1"/>
    <col min="13859" max="13859" width="8.5703125" style="485" customWidth="1"/>
    <col min="13860" max="13860" width="8.28515625" style="485" customWidth="1"/>
    <col min="13861" max="13861" width="11.42578125" style="485" customWidth="1"/>
    <col min="13862" max="13862" width="18" style="485" customWidth="1"/>
    <col min="13863" max="13863" width="21.42578125" style="485" customWidth="1"/>
    <col min="13864" max="13864" width="27.85546875" style="485" customWidth="1"/>
    <col min="13865" max="14080" width="11.42578125" style="485"/>
    <col min="14081" max="14081" width="13.5703125" style="485" customWidth="1"/>
    <col min="14082" max="14082" width="19" style="485" customWidth="1"/>
    <col min="14083" max="14083" width="13.5703125" style="485" customWidth="1"/>
    <col min="14084" max="14084" width="19.7109375" style="485" customWidth="1"/>
    <col min="14085" max="14085" width="13.5703125" style="485" customWidth="1"/>
    <col min="14086" max="14087" width="14.7109375" style="485" customWidth="1"/>
    <col min="14088" max="14088" width="36.140625" style="485" customWidth="1"/>
    <col min="14089" max="14089" width="29.42578125" style="485" customWidth="1"/>
    <col min="14090" max="14090" width="16" style="485" customWidth="1"/>
    <col min="14091" max="14091" width="38.28515625" style="485" customWidth="1"/>
    <col min="14092" max="14092" width="12" style="485" customWidth="1"/>
    <col min="14093" max="14093" width="38.140625" style="485" customWidth="1"/>
    <col min="14094" max="14094" width="17.85546875" style="485" bestFit="1" customWidth="1"/>
    <col min="14095" max="14095" width="24.7109375" style="485" customWidth="1"/>
    <col min="14096" max="14096" width="36.42578125" style="485" customWidth="1"/>
    <col min="14097" max="14097" width="46.7109375" style="485" customWidth="1"/>
    <col min="14098" max="14098" width="43.7109375" style="485" customWidth="1"/>
    <col min="14099" max="14099" width="25.42578125" style="485" customWidth="1"/>
    <col min="14100" max="14100" width="12.42578125" style="485" customWidth="1"/>
    <col min="14101" max="14101" width="16.42578125" style="485" customWidth="1"/>
    <col min="14102" max="14102" width="13.42578125" style="485" customWidth="1"/>
    <col min="14103" max="14103" width="8.5703125" style="485" customWidth="1"/>
    <col min="14104" max="14107" width="11.42578125" style="485" customWidth="1"/>
    <col min="14108" max="14108" width="12.7109375" style="485" customWidth="1"/>
    <col min="14109" max="14109" width="11.85546875" style="485" customWidth="1"/>
    <col min="14110" max="14110" width="7.85546875" style="485" customWidth="1"/>
    <col min="14111" max="14111" width="7.5703125" style="485" customWidth="1"/>
    <col min="14112" max="14112" width="8.85546875" style="485" customWidth="1"/>
    <col min="14113" max="14113" width="8.140625" style="485" customWidth="1"/>
    <col min="14114" max="14114" width="7.85546875" style="485" customWidth="1"/>
    <col min="14115" max="14115" width="8.5703125" style="485" customWidth="1"/>
    <col min="14116" max="14116" width="8.28515625" style="485" customWidth="1"/>
    <col min="14117" max="14117" width="11.42578125" style="485" customWidth="1"/>
    <col min="14118" max="14118" width="18" style="485" customWidth="1"/>
    <col min="14119" max="14119" width="21.42578125" style="485" customWidth="1"/>
    <col min="14120" max="14120" width="27.85546875" style="485" customWidth="1"/>
    <col min="14121" max="14336" width="11.42578125" style="485"/>
    <col min="14337" max="14337" width="13.5703125" style="485" customWidth="1"/>
    <col min="14338" max="14338" width="19" style="485" customWidth="1"/>
    <col min="14339" max="14339" width="13.5703125" style="485" customWidth="1"/>
    <col min="14340" max="14340" width="19.7109375" style="485" customWidth="1"/>
    <col min="14341" max="14341" width="13.5703125" style="485" customWidth="1"/>
    <col min="14342" max="14343" width="14.7109375" style="485" customWidth="1"/>
    <col min="14344" max="14344" width="36.140625" style="485" customWidth="1"/>
    <col min="14345" max="14345" width="29.42578125" style="485" customWidth="1"/>
    <col min="14346" max="14346" width="16" style="485" customWidth="1"/>
    <col min="14347" max="14347" width="38.28515625" style="485" customWidth="1"/>
    <col min="14348" max="14348" width="12" style="485" customWidth="1"/>
    <col min="14349" max="14349" width="38.140625" style="485" customWidth="1"/>
    <col min="14350" max="14350" width="17.85546875" style="485" bestFit="1" customWidth="1"/>
    <col min="14351" max="14351" width="24.7109375" style="485" customWidth="1"/>
    <col min="14352" max="14352" width="36.42578125" style="485" customWidth="1"/>
    <col min="14353" max="14353" width="46.7109375" style="485" customWidth="1"/>
    <col min="14354" max="14354" width="43.7109375" style="485" customWidth="1"/>
    <col min="14355" max="14355" width="25.42578125" style="485" customWidth="1"/>
    <col min="14356" max="14356" width="12.42578125" style="485" customWidth="1"/>
    <col min="14357" max="14357" width="16.42578125" style="485" customWidth="1"/>
    <col min="14358" max="14358" width="13.42578125" style="485" customWidth="1"/>
    <col min="14359" max="14359" width="8.5703125" style="485" customWidth="1"/>
    <col min="14360" max="14363" width="11.42578125" style="485" customWidth="1"/>
    <col min="14364" max="14364" width="12.7109375" style="485" customWidth="1"/>
    <col min="14365" max="14365" width="11.85546875" style="485" customWidth="1"/>
    <col min="14366" max="14366" width="7.85546875" style="485" customWidth="1"/>
    <col min="14367" max="14367" width="7.5703125" style="485" customWidth="1"/>
    <col min="14368" max="14368" width="8.85546875" style="485" customWidth="1"/>
    <col min="14369" max="14369" width="8.140625" style="485" customWidth="1"/>
    <col min="14370" max="14370" width="7.85546875" style="485" customWidth="1"/>
    <col min="14371" max="14371" width="8.5703125" style="485" customWidth="1"/>
    <col min="14372" max="14372" width="8.28515625" style="485" customWidth="1"/>
    <col min="14373" max="14373" width="11.42578125" style="485" customWidth="1"/>
    <col min="14374" max="14374" width="18" style="485" customWidth="1"/>
    <col min="14375" max="14375" width="21.42578125" style="485" customWidth="1"/>
    <col min="14376" max="14376" width="27.85546875" style="485" customWidth="1"/>
    <col min="14377" max="14592" width="11.42578125" style="485"/>
    <col min="14593" max="14593" width="13.5703125" style="485" customWidth="1"/>
    <col min="14594" max="14594" width="19" style="485" customWidth="1"/>
    <col min="14595" max="14595" width="13.5703125" style="485" customWidth="1"/>
    <col min="14596" max="14596" width="19.7109375" style="485" customWidth="1"/>
    <col min="14597" max="14597" width="13.5703125" style="485" customWidth="1"/>
    <col min="14598" max="14599" width="14.7109375" style="485" customWidth="1"/>
    <col min="14600" max="14600" width="36.140625" style="485" customWidth="1"/>
    <col min="14601" max="14601" width="29.42578125" style="485" customWidth="1"/>
    <col min="14602" max="14602" width="16" style="485" customWidth="1"/>
    <col min="14603" max="14603" width="38.28515625" style="485" customWidth="1"/>
    <col min="14604" max="14604" width="12" style="485" customWidth="1"/>
    <col min="14605" max="14605" width="38.140625" style="485" customWidth="1"/>
    <col min="14606" max="14606" width="17.85546875" style="485" bestFit="1" customWidth="1"/>
    <col min="14607" max="14607" width="24.7109375" style="485" customWidth="1"/>
    <col min="14608" max="14608" width="36.42578125" style="485" customWidth="1"/>
    <col min="14609" max="14609" width="46.7109375" style="485" customWidth="1"/>
    <col min="14610" max="14610" width="43.7109375" style="485" customWidth="1"/>
    <col min="14611" max="14611" width="25.42578125" style="485" customWidth="1"/>
    <col min="14612" max="14612" width="12.42578125" style="485" customWidth="1"/>
    <col min="14613" max="14613" width="16.42578125" style="485" customWidth="1"/>
    <col min="14614" max="14614" width="13.42578125" style="485" customWidth="1"/>
    <col min="14615" max="14615" width="8.5703125" style="485" customWidth="1"/>
    <col min="14616" max="14619" width="11.42578125" style="485" customWidth="1"/>
    <col min="14620" max="14620" width="12.7109375" style="485" customWidth="1"/>
    <col min="14621" max="14621" width="11.85546875" style="485" customWidth="1"/>
    <col min="14622" max="14622" width="7.85546875" style="485" customWidth="1"/>
    <col min="14623" max="14623" width="7.5703125" style="485" customWidth="1"/>
    <col min="14624" max="14624" width="8.85546875" style="485" customWidth="1"/>
    <col min="14625" max="14625" width="8.140625" style="485" customWidth="1"/>
    <col min="14626" max="14626" width="7.85546875" style="485" customWidth="1"/>
    <col min="14627" max="14627" width="8.5703125" style="485" customWidth="1"/>
    <col min="14628" max="14628" width="8.28515625" style="485" customWidth="1"/>
    <col min="14629" max="14629" width="11.42578125" style="485" customWidth="1"/>
    <col min="14630" max="14630" width="18" style="485" customWidth="1"/>
    <col min="14631" max="14631" width="21.42578125" style="485" customWidth="1"/>
    <col min="14632" max="14632" width="27.85546875" style="485" customWidth="1"/>
    <col min="14633" max="14848" width="11.42578125" style="485"/>
    <col min="14849" max="14849" width="13.5703125" style="485" customWidth="1"/>
    <col min="14850" max="14850" width="19" style="485" customWidth="1"/>
    <col min="14851" max="14851" width="13.5703125" style="485" customWidth="1"/>
    <col min="14852" max="14852" width="19.7109375" style="485" customWidth="1"/>
    <col min="14853" max="14853" width="13.5703125" style="485" customWidth="1"/>
    <col min="14854" max="14855" width="14.7109375" style="485" customWidth="1"/>
    <col min="14856" max="14856" width="36.140625" style="485" customWidth="1"/>
    <col min="14857" max="14857" width="29.42578125" style="485" customWidth="1"/>
    <col min="14858" max="14858" width="16" style="485" customWidth="1"/>
    <col min="14859" max="14859" width="38.28515625" style="485" customWidth="1"/>
    <col min="14860" max="14860" width="12" style="485" customWidth="1"/>
    <col min="14861" max="14861" width="38.140625" style="485" customWidth="1"/>
    <col min="14862" max="14862" width="17.85546875" style="485" bestFit="1" customWidth="1"/>
    <col min="14863" max="14863" width="24.7109375" style="485" customWidth="1"/>
    <col min="14864" max="14864" width="36.42578125" style="485" customWidth="1"/>
    <col min="14865" max="14865" width="46.7109375" style="485" customWidth="1"/>
    <col min="14866" max="14866" width="43.7109375" style="485" customWidth="1"/>
    <col min="14867" max="14867" width="25.42578125" style="485" customWidth="1"/>
    <col min="14868" max="14868" width="12.42578125" style="485" customWidth="1"/>
    <col min="14869" max="14869" width="16.42578125" style="485" customWidth="1"/>
    <col min="14870" max="14870" width="13.42578125" style="485" customWidth="1"/>
    <col min="14871" max="14871" width="8.5703125" style="485" customWidth="1"/>
    <col min="14872" max="14875" width="11.42578125" style="485" customWidth="1"/>
    <col min="14876" max="14876" width="12.7109375" style="485" customWidth="1"/>
    <col min="14877" max="14877" width="11.85546875" style="485" customWidth="1"/>
    <col min="14878" max="14878" width="7.85546875" style="485" customWidth="1"/>
    <col min="14879" max="14879" width="7.5703125" style="485" customWidth="1"/>
    <col min="14880" max="14880" width="8.85546875" style="485" customWidth="1"/>
    <col min="14881" max="14881" width="8.140625" style="485" customWidth="1"/>
    <col min="14882" max="14882" width="7.85546875" style="485" customWidth="1"/>
    <col min="14883" max="14883" width="8.5703125" style="485" customWidth="1"/>
    <col min="14884" max="14884" width="8.28515625" style="485" customWidth="1"/>
    <col min="14885" max="14885" width="11.42578125" style="485" customWidth="1"/>
    <col min="14886" max="14886" width="18" style="485" customWidth="1"/>
    <col min="14887" max="14887" width="21.42578125" style="485" customWidth="1"/>
    <col min="14888" max="14888" width="27.85546875" style="485" customWidth="1"/>
    <col min="14889" max="15104" width="11.42578125" style="485"/>
    <col min="15105" max="15105" width="13.5703125" style="485" customWidth="1"/>
    <col min="15106" max="15106" width="19" style="485" customWidth="1"/>
    <col min="15107" max="15107" width="13.5703125" style="485" customWidth="1"/>
    <col min="15108" max="15108" width="19.7109375" style="485" customWidth="1"/>
    <col min="15109" max="15109" width="13.5703125" style="485" customWidth="1"/>
    <col min="15110" max="15111" width="14.7109375" style="485" customWidth="1"/>
    <col min="15112" max="15112" width="36.140625" style="485" customWidth="1"/>
    <col min="15113" max="15113" width="29.42578125" style="485" customWidth="1"/>
    <col min="15114" max="15114" width="16" style="485" customWidth="1"/>
    <col min="15115" max="15115" width="38.28515625" style="485" customWidth="1"/>
    <col min="15116" max="15116" width="12" style="485" customWidth="1"/>
    <col min="15117" max="15117" width="38.140625" style="485" customWidth="1"/>
    <col min="15118" max="15118" width="17.85546875" style="485" bestFit="1" customWidth="1"/>
    <col min="15119" max="15119" width="24.7109375" style="485" customWidth="1"/>
    <col min="15120" max="15120" width="36.42578125" style="485" customWidth="1"/>
    <col min="15121" max="15121" width="46.7109375" style="485" customWidth="1"/>
    <col min="15122" max="15122" width="43.7109375" style="485" customWidth="1"/>
    <col min="15123" max="15123" width="25.42578125" style="485" customWidth="1"/>
    <col min="15124" max="15124" width="12.42578125" style="485" customWidth="1"/>
    <col min="15125" max="15125" width="16.42578125" style="485" customWidth="1"/>
    <col min="15126" max="15126" width="13.42578125" style="485" customWidth="1"/>
    <col min="15127" max="15127" width="8.5703125" style="485" customWidth="1"/>
    <col min="15128" max="15131" width="11.42578125" style="485" customWidth="1"/>
    <col min="15132" max="15132" width="12.7109375" style="485" customWidth="1"/>
    <col min="15133" max="15133" width="11.85546875" style="485" customWidth="1"/>
    <col min="15134" max="15134" width="7.85546875" style="485" customWidth="1"/>
    <col min="15135" max="15135" width="7.5703125" style="485" customWidth="1"/>
    <col min="15136" max="15136" width="8.85546875" style="485" customWidth="1"/>
    <col min="15137" max="15137" width="8.140625" style="485" customWidth="1"/>
    <col min="15138" max="15138" width="7.85546875" style="485" customWidth="1"/>
    <col min="15139" max="15139" width="8.5703125" style="485" customWidth="1"/>
    <col min="15140" max="15140" width="8.28515625" style="485" customWidth="1"/>
    <col min="15141" max="15141" width="11.42578125" style="485" customWidth="1"/>
    <col min="15142" max="15142" width="18" style="485" customWidth="1"/>
    <col min="15143" max="15143" width="21.42578125" style="485" customWidth="1"/>
    <col min="15144" max="15144" width="27.85546875" style="485" customWidth="1"/>
    <col min="15145" max="15360" width="11.42578125" style="485"/>
    <col min="15361" max="15361" width="13.5703125" style="485" customWidth="1"/>
    <col min="15362" max="15362" width="19" style="485" customWidth="1"/>
    <col min="15363" max="15363" width="13.5703125" style="485" customWidth="1"/>
    <col min="15364" max="15364" width="19.7109375" style="485" customWidth="1"/>
    <col min="15365" max="15365" width="13.5703125" style="485" customWidth="1"/>
    <col min="15366" max="15367" width="14.7109375" style="485" customWidth="1"/>
    <col min="15368" max="15368" width="36.140625" style="485" customWidth="1"/>
    <col min="15369" max="15369" width="29.42578125" style="485" customWidth="1"/>
    <col min="15370" max="15370" width="16" style="485" customWidth="1"/>
    <col min="15371" max="15371" width="38.28515625" style="485" customWidth="1"/>
    <col min="15372" max="15372" width="12" style="485" customWidth="1"/>
    <col min="15373" max="15373" width="38.140625" style="485" customWidth="1"/>
    <col min="15374" max="15374" width="17.85546875" style="485" bestFit="1" customWidth="1"/>
    <col min="15375" max="15375" width="24.7109375" style="485" customWidth="1"/>
    <col min="15376" max="15376" width="36.42578125" style="485" customWidth="1"/>
    <col min="15377" max="15377" width="46.7109375" style="485" customWidth="1"/>
    <col min="15378" max="15378" width="43.7109375" style="485" customWidth="1"/>
    <col min="15379" max="15379" width="25.42578125" style="485" customWidth="1"/>
    <col min="15380" max="15380" width="12.42578125" style="485" customWidth="1"/>
    <col min="15381" max="15381" width="16.42578125" style="485" customWidth="1"/>
    <col min="15382" max="15382" width="13.42578125" style="485" customWidth="1"/>
    <col min="15383" max="15383" width="8.5703125" style="485" customWidth="1"/>
    <col min="15384" max="15387" width="11.42578125" style="485" customWidth="1"/>
    <col min="15388" max="15388" width="12.7109375" style="485" customWidth="1"/>
    <col min="15389" max="15389" width="11.85546875" style="485" customWidth="1"/>
    <col min="15390" max="15390" width="7.85546875" style="485" customWidth="1"/>
    <col min="15391" max="15391" width="7.5703125" style="485" customWidth="1"/>
    <col min="15392" max="15392" width="8.85546875" style="485" customWidth="1"/>
    <col min="15393" max="15393" width="8.140625" style="485" customWidth="1"/>
    <col min="15394" max="15394" width="7.85546875" style="485" customWidth="1"/>
    <col min="15395" max="15395" width="8.5703125" style="485" customWidth="1"/>
    <col min="15396" max="15396" width="8.28515625" style="485" customWidth="1"/>
    <col min="15397" max="15397" width="11.42578125" style="485" customWidth="1"/>
    <col min="15398" max="15398" width="18" style="485" customWidth="1"/>
    <col min="15399" max="15399" width="21.42578125" style="485" customWidth="1"/>
    <col min="15400" max="15400" width="27.85546875" style="485" customWidth="1"/>
    <col min="15401" max="15616" width="11.42578125" style="485"/>
    <col min="15617" max="15617" width="13.5703125" style="485" customWidth="1"/>
    <col min="15618" max="15618" width="19" style="485" customWidth="1"/>
    <col min="15619" max="15619" width="13.5703125" style="485" customWidth="1"/>
    <col min="15620" max="15620" width="19.7109375" style="485" customWidth="1"/>
    <col min="15621" max="15621" width="13.5703125" style="485" customWidth="1"/>
    <col min="15622" max="15623" width="14.7109375" style="485" customWidth="1"/>
    <col min="15624" max="15624" width="36.140625" style="485" customWidth="1"/>
    <col min="15625" max="15625" width="29.42578125" style="485" customWidth="1"/>
    <col min="15626" max="15626" width="16" style="485" customWidth="1"/>
    <col min="15627" max="15627" width="38.28515625" style="485" customWidth="1"/>
    <col min="15628" max="15628" width="12" style="485" customWidth="1"/>
    <col min="15629" max="15629" width="38.140625" style="485" customWidth="1"/>
    <col min="15630" max="15630" width="17.85546875" style="485" bestFit="1" customWidth="1"/>
    <col min="15631" max="15631" width="24.7109375" style="485" customWidth="1"/>
    <col min="15632" max="15632" width="36.42578125" style="485" customWidth="1"/>
    <col min="15633" max="15633" width="46.7109375" style="485" customWidth="1"/>
    <col min="15634" max="15634" width="43.7109375" style="485" customWidth="1"/>
    <col min="15635" max="15635" width="25.42578125" style="485" customWidth="1"/>
    <col min="15636" max="15636" width="12.42578125" style="485" customWidth="1"/>
    <col min="15637" max="15637" width="16.42578125" style="485" customWidth="1"/>
    <col min="15638" max="15638" width="13.42578125" style="485" customWidth="1"/>
    <col min="15639" max="15639" width="8.5703125" style="485" customWidth="1"/>
    <col min="15640" max="15643" width="11.42578125" style="485" customWidth="1"/>
    <col min="15644" max="15644" width="12.7109375" style="485" customWidth="1"/>
    <col min="15645" max="15645" width="11.85546875" style="485" customWidth="1"/>
    <col min="15646" max="15646" width="7.85546875" style="485" customWidth="1"/>
    <col min="15647" max="15647" width="7.5703125" style="485" customWidth="1"/>
    <col min="15648" max="15648" width="8.85546875" style="485" customWidth="1"/>
    <col min="15649" max="15649" width="8.140625" style="485" customWidth="1"/>
    <col min="15650" max="15650" width="7.85546875" style="485" customWidth="1"/>
    <col min="15651" max="15651" width="8.5703125" style="485" customWidth="1"/>
    <col min="15652" max="15652" width="8.28515625" style="485" customWidth="1"/>
    <col min="15653" max="15653" width="11.42578125" style="485" customWidth="1"/>
    <col min="15654" max="15654" width="18" style="485" customWidth="1"/>
    <col min="15655" max="15655" width="21.42578125" style="485" customWidth="1"/>
    <col min="15656" max="15656" width="27.85546875" style="485" customWidth="1"/>
    <col min="15657" max="15872" width="11.42578125" style="485"/>
    <col min="15873" max="15873" width="13.5703125" style="485" customWidth="1"/>
    <col min="15874" max="15874" width="19" style="485" customWidth="1"/>
    <col min="15875" max="15875" width="13.5703125" style="485" customWidth="1"/>
    <col min="15876" max="15876" width="19.7109375" style="485" customWidth="1"/>
    <col min="15877" max="15877" width="13.5703125" style="485" customWidth="1"/>
    <col min="15878" max="15879" width="14.7109375" style="485" customWidth="1"/>
    <col min="15880" max="15880" width="36.140625" style="485" customWidth="1"/>
    <col min="15881" max="15881" width="29.42578125" style="485" customWidth="1"/>
    <col min="15882" max="15882" width="16" style="485" customWidth="1"/>
    <col min="15883" max="15883" width="38.28515625" style="485" customWidth="1"/>
    <col min="15884" max="15884" width="12" style="485" customWidth="1"/>
    <col min="15885" max="15885" width="38.140625" style="485" customWidth="1"/>
    <col min="15886" max="15886" width="17.85546875" style="485" bestFit="1" customWidth="1"/>
    <col min="15887" max="15887" width="24.7109375" style="485" customWidth="1"/>
    <col min="15888" max="15888" width="36.42578125" style="485" customWidth="1"/>
    <col min="15889" max="15889" width="46.7109375" style="485" customWidth="1"/>
    <col min="15890" max="15890" width="43.7109375" style="485" customWidth="1"/>
    <col min="15891" max="15891" width="25.42578125" style="485" customWidth="1"/>
    <col min="15892" max="15892" width="12.42578125" style="485" customWidth="1"/>
    <col min="15893" max="15893" width="16.42578125" style="485" customWidth="1"/>
    <col min="15894" max="15894" width="13.42578125" style="485" customWidth="1"/>
    <col min="15895" max="15895" width="8.5703125" style="485" customWidth="1"/>
    <col min="15896" max="15899" width="11.42578125" style="485" customWidth="1"/>
    <col min="15900" max="15900" width="12.7109375" style="485" customWidth="1"/>
    <col min="15901" max="15901" width="11.85546875" style="485" customWidth="1"/>
    <col min="15902" max="15902" width="7.85546875" style="485" customWidth="1"/>
    <col min="15903" max="15903" width="7.5703125" style="485" customWidth="1"/>
    <col min="15904" max="15904" width="8.85546875" style="485" customWidth="1"/>
    <col min="15905" max="15905" width="8.140625" style="485" customWidth="1"/>
    <col min="15906" max="15906" width="7.85546875" style="485" customWidth="1"/>
    <col min="15907" max="15907" width="8.5703125" style="485" customWidth="1"/>
    <col min="15908" max="15908" width="8.28515625" style="485" customWidth="1"/>
    <col min="15909" max="15909" width="11.42578125" style="485" customWidth="1"/>
    <col min="15910" max="15910" width="18" style="485" customWidth="1"/>
    <col min="15911" max="15911" width="21.42578125" style="485" customWidth="1"/>
    <col min="15912" max="15912" width="27.85546875" style="485" customWidth="1"/>
    <col min="15913" max="16128" width="11.42578125" style="485"/>
    <col min="16129" max="16129" width="13.5703125" style="485" customWidth="1"/>
    <col min="16130" max="16130" width="19" style="485" customWidth="1"/>
    <col min="16131" max="16131" width="13.5703125" style="485" customWidth="1"/>
    <col min="16132" max="16132" width="19.7109375" style="485" customWidth="1"/>
    <col min="16133" max="16133" width="13.5703125" style="485" customWidth="1"/>
    <col min="16134" max="16135" width="14.7109375" style="485" customWidth="1"/>
    <col min="16136" max="16136" width="36.140625" style="485" customWidth="1"/>
    <col min="16137" max="16137" width="29.42578125" style="485" customWidth="1"/>
    <col min="16138" max="16138" width="16" style="485" customWidth="1"/>
    <col min="16139" max="16139" width="38.28515625" style="485" customWidth="1"/>
    <col min="16140" max="16140" width="12" style="485" customWidth="1"/>
    <col min="16141" max="16141" width="38.140625" style="485" customWidth="1"/>
    <col min="16142" max="16142" width="17.85546875" style="485" bestFit="1" customWidth="1"/>
    <col min="16143" max="16143" width="24.7109375" style="485" customWidth="1"/>
    <col min="16144" max="16144" width="36.42578125" style="485" customWidth="1"/>
    <col min="16145" max="16145" width="46.7109375" style="485" customWidth="1"/>
    <col min="16146" max="16146" width="43.7109375" style="485" customWidth="1"/>
    <col min="16147" max="16147" width="25.42578125" style="485" customWidth="1"/>
    <col min="16148" max="16148" width="12.42578125" style="485" customWidth="1"/>
    <col min="16149" max="16149" width="16.42578125" style="485" customWidth="1"/>
    <col min="16150" max="16150" width="13.42578125" style="485" customWidth="1"/>
    <col min="16151" max="16151" width="8.5703125" style="485" customWidth="1"/>
    <col min="16152" max="16155" width="11.42578125" style="485" customWidth="1"/>
    <col min="16156" max="16156" width="12.7109375" style="485" customWidth="1"/>
    <col min="16157" max="16157" width="11.85546875" style="485" customWidth="1"/>
    <col min="16158" max="16158" width="7.85546875" style="485" customWidth="1"/>
    <col min="16159" max="16159" width="7.5703125" style="485" customWidth="1"/>
    <col min="16160" max="16160" width="8.85546875" style="485" customWidth="1"/>
    <col min="16161" max="16161" width="8.140625" style="485" customWidth="1"/>
    <col min="16162" max="16162" width="7.85546875" style="485" customWidth="1"/>
    <col min="16163" max="16163" width="8.5703125" style="485" customWidth="1"/>
    <col min="16164" max="16164" width="8.28515625" style="485" customWidth="1"/>
    <col min="16165" max="16165" width="11.42578125" style="485" customWidth="1"/>
    <col min="16166" max="16166" width="18" style="485" customWidth="1"/>
    <col min="16167" max="16167" width="21.42578125" style="485" customWidth="1"/>
    <col min="16168" max="16168" width="27.85546875" style="485" customWidth="1"/>
    <col min="16169" max="16384" width="11.42578125" style="485"/>
  </cols>
  <sheetData>
    <row r="1" spans="1:256" ht="23.25" customHeight="1" x14ac:dyDescent="0.2">
      <c r="A1" s="2123" t="s">
        <v>628</v>
      </c>
      <c r="B1" s="2123"/>
      <c r="C1" s="2123"/>
      <c r="D1" s="2123"/>
      <c r="E1" s="2123"/>
      <c r="F1" s="2123"/>
      <c r="G1" s="2123"/>
      <c r="H1" s="2123"/>
      <c r="I1" s="2123"/>
      <c r="J1" s="2123"/>
      <c r="K1" s="2123"/>
      <c r="L1" s="2123"/>
      <c r="M1" s="2123"/>
      <c r="N1" s="2123"/>
      <c r="O1" s="2123"/>
      <c r="P1" s="2123"/>
      <c r="Q1" s="2123"/>
      <c r="R1" s="2123"/>
      <c r="S1" s="2123"/>
      <c r="T1" s="2123"/>
      <c r="U1" s="2123"/>
      <c r="V1" s="2123"/>
      <c r="W1" s="2123"/>
      <c r="X1" s="2123"/>
      <c r="Y1" s="2123"/>
      <c r="Z1" s="2123"/>
      <c r="AA1" s="2123"/>
      <c r="AB1" s="2123"/>
      <c r="AC1" s="2123"/>
      <c r="AD1" s="2123"/>
      <c r="AE1" s="2123"/>
      <c r="AF1" s="2123"/>
      <c r="AG1" s="2123"/>
      <c r="AH1" s="2123"/>
      <c r="AI1" s="2123"/>
      <c r="AJ1" s="2123"/>
      <c r="AK1" s="2123"/>
      <c r="AL1" s="2123"/>
      <c r="AM1" s="2704"/>
      <c r="AN1" s="734" t="s">
        <v>341</v>
      </c>
    </row>
    <row r="2" spans="1:256" ht="24.75" customHeight="1" x14ac:dyDescent="0.2">
      <c r="A2" s="2123"/>
      <c r="B2" s="2123"/>
      <c r="C2" s="2123"/>
      <c r="D2" s="2123"/>
      <c r="E2" s="2123"/>
      <c r="F2" s="2123"/>
      <c r="G2" s="2123"/>
      <c r="H2" s="2123"/>
      <c r="I2" s="2123"/>
      <c r="J2" s="2123"/>
      <c r="K2" s="2123"/>
      <c r="L2" s="2123"/>
      <c r="M2" s="2123"/>
      <c r="N2" s="2123"/>
      <c r="O2" s="2123"/>
      <c r="P2" s="2123"/>
      <c r="Q2" s="2123"/>
      <c r="R2" s="2123"/>
      <c r="S2" s="2123"/>
      <c r="T2" s="2123"/>
      <c r="U2" s="2123"/>
      <c r="V2" s="2123"/>
      <c r="W2" s="2123"/>
      <c r="X2" s="2123"/>
      <c r="Y2" s="2123"/>
      <c r="Z2" s="2123"/>
      <c r="AA2" s="2123"/>
      <c r="AB2" s="2123"/>
      <c r="AC2" s="2123"/>
      <c r="AD2" s="2123"/>
      <c r="AE2" s="2123"/>
      <c r="AF2" s="2123"/>
      <c r="AG2" s="2123"/>
      <c r="AH2" s="2123"/>
      <c r="AI2" s="2123"/>
      <c r="AJ2" s="2123"/>
      <c r="AK2" s="2123"/>
      <c r="AL2" s="2123"/>
      <c r="AM2" s="2704"/>
      <c r="AN2" s="735">
        <v>6</v>
      </c>
    </row>
    <row r="3" spans="1:256" ht="30.75" customHeight="1" x14ac:dyDescent="0.2">
      <c r="A3" s="2123"/>
      <c r="B3" s="2123"/>
      <c r="C3" s="2123"/>
      <c r="D3" s="2123"/>
      <c r="E3" s="2123"/>
      <c r="F3" s="2123"/>
      <c r="G3" s="2123"/>
      <c r="H3" s="2123"/>
      <c r="I3" s="2123"/>
      <c r="J3" s="2123"/>
      <c r="K3" s="2123"/>
      <c r="L3" s="2123"/>
      <c r="M3" s="2123"/>
      <c r="N3" s="2123"/>
      <c r="O3" s="2123"/>
      <c r="P3" s="2123"/>
      <c r="Q3" s="2123"/>
      <c r="R3" s="2123"/>
      <c r="S3" s="2123"/>
      <c r="T3" s="2123"/>
      <c r="U3" s="2123"/>
      <c r="V3" s="2123"/>
      <c r="W3" s="2123"/>
      <c r="X3" s="2123"/>
      <c r="Y3" s="2123"/>
      <c r="Z3" s="2123"/>
      <c r="AA3" s="2123"/>
      <c r="AB3" s="2123"/>
      <c r="AC3" s="2123"/>
      <c r="AD3" s="2123"/>
      <c r="AE3" s="2123"/>
      <c r="AF3" s="2123"/>
      <c r="AG3" s="2123"/>
      <c r="AH3" s="2123"/>
      <c r="AI3" s="2123"/>
      <c r="AJ3" s="2123"/>
      <c r="AK3" s="2123"/>
      <c r="AL3" s="2123"/>
      <c r="AM3" s="2704"/>
      <c r="AN3" s="736" t="s">
        <v>5</v>
      </c>
    </row>
    <row r="4" spans="1:256" ht="26.25" customHeight="1" x14ac:dyDescent="0.2">
      <c r="A4" s="2123"/>
      <c r="B4" s="2123"/>
      <c r="C4" s="2123"/>
      <c r="D4" s="2123"/>
      <c r="E4" s="2123"/>
      <c r="F4" s="2123"/>
      <c r="G4" s="2123"/>
      <c r="H4" s="2123"/>
      <c r="I4" s="2123"/>
      <c r="J4" s="2123"/>
      <c r="K4" s="2123"/>
      <c r="L4" s="2123"/>
      <c r="M4" s="2123"/>
      <c r="N4" s="2123"/>
      <c r="O4" s="2123"/>
      <c r="P4" s="2123"/>
      <c r="Q4" s="2123"/>
      <c r="R4" s="2123"/>
      <c r="S4" s="2123"/>
      <c r="T4" s="2123"/>
      <c r="U4" s="2123"/>
      <c r="V4" s="2123"/>
      <c r="W4" s="2123"/>
      <c r="X4" s="2123"/>
      <c r="Y4" s="2123"/>
      <c r="Z4" s="2123"/>
      <c r="AA4" s="2123"/>
      <c r="AB4" s="2123"/>
      <c r="AC4" s="2123"/>
      <c r="AD4" s="2123"/>
      <c r="AE4" s="2123"/>
      <c r="AF4" s="2123"/>
      <c r="AG4" s="2123"/>
      <c r="AH4" s="2123"/>
      <c r="AI4" s="2123"/>
      <c r="AJ4" s="2123"/>
      <c r="AK4" s="2123"/>
      <c r="AL4" s="2123"/>
      <c r="AM4" s="2704"/>
      <c r="AN4" s="737" t="s">
        <v>342</v>
      </c>
      <c r="AO4" s="489"/>
      <c r="AP4" s="489"/>
      <c r="AQ4" s="489"/>
      <c r="AR4" s="489"/>
      <c r="AS4" s="489"/>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490"/>
      <c r="ED4" s="490"/>
      <c r="EE4" s="490"/>
      <c r="EF4" s="490"/>
      <c r="EG4" s="490"/>
      <c r="EH4" s="490"/>
      <c r="EI4" s="490"/>
      <c r="EJ4" s="490"/>
      <c r="EK4" s="490"/>
      <c r="EL4" s="490"/>
      <c r="EM4" s="490"/>
      <c r="EN4" s="490"/>
      <c r="EO4" s="490"/>
      <c r="EP4" s="490"/>
      <c r="EQ4" s="490"/>
      <c r="ER4" s="490"/>
      <c r="ES4" s="490"/>
      <c r="ET4" s="490"/>
      <c r="EU4" s="490"/>
      <c r="EV4" s="490"/>
      <c r="EW4" s="490"/>
      <c r="EX4" s="490"/>
      <c r="EY4" s="490"/>
      <c r="EZ4" s="490"/>
      <c r="FA4" s="490"/>
      <c r="FB4" s="490"/>
      <c r="FC4" s="490"/>
      <c r="FD4" s="490"/>
      <c r="FE4" s="490"/>
      <c r="FF4" s="490"/>
      <c r="FG4" s="490"/>
      <c r="FH4" s="490"/>
      <c r="FI4" s="490"/>
      <c r="FJ4" s="490"/>
      <c r="FK4" s="490"/>
      <c r="FL4" s="490"/>
      <c r="FM4" s="490"/>
      <c r="FN4" s="490"/>
      <c r="FO4" s="490"/>
      <c r="FP4" s="490"/>
      <c r="FQ4" s="490"/>
      <c r="FR4" s="490"/>
      <c r="FS4" s="490"/>
      <c r="FT4" s="490"/>
      <c r="FU4" s="490"/>
      <c r="FV4" s="490"/>
      <c r="FW4" s="490"/>
      <c r="FX4" s="490"/>
      <c r="FY4" s="490"/>
      <c r="FZ4" s="490"/>
      <c r="GA4" s="490"/>
      <c r="GB4" s="490"/>
      <c r="GC4" s="490"/>
      <c r="GD4" s="490"/>
      <c r="GE4" s="490"/>
      <c r="GF4" s="490"/>
      <c r="GG4" s="490"/>
      <c r="GH4" s="490"/>
      <c r="GI4" s="490"/>
      <c r="GJ4" s="490"/>
      <c r="GK4" s="490"/>
      <c r="GL4" s="490"/>
      <c r="GM4" s="490"/>
      <c r="GN4" s="490"/>
      <c r="GO4" s="490"/>
      <c r="GP4" s="490"/>
      <c r="GQ4" s="490"/>
      <c r="GR4" s="490"/>
      <c r="GS4" s="490"/>
      <c r="GT4" s="490"/>
      <c r="GU4" s="490"/>
      <c r="GV4" s="490"/>
      <c r="GW4" s="490"/>
      <c r="GX4" s="490"/>
      <c r="GY4" s="490"/>
      <c r="GZ4" s="490"/>
      <c r="HA4" s="490"/>
      <c r="HB4" s="490"/>
      <c r="HC4" s="490"/>
      <c r="HD4" s="490"/>
      <c r="HE4" s="490"/>
      <c r="HF4" s="490"/>
      <c r="HG4" s="490"/>
      <c r="HH4" s="490"/>
      <c r="HI4" s="490"/>
      <c r="HJ4" s="490"/>
      <c r="HK4" s="490"/>
      <c r="HL4" s="490"/>
      <c r="HM4" s="490"/>
      <c r="HN4" s="490"/>
      <c r="HO4" s="490"/>
      <c r="HP4" s="490"/>
      <c r="HQ4" s="490"/>
      <c r="HR4" s="490"/>
      <c r="HS4" s="490"/>
      <c r="HT4" s="490"/>
      <c r="HU4" s="490"/>
      <c r="HV4" s="490"/>
      <c r="HW4" s="490"/>
      <c r="HX4" s="490"/>
      <c r="HY4" s="490"/>
      <c r="HZ4" s="490"/>
      <c r="IA4" s="490"/>
      <c r="IB4" s="490"/>
      <c r="IC4" s="490"/>
      <c r="ID4" s="490"/>
      <c r="IE4" s="490"/>
      <c r="IF4" s="490"/>
      <c r="IG4" s="490"/>
      <c r="IH4" s="490"/>
      <c r="II4" s="490"/>
      <c r="IJ4" s="490"/>
      <c r="IK4" s="490"/>
      <c r="IL4" s="490"/>
      <c r="IM4" s="490"/>
      <c r="IN4" s="490"/>
      <c r="IO4" s="490"/>
      <c r="IP4" s="490"/>
      <c r="IQ4" s="490"/>
      <c r="IR4" s="490"/>
      <c r="IS4" s="490"/>
      <c r="IT4" s="490"/>
      <c r="IU4" s="490"/>
      <c r="IV4" s="490"/>
    </row>
    <row r="5" spans="1:256" ht="31.5" customHeight="1" x14ac:dyDescent="0.2">
      <c r="A5" s="2130" t="s">
        <v>8</v>
      </c>
      <c r="B5" s="2130"/>
      <c r="C5" s="2130"/>
      <c r="D5" s="2130"/>
      <c r="E5" s="2130"/>
      <c r="F5" s="2130"/>
      <c r="G5" s="2130"/>
      <c r="H5" s="2130"/>
      <c r="I5" s="2130"/>
      <c r="J5" s="2130"/>
      <c r="K5" s="2163" t="s">
        <v>9</v>
      </c>
      <c r="L5" s="2164"/>
      <c r="M5" s="2164"/>
      <c r="N5" s="2164"/>
      <c r="O5" s="2164"/>
      <c r="P5" s="2164"/>
      <c r="Q5" s="2164"/>
      <c r="R5" s="2164"/>
      <c r="S5" s="2164"/>
      <c r="T5" s="2164"/>
      <c r="U5" s="2164"/>
      <c r="V5" s="2164"/>
      <c r="W5" s="2164"/>
      <c r="X5" s="2164"/>
      <c r="Y5" s="2164"/>
      <c r="Z5" s="2164"/>
      <c r="AA5" s="2164"/>
      <c r="AB5" s="2164"/>
      <c r="AC5" s="2164"/>
      <c r="AD5" s="2164"/>
      <c r="AE5" s="2164"/>
      <c r="AF5" s="2164"/>
      <c r="AG5" s="2164"/>
      <c r="AH5" s="2164"/>
      <c r="AI5" s="2164"/>
      <c r="AJ5" s="2164"/>
      <c r="AK5" s="2164"/>
      <c r="AL5" s="2164"/>
      <c r="AM5" s="2164"/>
      <c r="AN5" s="2709"/>
      <c r="AO5" s="491"/>
    </row>
    <row r="6" spans="1:256" ht="15.75" x14ac:dyDescent="0.2">
      <c r="A6" s="2130"/>
      <c r="B6" s="2130"/>
      <c r="C6" s="2130"/>
      <c r="D6" s="2130"/>
      <c r="E6" s="2130"/>
      <c r="F6" s="2130"/>
      <c r="G6" s="2130"/>
      <c r="H6" s="2130"/>
      <c r="I6" s="2130"/>
      <c r="J6" s="2130"/>
      <c r="K6" s="492"/>
      <c r="L6" s="493"/>
      <c r="M6" s="493"/>
      <c r="N6" s="493"/>
      <c r="O6" s="493"/>
      <c r="P6" s="493"/>
      <c r="Q6" s="493"/>
      <c r="R6" s="493"/>
      <c r="S6" s="493"/>
      <c r="T6" s="493"/>
      <c r="U6" s="494"/>
      <c r="V6" s="2131" t="s">
        <v>10</v>
      </c>
      <c r="W6" s="2129"/>
      <c r="X6" s="2129"/>
      <c r="Y6" s="2129"/>
      <c r="Z6" s="2129"/>
      <c r="AA6" s="2129"/>
      <c r="AB6" s="2129"/>
      <c r="AC6" s="2129"/>
      <c r="AD6" s="2129"/>
      <c r="AE6" s="2129"/>
      <c r="AF6" s="2129"/>
      <c r="AG6" s="2129"/>
      <c r="AH6" s="2129"/>
      <c r="AI6" s="2129"/>
      <c r="AJ6" s="2129"/>
      <c r="AK6" s="2129"/>
      <c r="AL6" s="3028"/>
      <c r="AM6" s="3028"/>
      <c r="AN6" s="3030"/>
    </row>
    <row r="7" spans="1:256" ht="24.75" customHeight="1" x14ac:dyDescent="0.2">
      <c r="A7" s="3031" t="s">
        <v>11</v>
      </c>
      <c r="B7" s="3034" t="s">
        <v>12</v>
      </c>
      <c r="C7" s="3034" t="s">
        <v>11</v>
      </c>
      <c r="D7" s="3034" t="s">
        <v>13</v>
      </c>
      <c r="E7" s="3034" t="s">
        <v>11</v>
      </c>
      <c r="F7" s="3034" t="s">
        <v>14</v>
      </c>
      <c r="G7" s="3034" t="s">
        <v>11</v>
      </c>
      <c r="H7" s="3034" t="s">
        <v>15</v>
      </c>
      <c r="I7" s="3034" t="s">
        <v>16</v>
      </c>
      <c r="J7" s="3040" t="s">
        <v>343</v>
      </c>
      <c r="K7" s="3034" t="s">
        <v>18</v>
      </c>
      <c r="L7" s="3034" t="s">
        <v>344</v>
      </c>
      <c r="M7" s="3034" t="s">
        <v>9</v>
      </c>
      <c r="N7" s="3034" t="s">
        <v>20</v>
      </c>
      <c r="O7" s="3037" t="s">
        <v>21</v>
      </c>
      <c r="P7" s="3034" t="s">
        <v>22</v>
      </c>
      <c r="Q7" s="3034" t="s">
        <v>23</v>
      </c>
      <c r="R7" s="3034" t="s">
        <v>24</v>
      </c>
      <c r="S7" s="3050" t="s">
        <v>21</v>
      </c>
      <c r="T7" s="3034" t="s">
        <v>11</v>
      </c>
      <c r="U7" s="3034" t="s">
        <v>25</v>
      </c>
      <c r="V7" s="2176" t="s">
        <v>26</v>
      </c>
      <c r="W7" s="2176"/>
      <c r="X7" s="2176" t="s">
        <v>27</v>
      </c>
      <c r="Y7" s="2176"/>
      <c r="Z7" s="2176"/>
      <c r="AA7" s="2176"/>
      <c r="AB7" s="3042" t="s">
        <v>28</v>
      </c>
      <c r="AC7" s="3043"/>
      <c r="AD7" s="3043"/>
      <c r="AE7" s="3043"/>
      <c r="AF7" s="3043"/>
      <c r="AG7" s="3043"/>
      <c r="AH7" s="2176" t="s">
        <v>29</v>
      </c>
      <c r="AI7" s="2176"/>
      <c r="AJ7" s="2176"/>
      <c r="AK7" s="2287" t="s">
        <v>30</v>
      </c>
      <c r="AL7" s="3044" t="s">
        <v>31</v>
      </c>
      <c r="AM7" s="3045" t="s">
        <v>32</v>
      </c>
      <c r="AN7" s="3047" t="s">
        <v>33</v>
      </c>
    </row>
    <row r="8" spans="1:256" ht="171" customHeight="1" x14ac:dyDescent="0.2">
      <c r="A8" s="3032"/>
      <c r="B8" s="3035"/>
      <c r="C8" s="3035"/>
      <c r="D8" s="3035"/>
      <c r="E8" s="3035"/>
      <c r="F8" s="3035"/>
      <c r="G8" s="3035"/>
      <c r="H8" s="3035"/>
      <c r="I8" s="3035"/>
      <c r="J8" s="3041"/>
      <c r="K8" s="3035"/>
      <c r="L8" s="3035"/>
      <c r="M8" s="3035"/>
      <c r="N8" s="3035"/>
      <c r="O8" s="3038"/>
      <c r="P8" s="3035"/>
      <c r="Q8" s="3035"/>
      <c r="R8" s="3035"/>
      <c r="S8" s="3051"/>
      <c r="T8" s="3035"/>
      <c r="U8" s="3035"/>
      <c r="V8" s="495" t="s">
        <v>34</v>
      </c>
      <c r="W8" s="496" t="s">
        <v>35</v>
      </c>
      <c r="X8" s="495" t="s">
        <v>36</v>
      </c>
      <c r="Y8" s="495" t="s">
        <v>37</v>
      </c>
      <c r="Z8" s="495" t="s">
        <v>257</v>
      </c>
      <c r="AA8" s="495" t="s">
        <v>39</v>
      </c>
      <c r="AB8" s="495" t="s">
        <v>40</v>
      </c>
      <c r="AC8" s="495" t="s">
        <v>41</v>
      </c>
      <c r="AD8" s="495" t="s">
        <v>42</v>
      </c>
      <c r="AE8" s="495" t="s">
        <v>43</v>
      </c>
      <c r="AF8" s="495" t="s">
        <v>44</v>
      </c>
      <c r="AG8" s="495" t="s">
        <v>45</v>
      </c>
      <c r="AH8" s="495" t="s">
        <v>46</v>
      </c>
      <c r="AI8" s="495" t="s">
        <v>47</v>
      </c>
      <c r="AJ8" s="495" t="s">
        <v>48</v>
      </c>
      <c r="AK8" s="2288"/>
      <c r="AL8" s="3044"/>
      <c r="AM8" s="3046"/>
      <c r="AN8" s="3048"/>
    </row>
    <row r="9" spans="1:256" ht="64.5" customHeight="1" x14ac:dyDescent="0.2">
      <c r="A9" s="3033"/>
      <c r="B9" s="3036"/>
      <c r="C9" s="3036"/>
      <c r="D9" s="3036"/>
      <c r="E9" s="3036"/>
      <c r="F9" s="3036"/>
      <c r="G9" s="3036"/>
      <c r="H9" s="3036"/>
      <c r="I9" s="3036"/>
      <c r="J9" s="497" t="s">
        <v>345</v>
      </c>
      <c r="K9" s="3036"/>
      <c r="L9" s="3036"/>
      <c r="M9" s="3036"/>
      <c r="N9" s="3036"/>
      <c r="O9" s="3039"/>
      <c r="P9" s="3036"/>
      <c r="Q9" s="3036"/>
      <c r="R9" s="3036"/>
      <c r="S9" s="497" t="s">
        <v>346</v>
      </c>
      <c r="T9" s="3036"/>
      <c r="U9" s="3036"/>
      <c r="V9" s="497" t="s">
        <v>345</v>
      </c>
      <c r="W9" s="497" t="s">
        <v>345</v>
      </c>
      <c r="X9" s="497" t="s">
        <v>345</v>
      </c>
      <c r="Y9" s="497" t="s">
        <v>345</v>
      </c>
      <c r="Z9" s="497" t="s">
        <v>345</v>
      </c>
      <c r="AA9" s="497" t="s">
        <v>345</v>
      </c>
      <c r="AB9" s="497" t="s">
        <v>345</v>
      </c>
      <c r="AC9" s="497" t="s">
        <v>345</v>
      </c>
      <c r="AD9" s="497" t="s">
        <v>345</v>
      </c>
      <c r="AE9" s="497" t="s">
        <v>345</v>
      </c>
      <c r="AF9" s="497" t="s">
        <v>345</v>
      </c>
      <c r="AG9" s="497" t="s">
        <v>345</v>
      </c>
      <c r="AH9" s="497" t="s">
        <v>345</v>
      </c>
      <c r="AI9" s="497" t="s">
        <v>345</v>
      </c>
      <c r="AJ9" s="497" t="s">
        <v>345</v>
      </c>
      <c r="AK9" s="497" t="s">
        <v>345</v>
      </c>
      <c r="AL9" s="699" t="s">
        <v>345</v>
      </c>
      <c r="AM9" s="699" t="s">
        <v>345</v>
      </c>
      <c r="AN9" s="3049"/>
    </row>
    <row r="10" spans="1:256" ht="15.75" x14ac:dyDescent="0.2">
      <c r="A10" s="498">
        <v>3</v>
      </c>
      <c r="B10" s="499" t="s">
        <v>347</v>
      </c>
      <c r="C10" s="500"/>
      <c r="D10" s="500"/>
      <c r="E10" s="500"/>
      <c r="F10" s="500"/>
      <c r="G10" s="500"/>
      <c r="H10" s="501"/>
      <c r="I10" s="501"/>
      <c r="J10" s="500"/>
      <c r="K10" s="500"/>
      <c r="L10" s="500"/>
      <c r="M10" s="501"/>
      <c r="N10" s="500"/>
      <c r="O10" s="500"/>
      <c r="P10" s="501"/>
      <c r="Q10" s="501"/>
      <c r="R10" s="501"/>
      <c r="S10" s="500"/>
      <c r="T10" s="502"/>
      <c r="U10" s="501"/>
      <c r="V10" s="500"/>
      <c r="W10" s="500"/>
      <c r="X10" s="500"/>
      <c r="Y10" s="500"/>
      <c r="Z10" s="500"/>
      <c r="AA10" s="500"/>
      <c r="AB10" s="500"/>
      <c r="AC10" s="500"/>
      <c r="AD10" s="500"/>
      <c r="AE10" s="500"/>
      <c r="AF10" s="500"/>
      <c r="AG10" s="500"/>
      <c r="AH10" s="500"/>
      <c r="AI10" s="500"/>
      <c r="AJ10" s="500"/>
      <c r="AK10" s="500"/>
      <c r="AL10" s="500"/>
      <c r="AM10" s="500"/>
      <c r="AN10" s="503"/>
      <c r="AO10" s="504"/>
      <c r="AP10" s="504"/>
      <c r="AQ10" s="504"/>
      <c r="AR10" s="504"/>
      <c r="AS10" s="504"/>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5"/>
      <c r="CO10" s="505"/>
      <c r="CP10" s="505"/>
      <c r="CQ10" s="505"/>
      <c r="CR10" s="505"/>
      <c r="CS10" s="505"/>
      <c r="CT10" s="505"/>
      <c r="CU10" s="505"/>
      <c r="CV10" s="505"/>
      <c r="CW10" s="505"/>
      <c r="CX10" s="505"/>
      <c r="CY10" s="505"/>
      <c r="CZ10" s="505"/>
      <c r="DA10" s="505"/>
      <c r="DB10" s="505"/>
      <c r="DC10" s="505"/>
      <c r="DD10" s="505"/>
      <c r="DE10" s="505"/>
      <c r="DF10" s="505"/>
      <c r="DG10" s="505"/>
      <c r="DH10" s="505"/>
      <c r="DI10" s="505"/>
      <c r="DJ10" s="505"/>
      <c r="DK10" s="505"/>
      <c r="DL10" s="505"/>
      <c r="DM10" s="505"/>
      <c r="DN10" s="505"/>
      <c r="DO10" s="505"/>
      <c r="DP10" s="505"/>
      <c r="DQ10" s="505"/>
      <c r="DR10" s="505"/>
      <c r="DS10" s="505"/>
      <c r="DT10" s="505"/>
      <c r="DU10" s="505"/>
      <c r="DV10" s="505"/>
      <c r="DW10" s="505"/>
      <c r="DX10" s="505"/>
      <c r="DY10" s="505"/>
      <c r="DZ10" s="505"/>
      <c r="EA10" s="505"/>
      <c r="EB10" s="505"/>
      <c r="EC10" s="505"/>
      <c r="ED10" s="505"/>
      <c r="EE10" s="505"/>
      <c r="EF10" s="505"/>
      <c r="EG10" s="505"/>
      <c r="EH10" s="505"/>
      <c r="EI10" s="505"/>
      <c r="EJ10" s="505"/>
      <c r="EK10" s="505"/>
      <c r="EL10" s="505"/>
      <c r="EM10" s="505"/>
      <c r="EN10" s="505"/>
      <c r="EO10" s="505"/>
      <c r="EP10" s="505"/>
      <c r="EQ10" s="505"/>
      <c r="ER10" s="505"/>
      <c r="ES10" s="505"/>
      <c r="ET10" s="505"/>
      <c r="EU10" s="505"/>
      <c r="EV10" s="505"/>
      <c r="EW10" s="505"/>
      <c r="EX10" s="505"/>
      <c r="EY10" s="505"/>
      <c r="EZ10" s="505"/>
      <c r="FA10" s="505"/>
      <c r="FB10" s="505"/>
      <c r="FC10" s="505"/>
      <c r="FD10" s="505"/>
      <c r="FE10" s="505"/>
      <c r="FF10" s="505"/>
      <c r="FG10" s="505"/>
      <c r="FH10" s="505"/>
      <c r="FI10" s="505"/>
      <c r="FJ10" s="505"/>
      <c r="FK10" s="505"/>
      <c r="FL10" s="505"/>
      <c r="FM10" s="505"/>
      <c r="FN10" s="505"/>
      <c r="FO10" s="505"/>
      <c r="FP10" s="505"/>
      <c r="FQ10" s="505"/>
      <c r="FR10" s="505"/>
      <c r="FS10" s="505"/>
      <c r="FT10" s="505"/>
      <c r="FU10" s="505"/>
      <c r="FV10" s="505"/>
      <c r="FW10" s="505"/>
      <c r="FX10" s="505"/>
      <c r="FY10" s="505"/>
      <c r="FZ10" s="505"/>
      <c r="GA10" s="505"/>
      <c r="GB10" s="505"/>
      <c r="GC10" s="505"/>
      <c r="GD10" s="505"/>
      <c r="GE10" s="505"/>
      <c r="GF10" s="505"/>
      <c r="GG10" s="505"/>
      <c r="GH10" s="505"/>
      <c r="GI10" s="505"/>
      <c r="GJ10" s="505"/>
      <c r="GK10" s="505"/>
      <c r="GL10" s="505"/>
      <c r="GM10" s="505"/>
      <c r="GN10" s="505"/>
      <c r="GO10" s="505"/>
      <c r="GP10" s="505"/>
      <c r="GQ10" s="505"/>
      <c r="GR10" s="505"/>
      <c r="GS10" s="505"/>
      <c r="GT10" s="505"/>
      <c r="GU10" s="505"/>
      <c r="GV10" s="505"/>
      <c r="GW10" s="505"/>
      <c r="GX10" s="505"/>
      <c r="GY10" s="505"/>
      <c r="GZ10" s="505"/>
      <c r="HA10" s="505"/>
      <c r="HB10" s="505"/>
      <c r="HC10" s="505"/>
      <c r="HD10" s="505"/>
      <c r="HE10" s="505"/>
      <c r="HF10" s="505"/>
      <c r="HG10" s="505"/>
      <c r="HH10" s="505"/>
      <c r="HI10" s="505"/>
      <c r="HJ10" s="505"/>
      <c r="HK10" s="505"/>
      <c r="HL10" s="505"/>
      <c r="HM10" s="505"/>
      <c r="HN10" s="505"/>
      <c r="HO10" s="505"/>
      <c r="HP10" s="505"/>
      <c r="HQ10" s="505"/>
      <c r="HR10" s="505"/>
      <c r="HS10" s="505"/>
      <c r="HT10" s="505"/>
      <c r="HU10" s="505"/>
      <c r="HV10" s="505"/>
      <c r="HW10" s="505"/>
      <c r="HX10" s="505"/>
      <c r="HY10" s="505"/>
      <c r="HZ10" s="505"/>
      <c r="IA10" s="505"/>
      <c r="IB10" s="505"/>
      <c r="IC10" s="505"/>
      <c r="ID10" s="505"/>
      <c r="IE10" s="505"/>
      <c r="IF10" s="505"/>
      <c r="IG10" s="505"/>
      <c r="IH10" s="505"/>
      <c r="II10" s="505"/>
      <c r="IJ10" s="505"/>
      <c r="IK10" s="505"/>
      <c r="IL10" s="505"/>
      <c r="IM10" s="505"/>
      <c r="IN10" s="505"/>
      <c r="IO10" s="505"/>
      <c r="IP10" s="505"/>
      <c r="IQ10" s="505"/>
      <c r="IR10" s="505"/>
      <c r="IS10" s="505"/>
      <c r="IT10" s="505"/>
      <c r="IU10" s="505"/>
      <c r="IV10" s="505"/>
    </row>
    <row r="11" spans="1:256" ht="15.75" x14ac:dyDescent="0.2">
      <c r="A11" s="506"/>
      <c r="B11" s="507"/>
      <c r="C11" s="508">
        <v>16</v>
      </c>
      <c r="D11" s="509" t="s">
        <v>348</v>
      </c>
      <c r="E11" s="510"/>
      <c r="F11" s="510"/>
      <c r="G11" s="510"/>
      <c r="H11" s="511"/>
      <c r="I11" s="511"/>
      <c r="J11" s="510"/>
      <c r="K11" s="510"/>
      <c r="L11" s="510"/>
      <c r="M11" s="511"/>
      <c r="N11" s="510"/>
      <c r="O11" s="510"/>
      <c r="P11" s="511"/>
      <c r="Q11" s="511"/>
      <c r="R11" s="511"/>
      <c r="S11" s="510"/>
      <c r="T11" s="512"/>
      <c r="U11" s="511"/>
      <c r="V11" s="510"/>
      <c r="W11" s="510"/>
      <c r="X11" s="510"/>
      <c r="Y11" s="510"/>
      <c r="Z11" s="510"/>
      <c r="AA11" s="510"/>
      <c r="AB11" s="510"/>
      <c r="AC11" s="510"/>
      <c r="AD11" s="510"/>
      <c r="AE11" s="510"/>
      <c r="AF11" s="510"/>
      <c r="AG11" s="510"/>
      <c r="AH11" s="510"/>
      <c r="AI11" s="510"/>
      <c r="AJ11" s="510"/>
      <c r="AK11" s="510"/>
      <c r="AL11" s="510"/>
      <c r="AM11" s="510"/>
      <c r="AN11" s="513"/>
      <c r="AO11" s="504"/>
      <c r="AP11" s="504"/>
      <c r="AQ11" s="504"/>
      <c r="AR11" s="504"/>
      <c r="AS11" s="504"/>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c r="CV11" s="505"/>
      <c r="CW11" s="505"/>
      <c r="CX11" s="505"/>
      <c r="CY11" s="505"/>
      <c r="CZ11" s="505"/>
      <c r="DA11" s="505"/>
      <c r="DB11" s="505"/>
      <c r="DC11" s="505"/>
      <c r="DD11" s="505"/>
      <c r="DE11" s="505"/>
      <c r="DF11" s="505"/>
      <c r="DG11" s="505"/>
      <c r="DH11" s="505"/>
      <c r="DI11" s="505"/>
      <c r="DJ11" s="505"/>
      <c r="DK11" s="505"/>
      <c r="DL11" s="505"/>
      <c r="DM11" s="505"/>
      <c r="DN11" s="505"/>
      <c r="DO11" s="505"/>
      <c r="DP11" s="505"/>
      <c r="DQ11" s="505"/>
      <c r="DR11" s="505"/>
      <c r="DS11" s="505"/>
      <c r="DT11" s="505"/>
      <c r="DU11" s="505"/>
      <c r="DV11" s="505"/>
      <c r="DW11" s="505"/>
      <c r="DX11" s="505"/>
      <c r="DY11" s="505"/>
      <c r="DZ11" s="505"/>
      <c r="EA11" s="505"/>
      <c r="EB11" s="505"/>
      <c r="EC11" s="505"/>
      <c r="ED11" s="505"/>
      <c r="EE11" s="505"/>
      <c r="EF11" s="505"/>
      <c r="EG11" s="505"/>
      <c r="EH11" s="505"/>
      <c r="EI11" s="505"/>
      <c r="EJ11" s="505"/>
      <c r="EK11" s="505"/>
      <c r="EL11" s="505"/>
      <c r="EM11" s="505"/>
      <c r="EN11" s="505"/>
      <c r="EO11" s="505"/>
      <c r="EP11" s="505"/>
      <c r="EQ11" s="505"/>
      <c r="ER11" s="505"/>
      <c r="ES11" s="505"/>
      <c r="ET11" s="505"/>
      <c r="EU11" s="505"/>
      <c r="EV11" s="505"/>
      <c r="EW11" s="505"/>
      <c r="EX11" s="505"/>
      <c r="EY11" s="505"/>
      <c r="EZ11" s="505"/>
      <c r="FA11" s="505"/>
      <c r="FB11" s="505"/>
      <c r="FC11" s="505"/>
      <c r="FD11" s="505"/>
      <c r="FE11" s="505"/>
      <c r="FF11" s="505"/>
      <c r="FG11" s="505"/>
      <c r="FH11" s="505"/>
      <c r="FI11" s="505"/>
      <c r="FJ11" s="505"/>
      <c r="FK11" s="505"/>
      <c r="FL11" s="505"/>
      <c r="FM11" s="505"/>
      <c r="FN11" s="505"/>
      <c r="FO11" s="505"/>
      <c r="FP11" s="505"/>
      <c r="FQ11" s="505"/>
      <c r="FR11" s="505"/>
      <c r="FS11" s="505"/>
      <c r="FT11" s="505"/>
      <c r="FU11" s="505"/>
      <c r="FV11" s="505"/>
      <c r="FW11" s="505"/>
      <c r="FX11" s="505"/>
      <c r="FY11" s="505"/>
      <c r="FZ11" s="505"/>
      <c r="GA11" s="505"/>
      <c r="GB11" s="505"/>
      <c r="GC11" s="505"/>
      <c r="GD11" s="505"/>
      <c r="GE11" s="505"/>
      <c r="GF11" s="505"/>
      <c r="GG11" s="505"/>
      <c r="GH11" s="505"/>
      <c r="GI11" s="505"/>
      <c r="GJ11" s="505"/>
      <c r="GK11" s="505"/>
      <c r="GL11" s="505"/>
      <c r="GM11" s="505"/>
      <c r="GN11" s="505"/>
      <c r="GO11" s="505"/>
      <c r="GP11" s="505"/>
      <c r="GQ11" s="505"/>
      <c r="GR11" s="505"/>
      <c r="GS11" s="505"/>
      <c r="GT11" s="505"/>
      <c r="GU11" s="505"/>
      <c r="GV11" s="505"/>
      <c r="GW11" s="505"/>
      <c r="GX11" s="505"/>
      <c r="GY11" s="505"/>
      <c r="GZ11" s="505"/>
      <c r="HA11" s="505"/>
      <c r="HB11" s="505"/>
      <c r="HC11" s="505"/>
      <c r="HD11" s="505"/>
      <c r="HE11" s="505"/>
      <c r="HF11" s="505"/>
      <c r="HG11" s="505"/>
      <c r="HH11" s="505"/>
      <c r="HI11" s="505"/>
      <c r="HJ11" s="505"/>
      <c r="HK11" s="505"/>
      <c r="HL11" s="505"/>
      <c r="HM11" s="505"/>
      <c r="HN11" s="505"/>
      <c r="HO11" s="505"/>
      <c r="HP11" s="505"/>
      <c r="HQ11" s="505"/>
      <c r="HR11" s="505"/>
      <c r="HS11" s="505"/>
      <c r="HT11" s="505"/>
      <c r="HU11" s="505"/>
      <c r="HV11" s="505"/>
      <c r="HW11" s="505"/>
      <c r="HX11" s="505"/>
      <c r="HY11" s="505"/>
      <c r="HZ11" s="505"/>
      <c r="IA11" s="505"/>
      <c r="IB11" s="505"/>
      <c r="IC11" s="505"/>
      <c r="ID11" s="505"/>
      <c r="IE11" s="505"/>
      <c r="IF11" s="505"/>
      <c r="IG11" s="505"/>
      <c r="IH11" s="505"/>
      <c r="II11" s="505"/>
      <c r="IJ11" s="505"/>
      <c r="IK11" s="505"/>
      <c r="IL11" s="505"/>
      <c r="IM11" s="505"/>
      <c r="IN11" s="505"/>
      <c r="IO11" s="505"/>
      <c r="IP11" s="505"/>
      <c r="IQ11" s="505"/>
      <c r="IR11" s="505"/>
      <c r="IS11" s="505"/>
      <c r="IT11" s="505"/>
      <c r="IU11" s="505"/>
      <c r="IV11" s="505"/>
    </row>
    <row r="12" spans="1:256" ht="15.75" x14ac:dyDescent="0.2">
      <c r="A12" s="506"/>
      <c r="B12" s="507"/>
      <c r="C12" s="514"/>
      <c r="D12" s="507"/>
      <c r="E12" s="515">
        <v>56</v>
      </c>
      <c r="F12" s="516" t="s">
        <v>349</v>
      </c>
      <c r="G12" s="689"/>
      <c r="H12" s="193"/>
      <c r="I12" s="193"/>
      <c r="J12" s="689"/>
      <c r="K12" s="689"/>
      <c r="L12" s="689"/>
      <c r="M12" s="193"/>
      <c r="N12" s="689"/>
      <c r="O12" s="689"/>
      <c r="P12" s="193"/>
      <c r="Q12" s="193"/>
      <c r="R12" s="193"/>
      <c r="S12" s="689"/>
      <c r="T12" s="194"/>
      <c r="U12" s="193"/>
      <c r="V12" s="689"/>
      <c r="W12" s="689"/>
      <c r="X12" s="689"/>
      <c r="Y12" s="689"/>
      <c r="Z12" s="689"/>
      <c r="AA12" s="689"/>
      <c r="AB12" s="689"/>
      <c r="AC12" s="689"/>
      <c r="AD12" s="689"/>
      <c r="AE12" s="689"/>
      <c r="AF12" s="689"/>
      <c r="AG12" s="689"/>
      <c r="AH12" s="689"/>
      <c r="AI12" s="689"/>
      <c r="AJ12" s="689"/>
      <c r="AK12" s="689"/>
      <c r="AL12" s="689"/>
      <c r="AM12" s="689"/>
      <c r="AN12" s="517"/>
      <c r="AO12" s="504"/>
      <c r="AP12" s="504"/>
      <c r="AQ12" s="504"/>
      <c r="AR12" s="504"/>
      <c r="AS12" s="504"/>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5"/>
      <c r="CU12" s="505"/>
      <c r="CV12" s="505"/>
      <c r="CW12" s="505"/>
      <c r="CX12" s="505"/>
      <c r="CY12" s="505"/>
      <c r="CZ12" s="505"/>
      <c r="DA12" s="505"/>
      <c r="DB12" s="505"/>
      <c r="DC12" s="505"/>
      <c r="DD12" s="505"/>
      <c r="DE12" s="505"/>
      <c r="DF12" s="505"/>
      <c r="DG12" s="505"/>
      <c r="DH12" s="505"/>
      <c r="DI12" s="505"/>
      <c r="DJ12" s="505"/>
      <c r="DK12" s="505"/>
      <c r="DL12" s="505"/>
      <c r="DM12" s="505"/>
      <c r="DN12" s="505"/>
      <c r="DO12" s="505"/>
      <c r="DP12" s="505"/>
      <c r="DQ12" s="505"/>
      <c r="DR12" s="505"/>
      <c r="DS12" s="505"/>
      <c r="DT12" s="505"/>
      <c r="DU12" s="505"/>
      <c r="DV12" s="505"/>
      <c r="DW12" s="505"/>
      <c r="DX12" s="505"/>
      <c r="DY12" s="505"/>
      <c r="DZ12" s="505"/>
      <c r="EA12" s="505"/>
      <c r="EB12" s="505"/>
      <c r="EC12" s="505"/>
      <c r="ED12" s="505"/>
      <c r="EE12" s="505"/>
      <c r="EF12" s="505"/>
      <c r="EG12" s="505"/>
      <c r="EH12" s="505"/>
      <c r="EI12" s="505"/>
      <c r="EJ12" s="505"/>
      <c r="EK12" s="505"/>
      <c r="EL12" s="505"/>
      <c r="EM12" s="505"/>
      <c r="EN12" s="505"/>
      <c r="EO12" s="505"/>
      <c r="EP12" s="505"/>
      <c r="EQ12" s="505"/>
      <c r="ER12" s="505"/>
      <c r="ES12" s="505"/>
      <c r="ET12" s="505"/>
      <c r="EU12" s="505"/>
      <c r="EV12" s="505"/>
      <c r="EW12" s="505"/>
      <c r="EX12" s="505"/>
      <c r="EY12" s="505"/>
      <c r="EZ12" s="505"/>
      <c r="FA12" s="505"/>
      <c r="FB12" s="505"/>
      <c r="FC12" s="505"/>
      <c r="FD12" s="505"/>
      <c r="FE12" s="505"/>
      <c r="FF12" s="505"/>
      <c r="FG12" s="505"/>
      <c r="FH12" s="505"/>
      <c r="FI12" s="505"/>
      <c r="FJ12" s="505"/>
      <c r="FK12" s="505"/>
      <c r="FL12" s="505"/>
      <c r="FM12" s="505"/>
      <c r="FN12" s="505"/>
      <c r="FO12" s="505"/>
      <c r="FP12" s="505"/>
      <c r="FQ12" s="505"/>
      <c r="FR12" s="505"/>
      <c r="FS12" s="505"/>
      <c r="FT12" s="505"/>
      <c r="FU12" s="505"/>
      <c r="FV12" s="505"/>
      <c r="FW12" s="505"/>
      <c r="FX12" s="505"/>
      <c r="FY12" s="505"/>
      <c r="FZ12" s="505"/>
      <c r="GA12" s="505"/>
      <c r="GB12" s="505"/>
      <c r="GC12" s="505"/>
      <c r="GD12" s="505"/>
      <c r="GE12" s="505"/>
      <c r="GF12" s="505"/>
      <c r="GG12" s="505"/>
      <c r="GH12" s="505"/>
      <c r="GI12" s="505"/>
      <c r="GJ12" s="505"/>
      <c r="GK12" s="505"/>
      <c r="GL12" s="505"/>
      <c r="GM12" s="505"/>
      <c r="GN12" s="505"/>
      <c r="GO12" s="505"/>
      <c r="GP12" s="505"/>
      <c r="GQ12" s="505"/>
      <c r="GR12" s="505"/>
      <c r="GS12" s="505"/>
      <c r="GT12" s="505"/>
      <c r="GU12" s="505"/>
      <c r="GV12" s="505"/>
      <c r="GW12" s="505"/>
      <c r="GX12" s="505"/>
      <c r="GY12" s="505"/>
      <c r="GZ12" s="505"/>
      <c r="HA12" s="505"/>
      <c r="HB12" s="505"/>
      <c r="HC12" s="505"/>
      <c r="HD12" s="505"/>
      <c r="HE12" s="505"/>
      <c r="HF12" s="505"/>
      <c r="HG12" s="505"/>
      <c r="HH12" s="505"/>
      <c r="HI12" s="505"/>
      <c r="HJ12" s="505"/>
      <c r="HK12" s="505"/>
      <c r="HL12" s="505"/>
      <c r="HM12" s="505"/>
      <c r="HN12" s="505"/>
      <c r="HO12" s="505"/>
      <c r="HP12" s="505"/>
      <c r="HQ12" s="505"/>
      <c r="HR12" s="505"/>
      <c r="HS12" s="505"/>
      <c r="HT12" s="505"/>
      <c r="HU12" s="505"/>
      <c r="HV12" s="505"/>
      <c r="HW12" s="505"/>
      <c r="HX12" s="505"/>
      <c r="HY12" s="505"/>
      <c r="HZ12" s="505"/>
      <c r="IA12" s="505"/>
      <c r="IB12" s="505"/>
      <c r="IC12" s="505"/>
      <c r="ID12" s="505"/>
      <c r="IE12" s="505"/>
      <c r="IF12" s="505"/>
      <c r="IG12" s="505"/>
      <c r="IH12" s="505"/>
      <c r="II12" s="505"/>
      <c r="IJ12" s="505"/>
      <c r="IK12" s="505"/>
      <c r="IL12" s="505"/>
      <c r="IM12" s="505"/>
      <c r="IN12" s="505"/>
      <c r="IO12" s="505"/>
      <c r="IP12" s="505"/>
      <c r="IQ12" s="505"/>
      <c r="IR12" s="505"/>
      <c r="IS12" s="505"/>
      <c r="IT12" s="505"/>
      <c r="IU12" s="505"/>
      <c r="IV12" s="505"/>
    </row>
    <row r="13" spans="1:256" ht="48.75" customHeight="1" x14ac:dyDescent="0.2">
      <c r="A13" s="506"/>
      <c r="B13" s="507"/>
      <c r="C13" s="514"/>
      <c r="D13" s="507"/>
      <c r="E13" s="3059"/>
      <c r="F13" s="3060"/>
      <c r="G13" s="3065">
        <v>180</v>
      </c>
      <c r="H13" s="3058" t="s">
        <v>350</v>
      </c>
      <c r="I13" s="2057" t="s">
        <v>351</v>
      </c>
      <c r="J13" s="2628">
        <v>1</v>
      </c>
      <c r="K13" s="3068" t="s">
        <v>352</v>
      </c>
      <c r="L13" s="3052" t="s">
        <v>353</v>
      </c>
      <c r="M13" s="3055" t="s">
        <v>354</v>
      </c>
      <c r="N13" s="2772">
        <f>SUM(S13:S16)/O13</f>
        <v>0.75</v>
      </c>
      <c r="O13" s="3057">
        <f>SUM(S13:S20)</f>
        <v>60000000</v>
      </c>
      <c r="P13" s="3058" t="s">
        <v>355</v>
      </c>
      <c r="Q13" s="2088" t="s">
        <v>356</v>
      </c>
      <c r="R13" s="518" t="s">
        <v>357</v>
      </c>
      <c r="S13" s="681">
        <v>30960000</v>
      </c>
      <c r="T13" s="3065" t="s">
        <v>60</v>
      </c>
      <c r="U13" s="3065" t="s">
        <v>294</v>
      </c>
      <c r="V13" s="3074">
        <v>22611</v>
      </c>
      <c r="W13" s="3074">
        <v>23567</v>
      </c>
      <c r="X13" s="3071">
        <v>40834</v>
      </c>
      <c r="Y13" s="3071">
        <v>2285</v>
      </c>
      <c r="Z13" s="3071">
        <v>3059</v>
      </c>
      <c r="AA13" s="3071"/>
      <c r="AB13" s="3071"/>
      <c r="AC13" s="3071"/>
      <c r="AD13" s="3071"/>
      <c r="AE13" s="3071"/>
      <c r="AF13" s="3071"/>
      <c r="AG13" s="3071"/>
      <c r="AH13" s="3071"/>
      <c r="AI13" s="3071"/>
      <c r="AJ13" s="3071"/>
      <c r="AK13" s="3071">
        <f>V13+W13</f>
        <v>46178</v>
      </c>
      <c r="AL13" s="3080">
        <v>43102</v>
      </c>
      <c r="AM13" s="3082">
        <v>43465</v>
      </c>
      <c r="AN13" s="2776" t="s">
        <v>358</v>
      </c>
    </row>
    <row r="14" spans="1:256" ht="51.75" customHeight="1" x14ac:dyDescent="0.2">
      <c r="A14" s="506"/>
      <c r="B14" s="507"/>
      <c r="C14" s="514"/>
      <c r="D14" s="507"/>
      <c r="E14" s="3061"/>
      <c r="F14" s="3062"/>
      <c r="G14" s="3066"/>
      <c r="H14" s="3055"/>
      <c r="I14" s="2630"/>
      <c r="J14" s="2629"/>
      <c r="K14" s="3069"/>
      <c r="L14" s="3053"/>
      <c r="M14" s="3055"/>
      <c r="N14" s="2466"/>
      <c r="O14" s="3057"/>
      <c r="P14" s="3055"/>
      <c r="Q14" s="2185"/>
      <c r="R14" s="519" t="s">
        <v>359</v>
      </c>
      <c r="S14" s="681">
        <v>3500000</v>
      </c>
      <c r="T14" s="3066"/>
      <c r="U14" s="3066"/>
      <c r="V14" s="3075"/>
      <c r="W14" s="3075"/>
      <c r="X14" s="3072"/>
      <c r="Y14" s="3072"/>
      <c r="Z14" s="3072"/>
      <c r="AA14" s="3072"/>
      <c r="AB14" s="3072"/>
      <c r="AC14" s="3072"/>
      <c r="AD14" s="3072"/>
      <c r="AE14" s="3072"/>
      <c r="AF14" s="3072"/>
      <c r="AG14" s="3072"/>
      <c r="AH14" s="3072"/>
      <c r="AI14" s="3072"/>
      <c r="AJ14" s="3072"/>
      <c r="AK14" s="3072"/>
      <c r="AL14" s="3080"/>
      <c r="AM14" s="3082"/>
      <c r="AN14" s="2776"/>
    </row>
    <row r="15" spans="1:256" ht="63.75" customHeight="1" x14ac:dyDescent="0.2">
      <c r="A15" s="506"/>
      <c r="B15" s="507"/>
      <c r="C15" s="514"/>
      <c r="D15" s="507"/>
      <c r="E15" s="3061"/>
      <c r="F15" s="3062"/>
      <c r="G15" s="3066"/>
      <c r="H15" s="3055"/>
      <c r="I15" s="2630"/>
      <c r="J15" s="2629"/>
      <c r="K15" s="3069"/>
      <c r="L15" s="3053"/>
      <c r="M15" s="3055"/>
      <c r="N15" s="2466"/>
      <c r="O15" s="3057"/>
      <c r="P15" s="3055"/>
      <c r="Q15" s="2185"/>
      <c r="R15" s="684" t="s">
        <v>360</v>
      </c>
      <c r="S15" s="681">
        <v>3280000</v>
      </c>
      <c r="T15" s="3066"/>
      <c r="U15" s="3066"/>
      <c r="V15" s="3075"/>
      <c r="W15" s="3075"/>
      <c r="X15" s="3072"/>
      <c r="Y15" s="3072"/>
      <c r="Z15" s="3072"/>
      <c r="AA15" s="3072"/>
      <c r="AB15" s="3072"/>
      <c r="AC15" s="3072"/>
      <c r="AD15" s="3072"/>
      <c r="AE15" s="3072"/>
      <c r="AF15" s="3072"/>
      <c r="AG15" s="3072"/>
      <c r="AH15" s="3072"/>
      <c r="AI15" s="3072"/>
      <c r="AJ15" s="3072"/>
      <c r="AK15" s="3072"/>
      <c r="AL15" s="3080"/>
      <c r="AM15" s="3082"/>
      <c r="AN15" s="2776"/>
    </row>
    <row r="16" spans="1:256" ht="66" customHeight="1" x14ac:dyDescent="0.2">
      <c r="A16" s="506"/>
      <c r="B16" s="507"/>
      <c r="C16" s="514"/>
      <c r="D16" s="507"/>
      <c r="E16" s="3061"/>
      <c r="F16" s="3062"/>
      <c r="G16" s="3067"/>
      <c r="H16" s="3056"/>
      <c r="I16" s="2648"/>
      <c r="J16" s="2639"/>
      <c r="K16" s="3069"/>
      <c r="L16" s="3053"/>
      <c r="M16" s="3055"/>
      <c r="N16" s="2773"/>
      <c r="O16" s="3057"/>
      <c r="P16" s="3055"/>
      <c r="Q16" s="2089"/>
      <c r="R16" s="684" t="s">
        <v>360</v>
      </c>
      <c r="S16" s="681">
        <v>7260000</v>
      </c>
      <c r="T16" s="3066"/>
      <c r="U16" s="3066"/>
      <c r="V16" s="3075"/>
      <c r="W16" s="3075"/>
      <c r="X16" s="3072"/>
      <c r="Y16" s="3072"/>
      <c r="Z16" s="3072"/>
      <c r="AA16" s="3072"/>
      <c r="AB16" s="3072"/>
      <c r="AC16" s="3072"/>
      <c r="AD16" s="3072"/>
      <c r="AE16" s="3072"/>
      <c r="AF16" s="3072"/>
      <c r="AG16" s="3072"/>
      <c r="AH16" s="3072"/>
      <c r="AI16" s="3072"/>
      <c r="AJ16" s="3072"/>
      <c r="AK16" s="3072"/>
      <c r="AL16" s="3080"/>
      <c r="AM16" s="3082"/>
      <c r="AN16" s="2776"/>
    </row>
    <row r="17" spans="1:40" ht="66" customHeight="1" x14ac:dyDescent="0.2">
      <c r="A17" s="506"/>
      <c r="B17" s="507"/>
      <c r="C17" s="514"/>
      <c r="D17" s="507"/>
      <c r="E17" s="3061"/>
      <c r="F17" s="3062"/>
      <c r="G17" s="3065">
        <v>181</v>
      </c>
      <c r="H17" s="3058" t="s">
        <v>361</v>
      </c>
      <c r="I17" s="2057" t="s">
        <v>362</v>
      </c>
      <c r="J17" s="2628">
        <v>6</v>
      </c>
      <c r="K17" s="3069"/>
      <c r="L17" s="3053"/>
      <c r="M17" s="3055"/>
      <c r="N17" s="2772">
        <f>SUM(S17:S20)/O13</f>
        <v>0.25</v>
      </c>
      <c r="O17" s="3057"/>
      <c r="P17" s="3055"/>
      <c r="Q17" s="2088" t="s">
        <v>363</v>
      </c>
      <c r="R17" s="520" t="s">
        <v>364</v>
      </c>
      <c r="S17" s="681">
        <v>3750000</v>
      </c>
      <c r="T17" s="3066"/>
      <c r="U17" s="3066"/>
      <c r="V17" s="3075"/>
      <c r="W17" s="3075"/>
      <c r="X17" s="3072"/>
      <c r="Y17" s="3072"/>
      <c r="Z17" s="3072"/>
      <c r="AA17" s="3072"/>
      <c r="AB17" s="3072"/>
      <c r="AC17" s="3072"/>
      <c r="AD17" s="3072"/>
      <c r="AE17" s="3072"/>
      <c r="AF17" s="3072"/>
      <c r="AG17" s="3072"/>
      <c r="AH17" s="3072"/>
      <c r="AI17" s="3072"/>
      <c r="AJ17" s="3072"/>
      <c r="AK17" s="3072"/>
      <c r="AL17" s="3080"/>
      <c r="AM17" s="3082"/>
      <c r="AN17" s="2776"/>
    </row>
    <row r="18" spans="1:40" ht="72" customHeight="1" x14ac:dyDescent="0.2">
      <c r="A18" s="506"/>
      <c r="B18" s="507"/>
      <c r="C18" s="514"/>
      <c r="D18" s="507"/>
      <c r="E18" s="3061"/>
      <c r="F18" s="3062"/>
      <c r="G18" s="3066"/>
      <c r="H18" s="3055"/>
      <c r="I18" s="2630"/>
      <c r="J18" s="2629"/>
      <c r="K18" s="3069"/>
      <c r="L18" s="3053"/>
      <c r="M18" s="3055"/>
      <c r="N18" s="2466"/>
      <c r="O18" s="3057"/>
      <c r="P18" s="3055"/>
      <c r="Q18" s="2185"/>
      <c r="R18" s="520" t="s">
        <v>365</v>
      </c>
      <c r="S18" s="681">
        <v>3750000</v>
      </c>
      <c r="T18" s="3066"/>
      <c r="U18" s="3066"/>
      <c r="V18" s="3075"/>
      <c r="W18" s="3075"/>
      <c r="X18" s="3072"/>
      <c r="Y18" s="3072"/>
      <c r="Z18" s="3072"/>
      <c r="AA18" s="3072"/>
      <c r="AB18" s="3072"/>
      <c r="AC18" s="3072"/>
      <c r="AD18" s="3072"/>
      <c r="AE18" s="3072"/>
      <c r="AF18" s="3072"/>
      <c r="AG18" s="3072"/>
      <c r="AH18" s="3072"/>
      <c r="AI18" s="3072"/>
      <c r="AJ18" s="3072"/>
      <c r="AK18" s="3072"/>
      <c r="AL18" s="3080"/>
      <c r="AM18" s="3082"/>
      <c r="AN18" s="2776"/>
    </row>
    <row r="19" spans="1:40" ht="66" customHeight="1" x14ac:dyDescent="0.2">
      <c r="A19" s="506"/>
      <c r="B19" s="507"/>
      <c r="C19" s="514"/>
      <c r="D19" s="507"/>
      <c r="E19" s="3061"/>
      <c r="F19" s="3062"/>
      <c r="G19" s="3066"/>
      <c r="H19" s="3055"/>
      <c r="I19" s="2630"/>
      <c r="J19" s="2629"/>
      <c r="K19" s="3069"/>
      <c r="L19" s="3053"/>
      <c r="M19" s="3055"/>
      <c r="N19" s="2466"/>
      <c r="O19" s="3057"/>
      <c r="P19" s="3055"/>
      <c r="Q19" s="2185"/>
      <c r="R19" s="520" t="s">
        <v>366</v>
      </c>
      <c r="S19" s="681">
        <v>3750000</v>
      </c>
      <c r="T19" s="3066"/>
      <c r="U19" s="3066"/>
      <c r="V19" s="3075"/>
      <c r="W19" s="3075"/>
      <c r="X19" s="3072"/>
      <c r="Y19" s="3072"/>
      <c r="Z19" s="3072"/>
      <c r="AA19" s="3072"/>
      <c r="AB19" s="3072"/>
      <c r="AC19" s="3072"/>
      <c r="AD19" s="3072"/>
      <c r="AE19" s="3072"/>
      <c r="AF19" s="3072"/>
      <c r="AG19" s="3072"/>
      <c r="AH19" s="3072"/>
      <c r="AI19" s="3072"/>
      <c r="AJ19" s="3072"/>
      <c r="AK19" s="3072"/>
      <c r="AL19" s="3080"/>
      <c r="AM19" s="3082"/>
      <c r="AN19" s="2776"/>
    </row>
    <row r="20" spans="1:40" ht="50.25" customHeight="1" x14ac:dyDescent="0.2">
      <c r="A20" s="506"/>
      <c r="B20" s="507"/>
      <c r="C20" s="521"/>
      <c r="D20" s="522"/>
      <c r="E20" s="3063"/>
      <c r="F20" s="3064"/>
      <c r="G20" s="3067"/>
      <c r="H20" s="3056"/>
      <c r="I20" s="2648"/>
      <c r="J20" s="2639"/>
      <c r="K20" s="3070"/>
      <c r="L20" s="3054"/>
      <c r="M20" s="3056"/>
      <c r="N20" s="2773"/>
      <c r="O20" s="2489"/>
      <c r="P20" s="3056"/>
      <c r="Q20" s="2089"/>
      <c r="R20" s="519" t="s">
        <v>367</v>
      </c>
      <c r="S20" s="420">
        <v>3750000</v>
      </c>
      <c r="T20" s="3067"/>
      <c r="U20" s="3067"/>
      <c r="V20" s="3076"/>
      <c r="W20" s="3076"/>
      <c r="X20" s="3073"/>
      <c r="Y20" s="3073"/>
      <c r="Z20" s="3073"/>
      <c r="AA20" s="3073"/>
      <c r="AB20" s="3073"/>
      <c r="AC20" s="3073"/>
      <c r="AD20" s="3073"/>
      <c r="AE20" s="3073"/>
      <c r="AF20" s="3073"/>
      <c r="AG20" s="3073"/>
      <c r="AH20" s="3073"/>
      <c r="AI20" s="3073"/>
      <c r="AJ20" s="3073"/>
      <c r="AK20" s="3073"/>
      <c r="AL20" s="3081"/>
      <c r="AM20" s="3083"/>
      <c r="AN20" s="2776"/>
    </row>
    <row r="21" spans="1:40" ht="15.75" x14ac:dyDescent="0.2">
      <c r="A21" s="506"/>
      <c r="B21" s="507"/>
      <c r="C21" s="508">
        <v>17</v>
      </c>
      <c r="D21" s="523" t="s">
        <v>368</v>
      </c>
      <c r="E21" s="524"/>
      <c r="F21" s="524"/>
      <c r="G21" s="524"/>
      <c r="H21" s="525"/>
      <c r="I21" s="525"/>
      <c r="J21" s="524"/>
      <c r="K21" s="524"/>
      <c r="L21" s="524"/>
      <c r="M21" s="525"/>
      <c r="N21" s="524"/>
      <c r="O21" s="526"/>
      <c r="P21" s="525"/>
      <c r="Q21" s="525"/>
      <c r="R21" s="525"/>
      <c r="S21" s="527"/>
      <c r="T21" s="528"/>
      <c r="U21" s="525"/>
      <c r="V21" s="524"/>
      <c r="W21" s="524"/>
      <c r="X21" s="524"/>
      <c r="Y21" s="524"/>
      <c r="Z21" s="524"/>
      <c r="AA21" s="524"/>
      <c r="AB21" s="524"/>
      <c r="AC21" s="524"/>
      <c r="AD21" s="524"/>
      <c r="AE21" s="524"/>
      <c r="AF21" s="524"/>
      <c r="AG21" s="524"/>
      <c r="AH21" s="524"/>
      <c r="AI21" s="524"/>
      <c r="AJ21" s="524"/>
      <c r="AK21" s="524"/>
      <c r="AL21" s="524"/>
      <c r="AM21" s="524"/>
      <c r="AN21" s="529"/>
    </row>
    <row r="22" spans="1:40" ht="15.75" x14ac:dyDescent="0.2">
      <c r="A22" s="506"/>
      <c r="B22" s="507"/>
      <c r="C22" s="530"/>
      <c r="D22" s="531"/>
      <c r="E22" s="515">
        <v>58</v>
      </c>
      <c r="F22" s="516" t="s">
        <v>369</v>
      </c>
      <c r="G22" s="689"/>
      <c r="H22" s="193"/>
      <c r="I22" s="193"/>
      <c r="J22" s="689"/>
      <c r="K22" s="689"/>
      <c r="L22" s="689"/>
      <c r="M22" s="193"/>
      <c r="N22" s="689"/>
      <c r="O22" s="532"/>
      <c r="P22" s="193"/>
      <c r="Q22" s="193"/>
      <c r="R22" s="193"/>
      <c r="S22" s="197"/>
      <c r="T22" s="194"/>
      <c r="U22" s="193"/>
      <c r="V22" s="689"/>
      <c r="W22" s="689"/>
      <c r="X22" s="689"/>
      <c r="Y22" s="689"/>
      <c r="Z22" s="689"/>
      <c r="AA22" s="689"/>
      <c r="AB22" s="689"/>
      <c r="AC22" s="689"/>
      <c r="AD22" s="689"/>
      <c r="AE22" s="689"/>
      <c r="AF22" s="689"/>
      <c r="AG22" s="689"/>
      <c r="AH22" s="689"/>
      <c r="AI22" s="689"/>
      <c r="AJ22" s="689"/>
      <c r="AK22" s="689"/>
      <c r="AL22" s="689"/>
      <c r="AM22" s="689"/>
      <c r="AN22" s="533"/>
    </row>
    <row r="23" spans="1:40" ht="51.75" customHeight="1" x14ac:dyDescent="0.2">
      <c r="A23" s="506"/>
      <c r="B23" s="507"/>
      <c r="C23" s="530"/>
      <c r="D23" s="531"/>
      <c r="E23" s="534"/>
      <c r="F23" s="535"/>
      <c r="G23" s="2415">
        <v>183</v>
      </c>
      <c r="H23" s="3077" t="s">
        <v>370</v>
      </c>
      <c r="I23" s="3077" t="s">
        <v>371</v>
      </c>
      <c r="J23" s="3078">
        <v>1</v>
      </c>
      <c r="K23" s="3068" t="s">
        <v>372</v>
      </c>
      <c r="L23" s="3053" t="s">
        <v>373</v>
      </c>
      <c r="M23" s="3055" t="s">
        <v>374</v>
      </c>
      <c r="N23" s="2466">
        <f>SUM(S23:S31)/O23</f>
        <v>1</v>
      </c>
      <c r="O23" s="3057">
        <f>SUM(S23:S31)</f>
        <v>180000000</v>
      </c>
      <c r="P23" s="3055" t="s">
        <v>375</v>
      </c>
      <c r="Q23" s="2088" t="s">
        <v>376</v>
      </c>
      <c r="R23" s="536" t="s">
        <v>377</v>
      </c>
      <c r="S23" s="537">
        <v>11000000</v>
      </c>
      <c r="T23" s="3066">
        <v>20</v>
      </c>
      <c r="U23" s="3066" t="s">
        <v>61</v>
      </c>
      <c r="V23" s="3084">
        <v>86919</v>
      </c>
      <c r="W23" s="3084">
        <v>83570</v>
      </c>
      <c r="X23" s="3084">
        <v>40912</v>
      </c>
      <c r="Y23" s="3084">
        <v>8243</v>
      </c>
      <c r="Z23" s="3084">
        <v>96919</v>
      </c>
      <c r="AA23" s="3084">
        <v>24415</v>
      </c>
      <c r="AB23" s="3084"/>
      <c r="AC23" s="3084"/>
      <c r="AD23" s="3084"/>
      <c r="AE23" s="3084"/>
      <c r="AF23" s="3084"/>
      <c r="AG23" s="3084"/>
      <c r="AH23" s="3084"/>
      <c r="AI23" s="3084"/>
      <c r="AJ23" s="3084"/>
      <c r="AK23" s="3092">
        <f>V23+W23</f>
        <v>170489</v>
      </c>
      <c r="AL23" s="2601">
        <v>43102</v>
      </c>
      <c r="AM23" s="2603">
        <v>43465</v>
      </c>
      <c r="AN23" s="2776" t="s">
        <v>358</v>
      </c>
    </row>
    <row r="24" spans="1:40" ht="42.75" customHeight="1" x14ac:dyDescent="0.2">
      <c r="A24" s="506"/>
      <c r="B24" s="507"/>
      <c r="C24" s="530"/>
      <c r="D24" s="531"/>
      <c r="E24" s="530"/>
      <c r="F24" s="531"/>
      <c r="G24" s="2415"/>
      <c r="H24" s="3077"/>
      <c r="I24" s="3077"/>
      <c r="J24" s="3078"/>
      <c r="K24" s="3069"/>
      <c r="L24" s="3053"/>
      <c r="M24" s="3055"/>
      <c r="N24" s="2466"/>
      <c r="O24" s="3057"/>
      <c r="P24" s="3055"/>
      <c r="Q24" s="2185"/>
      <c r="R24" s="520" t="s">
        <v>378</v>
      </c>
      <c r="S24" s="537">
        <v>11000000</v>
      </c>
      <c r="T24" s="3066"/>
      <c r="U24" s="3066"/>
      <c r="V24" s="3084"/>
      <c r="W24" s="3084"/>
      <c r="X24" s="3084"/>
      <c r="Y24" s="3084"/>
      <c r="Z24" s="3084"/>
      <c r="AA24" s="3084"/>
      <c r="AB24" s="3084"/>
      <c r="AC24" s="3084"/>
      <c r="AD24" s="3084"/>
      <c r="AE24" s="3084"/>
      <c r="AF24" s="3084"/>
      <c r="AG24" s="3084"/>
      <c r="AH24" s="3084"/>
      <c r="AI24" s="3084"/>
      <c r="AJ24" s="3084"/>
      <c r="AK24" s="3084"/>
      <c r="AL24" s="2602"/>
      <c r="AM24" s="2603"/>
      <c r="AN24" s="2776"/>
    </row>
    <row r="25" spans="1:40" ht="30" customHeight="1" x14ac:dyDescent="0.2">
      <c r="A25" s="506"/>
      <c r="B25" s="507"/>
      <c r="C25" s="530"/>
      <c r="D25" s="531"/>
      <c r="E25" s="530"/>
      <c r="F25" s="531"/>
      <c r="G25" s="2415"/>
      <c r="H25" s="3077"/>
      <c r="I25" s="3077"/>
      <c r="J25" s="3078"/>
      <c r="K25" s="3069"/>
      <c r="L25" s="3053"/>
      <c r="M25" s="3055"/>
      <c r="N25" s="2466"/>
      <c r="O25" s="3057"/>
      <c r="P25" s="3055"/>
      <c r="Q25" s="2185"/>
      <c r="R25" s="538" t="s">
        <v>379</v>
      </c>
      <c r="S25" s="537">
        <v>81190000</v>
      </c>
      <c r="T25" s="3066"/>
      <c r="U25" s="3066"/>
      <c r="V25" s="3084"/>
      <c r="W25" s="3084"/>
      <c r="X25" s="3084"/>
      <c r="Y25" s="3084"/>
      <c r="Z25" s="3084"/>
      <c r="AA25" s="3084"/>
      <c r="AB25" s="3084"/>
      <c r="AC25" s="3084"/>
      <c r="AD25" s="3084"/>
      <c r="AE25" s="3084"/>
      <c r="AF25" s="3084"/>
      <c r="AG25" s="3084"/>
      <c r="AH25" s="3084"/>
      <c r="AI25" s="3084"/>
      <c r="AJ25" s="3084"/>
      <c r="AK25" s="3084"/>
      <c r="AL25" s="2602"/>
      <c r="AM25" s="2603"/>
      <c r="AN25" s="2776"/>
    </row>
    <row r="26" spans="1:40" ht="54" customHeight="1" x14ac:dyDescent="0.2">
      <c r="A26" s="506"/>
      <c r="B26" s="507"/>
      <c r="C26" s="530"/>
      <c r="D26" s="531"/>
      <c r="E26" s="530"/>
      <c r="F26" s="531"/>
      <c r="G26" s="2415"/>
      <c r="H26" s="3077"/>
      <c r="I26" s="3077"/>
      <c r="J26" s="3078"/>
      <c r="K26" s="3069"/>
      <c r="L26" s="3053"/>
      <c r="M26" s="3055"/>
      <c r="N26" s="2466"/>
      <c r="O26" s="3057"/>
      <c r="P26" s="3055"/>
      <c r="Q26" s="2185"/>
      <c r="R26" s="520" t="s">
        <v>380</v>
      </c>
      <c r="S26" s="537">
        <v>5500000</v>
      </c>
      <c r="T26" s="3066"/>
      <c r="U26" s="3066"/>
      <c r="V26" s="3084"/>
      <c r="W26" s="3084"/>
      <c r="X26" s="3084"/>
      <c r="Y26" s="3084"/>
      <c r="Z26" s="3084"/>
      <c r="AA26" s="3084"/>
      <c r="AB26" s="3084"/>
      <c r="AC26" s="3084"/>
      <c r="AD26" s="3084"/>
      <c r="AE26" s="3084"/>
      <c r="AF26" s="3084"/>
      <c r="AG26" s="3084"/>
      <c r="AH26" s="3084"/>
      <c r="AI26" s="3084"/>
      <c r="AJ26" s="3084"/>
      <c r="AK26" s="3084"/>
      <c r="AL26" s="2602"/>
      <c r="AM26" s="2603"/>
      <c r="AN26" s="2776"/>
    </row>
    <row r="27" spans="1:40" ht="53.25" customHeight="1" x14ac:dyDescent="0.2">
      <c r="A27" s="506"/>
      <c r="B27" s="507"/>
      <c r="C27" s="530"/>
      <c r="D27" s="531"/>
      <c r="E27" s="530"/>
      <c r="F27" s="531"/>
      <c r="G27" s="2415"/>
      <c r="H27" s="3077"/>
      <c r="I27" s="3077"/>
      <c r="J27" s="3078"/>
      <c r="K27" s="3069"/>
      <c r="L27" s="3053"/>
      <c r="M27" s="3055"/>
      <c r="N27" s="2466"/>
      <c r="O27" s="3057"/>
      <c r="P27" s="3055"/>
      <c r="Q27" s="2185"/>
      <c r="R27" s="539" t="s">
        <v>381</v>
      </c>
      <c r="S27" s="537">
        <v>37180000</v>
      </c>
      <c r="T27" s="3066"/>
      <c r="U27" s="3066"/>
      <c r="V27" s="3084"/>
      <c r="W27" s="3084"/>
      <c r="X27" s="3084"/>
      <c r="Y27" s="3084"/>
      <c r="Z27" s="3084"/>
      <c r="AA27" s="3084"/>
      <c r="AB27" s="3084"/>
      <c r="AC27" s="3084"/>
      <c r="AD27" s="3084"/>
      <c r="AE27" s="3084"/>
      <c r="AF27" s="3084"/>
      <c r="AG27" s="3084"/>
      <c r="AH27" s="3084"/>
      <c r="AI27" s="3084"/>
      <c r="AJ27" s="3084"/>
      <c r="AK27" s="3084"/>
      <c r="AL27" s="2602"/>
      <c r="AM27" s="2603"/>
      <c r="AN27" s="2776"/>
    </row>
    <row r="28" spans="1:40" ht="51" customHeight="1" x14ac:dyDescent="0.2">
      <c r="A28" s="506"/>
      <c r="B28" s="507"/>
      <c r="C28" s="530"/>
      <c r="D28" s="531"/>
      <c r="E28" s="530"/>
      <c r="F28" s="531"/>
      <c r="G28" s="2415"/>
      <c r="H28" s="3077"/>
      <c r="I28" s="3077"/>
      <c r="J28" s="3078"/>
      <c r="K28" s="3069"/>
      <c r="L28" s="3053"/>
      <c r="M28" s="3055"/>
      <c r="N28" s="2466"/>
      <c r="O28" s="3057"/>
      <c r="P28" s="3055"/>
      <c r="Q28" s="2185"/>
      <c r="R28" s="539" t="s">
        <v>382</v>
      </c>
      <c r="S28" s="537">
        <v>5610000</v>
      </c>
      <c r="T28" s="3066"/>
      <c r="U28" s="3066"/>
      <c r="V28" s="3084"/>
      <c r="W28" s="3084"/>
      <c r="X28" s="3084"/>
      <c r="Y28" s="3084"/>
      <c r="Z28" s="3084"/>
      <c r="AA28" s="3084"/>
      <c r="AB28" s="3084"/>
      <c r="AC28" s="3084"/>
      <c r="AD28" s="3084"/>
      <c r="AE28" s="3084"/>
      <c r="AF28" s="3084"/>
      <c r="AG28" s="3084"/>
      <c r="AH28" s="3084"/>
      <c r="AI28" s="3084"/>
      <c r="AJ28" s="3084"/>
      <c r="AK28" s="3084"/>
      <c r="AL28" s="2602"/>
      <c r="AM28" s="2603"/>
      <c r="AN28" s="2776"/>
    </row>
    <row r="29" spans="1:40" ht="52.5" customHeight="1" x14ac:dyDescent="0.2">
      <c r="A29" s="506"/>
      <c r="B29" s="507"/>
      <c r="C29" s="530"/>
      <c r="D29" s="531"/>
      <c r="E29" s="530"/>
      <c r="F29" s="531"/>
      <c r="G29" s="2415"/>
      <c r="H29" s="3077"/>
      <c r="I29" s="3077"/>
      <c r="J29" s="3078"/>
      <c r="K29" s="3069"/>
      <c r="L29" s="3053"/>
      <c r="M29" s="3055"/>
      <c r="N29" s="2466"/>
      <c r="O29" s="3057"/>
      <c r="P29" s="3055"/>
      <c r="Q29" s="2089"/>
      <c r="R29" s="540" t="s">
        <v>383</v>
      </c>
      <c r="S29" s="537">
        <v>14520000</v>
      </c>
      <c r="T29" s="3066"/>
      <c r="U29" s="3066"/>
      <c r="V29" s="3084"/>
      <c r="W29" s="3084"/>
      <c r="X29" s="3084"/>
      <c r="Y29" s="3084"/>
      <c r="Z29" s="3084"/>
      <c r="AA29" s="3084"/>
      <c r="AB29" s="3084"/>
      <c r="AC29" s="3084"/>
      <c r="AD29" s="3084"/>
      <c r="AE29" s="3084"/>
      <c r="AF29" s="3084"/>
      <c r="AG29" s="3084"/>
      <c r="AH29" s="3084"/>
      <c r="AI29" s="3084"/>
      <c r="AJ29" s="3084"/>
      <c r="AK29" s="3084"/>
      <c r="AL29" s="2602"/>
      <c r="AM29" s="2603"/>
      <c r="AN29" s="2776"/>
    </row>
    <row r="30" spans="1:40" ht="46.5" customHeight="1" x14ac:dyDescent="0.2">
      <c r="A30" s="506"/>
      <c r="B30" s="507"/>
      <c r="C30" s="530"/>
      <c r="D30" s="531"/>
      <c r="E30" s="530"/>
      <c r="F30" s="531"/>
      <c r="G30" s="2415"/>
      <c r="H30" s="3077"/>
      <c r="I30" s="3077"/>
      <c r="J30" s="3078"/>
      <c r="K30" s="3069"/>
      <c r="L30" s="3053"/>
      <c r="M30" s="3055"/>
      <c r="N30" s="2466"/>
      <c r="O30" s="3057"/>
      <c r="P30" s="3055"/>
      <c r="Q30" s="2088" t="s">
        <v>384</v>
      </c>
      <c r="R30" s="519" t="s">
        <v>385</v>
      </c>
      <c r="S30" s="537">
        <v>6000000</v>
      </c>
      <c r="T30" s="3066"/>
      <c r="U30" s="3066"/>
      <c r="V30" s="3084"/>
      <c r="W30" s="3084"/>
      <c r="X30" s="3084"/>
      <c r="Y30" s="3084"/>
      <c r="Z30" s="3084"/>
      <c r="AA30" s="3084"/>
      <c r="AB30" s="3084"/>
      <c r="AC30" s="3084"/>
      <c r="AD30" s="3084"/>
      <c r="AE30" s="3084"/>
      <c r="AF30" s="3084"/>
      <c r="AG30" s="3084"/>
      <c r="AH30" s="3084"/>
      <c r="AI30" s="3084"/>
      <c r="AJ30" s="3084"/>
      <c r="AK30" s="3084"/>
      <c r="AL30" s="2602"/>
      <c r="AM30" s="2603"/>
      <c r="AN30" s="2776"/>
    </row>
    <row r="31" spans="1:40" ht="54.75" customHeight="1" x14ac:dyDescent="0.2">
      <c r="A31" s="506"/>
      <c r="B31" s="507"/>
      <c r="C31" s="530"/>
      <c r="D31" s="531"/>
      <c r="E31" s="530"/>
      <c r="F31" s="531"/>
      <c r="G31" s="2415"/>
      <c r="H31" s="3077"/>
      <c r="I31" s="3077"/>
      <c r="J31" s="3079"/>
      <c r="K31" s="3069"/>
      <c r="L31" s="3053"/>
      <c r="M31" s="3055"/>
      <c r="N31" s="2466"/>
      <c r="O31" s="3085"/>
      <c r="P31" s="3055"/>
      <c r="Q31" s="2185"/>
      <c r="R31" s="519" t="s">
        <v>386</v>
      </c>
      <c r="S31" s="541">
        <v>8000000</v>
      </c>
      <c r="T31" s="3066"/>
      <c r="U31" s="3066"/>
      <c r="V31" s="3084"/>
      <c r="W31" s="3084"/>
      <c r="X31" s="3084"/>
      <c r="Y31" s="3084"/>
      <c r="Z31" s="3084"/>
      <c r="AA31" s="3084"/>
      <c r="AB31" s="3084"/>
      <c r="AC31" s="3084"/>
      <c r="AD31" s="3084"/>
      <c r="AE31" s="3084"/>
      <c r="AF31" s="3084"/>
      <c r="AG31" s="3084"/>
      <c r="AH31" s="3084"/>
      <c r="AI31" s="3084"/>
      <c r="AJ31" s="3084"/>
      <c r="AK31" s="3093"/>
      <c r="AL31" s="2602"/>
      <c r="AM31" s="2601"/>
      <c r="AN31" s="2776"/>
    </row>
    <row r="32" spans="1:40" ht="15.75" x14ac:dyDescent="0.2">
      <c r="A32" s="506"/>
      <c r="B32" s="507"/>
      <c r="C32" s="530"/>
      <c r="D32" s="531"/>
      <c r="E32" s="515">
        <v>59</v>
      </c>
      <c r="F32" s="516" t="s">
        <v>387</v>
      </c>
      <c r="G32" s="542"/>
      <c r="H32" s="193"/>
      <c r="I32" s="193"/>
      <c r="J32" s="689"/>
      <c r="K32" s="689"/>
      <c r="L32" s="689"/>
      <c r="M32" s="193"/>
      <c r="N32" s="689"/>
      <c r="O32" s="532"/>
      <c r="P32" s="193"/>
      <c r="Q32" s="199"/>
      <c r="R32" s="193" t="s">
        <v>388</v>
      </c>
      <c r="S32" s="197"/>
      <c r="T32" s="194"/>
      <c r="U32" s="193"/>
      <c r="V32" s="689"/>
      <c r="W32" s="689"/>
      <c r="X32" s="689"/>
      <c r="Y32" s="689"/>
      <c r="Z32" s="689"/>
      <c r="AA32" s="689"/>
      <c r="AB32" s="689"/>
      <c r="AC32" s="689"/>
      <c r="AD32" s="689"/>
      <c r="AE32" s="689"/>
      <c r="AF32" s="689"/>
      <c r="AG32" s="689"/>
      <c r="AH32" s="689"/>
      <c r="AI32" s="689"/>
      <c r="AJ32" s="689"/>
      <c r="AK32" s="689"/>
      <c r="AL32" s="689"/>
      <c r="AM32" s="689"/>
      <c r="AN32" s="533"/>
    </row>
    <row r="33" spans="1:256" ht="52.5" customHeight="1" x14ac:dyDescent="0.2">
      <c r="A33" s="506"/>
      <c r="B33" s="507"/>
      <c r="C33" s="530"/>
      <c r="D33" s="531"/>
      <c r="E33" s="543"/>
      <c r="F33" s="544"/>
      <c r="G33" s="2047">
        <v>184</v>
      </c>
      <c r="H33" s="3086" t="s">
        <v>389</v>
      </c>
      <c r="I33" s="2057" t="s">
        <v>390</v>
      </c>
      <c r="J33" s="2979">
        <v>1</v>
      </c>
      <c r="K33" s="545"/>
      <c r="L33" s="3052" t="s">
        <v>391</v>
      </c>
      <c r="M33" s="3089" t="s">
        <v>392</v>
      </c>
      <c r="N33" s="2772">
        <f>SUM(S33:S40)/O33</f>
        <v>0.84615384615384615</v>
      </c>
      <c r="O33" s="2489">
        <f>SUM(S33:S46)</f>
        <v>520000000</v>
      </c>
      <c r="P33" s="3096" t="s">
        <v>393</v>
      </c>
      <c r="Q33" s="2049" t="s">
        <v>394</v>
      </c>
      <c r="R33" s="546" t="s">
        <v>395</v>
      </c>
      <c r="S33" s="700">
        <v>14520000</v>
      </c>
      <c r="T33" s="3098"/>
      <c r="U33" s="3098"/>
      <c r="V33" s="3094">
        <f>(66444+22325)*30%+(156158*1%)</f>
        <v>28192.28</v>
      </c>
      <c r="W33" s="3094">
        <f>(69670+23382)*30%+(149648*1%)</f>
        <v>29412.079999999998</v>
      </c>
      <c r="X33" s="2860">
        <f>(136114*30%)</f>
        <v>40834.199999999997</v>
      </c>
      <c r="Y33" s="3095">
        <f>(45707*30%)</f>
        <v>13712.1</v>
      </c>
      <c r="Z33" s="3095">
        <f>(305806*1%)</f>
        <v>3058.06</v>
      </c>
      <c r="AA33" s="2860"/>
      <c r="AB33" s="2860"/>
      <c r="AC33" s="2860"/>
      <c r="AD33" s="2860"/>
      <c r="AE33" s="2860"/>
      <c r="AF33" s="2860"/>
      <c r="AG33" s="2860"/>
      <c r="AH33" s="2860"/>
      <c r="AI33" s="2860"/>
      <c r="AJ33" s="2860"/>
      <c r="AK33" s="3101">
        <f>V33+W33</f>
        <v>57604.36</v>
      </c>
      <c r="AL33" s="3102">
        <v>43102</v>
      </c>
      <c r="AM33" s="3102">
        <v>43465</v>
      </c>
      <c r="AN33" s="2776" t="s">
        <v>358</v>
      </c>
    </row>
    <row r="34" spans="1:256" ht="37.5" customHeight="1" x14ac:dyDescent="0.2">
      <c r="A34" s="506"/>
      <c r="B34" s="507"/>
      <c r="C34" s="530"/>
      <c r="D34" s="531"/>
      <c r="E34" s="543"/>
      <c r="F34" s="544"/>
      <c r="G34" s="2047"/>
      <c r="H34" s="3087"/>
      <c r="I34" s="2630"/>
      <c r="J34" s="2980"/>
      <c r="K34" s="547"/>
      <c r="L34" s="3053"/>
      <c r="M34" s="3090"/>
      <c r="N34" s="2466"/>
      <c r="O34" s="2489"/>
      <c r="P34" s="3096"/>
      <c r="Q34" s="2049"/>
      <c r="R34" s="548" t="s">
        <v>396</v>
      </c>
      <c r="S34" s="549">
        <v>12000000</v>
      </c>
      <c r="T34" s="3099"/>
      <c r="U34" s="3099"/>
      <c r="V34" s="3094"/>
      <c r="W34" s="3094"/>
      <c r="X34" s="2860"/>
      <c r="Y34" s="3095"/>
      <c r="Z34" s="3095"/>
      <c r="AA34" s="2860"/>
      <c r="AB34" s="2860"/>
      <c r="AC34" s="2860"/>
      <c r="AD34" s="2860"/>
      <c r="AE34" s="2860"/>
      <c r="AF34" s="2860"/>
      <c r="AG34" s="2860"/>
      <c r="AH34" s="2860"/>
      <c r="AI34" s="2860"/>
      <c r="AJ34" s="2860"/>
      <c r="AK34" s="2980"/>
      <c r="AL34" s="3102"/>
      <c r="AM34" s="3102"/>
      <c r="AN34" s="2776"/>
    </row>
    <row r="35" spans="1:256" ht="51" customHeight="1" x14ac:dyDescent="0.2">
      <c r="A35" s="506"/>
      <c r="B35" s="507"/>
      <c r="C35" s="530"/>
      <c r="D35" s="531"/>
      <c r="E35" s="543"/>
      <c r="F35" s="544"/>
      <c r="G35" s="2047"/>
      <c r="H35" s="3087"/>
      <c r="I35" s="2630"/>
      <c r="J35" s="2980"/>
      <c r="K35" s="547"/>
      <c r="L35" s="3053"/>
      <c r="M35" s="3090"/>
      <c r="N35" s="2466"/>
      <c r="O35" s="2489"/>
      <c r="P35" s="3096"/>
      <c r="Q35" s="2049"/>
      <c r="R35" s="550" t="s">
        <v>397</v>
      </c>
      <c r="S35" s="701">
        <v>25040000</v>
      </c>
      <c r="T35" s="3099"/>
      <c r="U35" s="3099"/>
      <c r="V35" s="3094"/>
      <c r="W35" s="3094"/>
      <c r="X35" s="2860"/>
      <c r="Y35" s="3095"/>
      <c r="Z35" s="3095"/>
      <c r="AA35" s="2860"/>
      <c r="AB35" s="2860"/>
      <c r="AC35" s="2860"/>
      <c r="AD35" s="2860"/>
      <c r="AE35" s="2860"/>
      <c r="AF35" s="2860"/>
      <c r="AG35" s="2860"/>
      <c r="AH35" s="2860"/>
      <c r="AI35" s="2860"/>
      <c r="AJ35" s="2860"/>
      <c r="AK35" s="2980"/>
      <c r="AL35" s="3102"/>
      <c r="AM35" s="3102"/>
      <c r="AN35" s="2776"/>
    </row>
    <row r="36" spans="1:256" ht="61.5" customHeight="1" x14ac:dyDescent="0.2">
      <c r="A36" s="506"/>
      <c r="B36" s="507"/>
      <c r="C36" s="530"/>
      <c r="D36" s="531"/>
      <c r="E36" s="543"/>
      <c r="F36" s="544"/>
      <c r="G36" s="2047"/>
      <c r="H36" s="3087"/>
      <c r="I36" s="2630"/>
      <c r="J36" s="2980"/>
      <c r="K36" s="547"/>
      <c r="L36" s="3053"/>
      <c r="M36" s="3090"/>
      <c r="N36" s="2466"/>
      <c r="O36" s="2489"/>
      <c r="P36" s="3096"/>
      <c r="Q36" s="2049"/>
      <c r="R36" s="551" t="s">
        <v>398</v>
      </c>
      <c r="S36" s="701">
        <v>5400000</v>
      </c>
      <c r="T36" s="3099"/>
      <c r="U36" s="3099"/>
      <c r="V36" s="3094"/>
      <c r="W36" s="3094"/>
      <c r="X36" s="2860"/>
      <c r="Y36" s="3095"/>
      <c r="Z36" s="3095"/>
      <c r="AA36" s="2860"/>
      <c r="AB36" s="2860"/>
      <c r="AC36" s="2860"/>
      <c r="AD36" s="2860"/>
      <c r="AE36" s="2860"/>
      <c r="AF36" s="2860"/>
      <c r="AG36" s="2860"/>
      <c r="AH36" s="2860"/>
      <c r="AI36" s="2860"/>
      <c r="AJ36" s="2860"/>
      <c r="AK36" s="2980"/>
      <c r="AL36" s="3102"/>
      <c r="AM36" s="3102"/>
      <c r="AN36" s="2776"/>
    </row>
    <row r="37" spans="1:256" ht="57" customHeight="1" x14ac:dyDescent="0.2">
      <c r="A37" s="506"/>
      <c r="B37" s="507"/>
      <c r="C37" s="530"/>
      <c r="D37" s="531"/>
      <c r="E37" s="543"/>
      <c r="F37" s="544"/>
      <c r="G37" s="2047"/>
      <c r="H37" s="3087"/>
      <c r="I37" s="2630"/>
      <c r="J37" s="2980"/>
      <c r="K37" s="696"/>
      <c r="L37" s="3053"/>
      <c r="M37" s="3090"/>
      <c r="N37" s="2466"/>
      <c r="O37" s="2489"/>
      <c r="P37" s="3096"/>
      <c r="Q37" s="2049"/>
      <c r="R37" s="552" t="s">
        <v>399</v>
      </c>
      <c r="S37" s="701">
        <v>14520000</v>
      </c>
      <c r="T37" s="3099"/>
      <c r="U37" s="3099"/>
      <c r="V37" s="3094"/>
      <c r="W37" s="3094"/>
      <c r="X37" s="2860"/>
      <c r="Y37" s="3095"/>
      <c r="Z37" s="3095"/>
      <c r="AA37" s="2860"/>
      <c r="AB37" s="2860"/>
      <c r="AC37" s="2860"/>
      <c r="AD37" s="2860"/>
      <c r="AE37" s="2860"/>
      <c r="AF37" s="2860"/>
      <c r="AG37" s="2860"/>
      <c r="AH37" s="2860"/>
      <c r="AI37" s="2860"/>
      <c r="AJ37" s="2860"/>
      <c r="AK37" s="2980"/>
      <c r="AL37" s="3102"/>
      <c r="AM37" s="3102"/>
      <c r="AN37" s="2776"/>
    </row>
    <row r="38" spans="1:256" ht="82.5" customHeight="1" x14ac:dyDescent="0.2">
      <c r="A38" s="506"/>
      <c r="B38" s="507"/>
      <c r="C38" s="530"/>
      <c r="D38" s="531"/>
      <c r="E38" s="543"/>
      <c r="F38" s="544"/>
      <c r="G38" s="2047"/>
      <c r="H38" s="3087"/>
      <c r="I38" s="2630"/>
      <c r="J38" s="2980"/>
      <c r="K38" s="547"/>
      <c r="L38" s="3053"/>
      <c r="M38" s="3090"/>
      <c r="N38" s="2466"/>
      <c r="O38" s="2489"/>
      <c r="P38" s="3096"/>
      <c r="Q38" s="2049"/>
      <c r="R38" s="552" t="s">
        <v>400</v>
      </c>
      <c r="S38" s="701">
        <v>14520000</v>
      </c>
      <c r="T38" s="3099"/>
      <c r="U38" s="3099"/>
      <c r="V38" s="3094"/>
      <c r="W38" s="3094"/>
      <c r="X38" s="2860"/>
      <c r="Y38" s="3095"/>
      <c r="Z38" s="3095"/>
      <c r="AA38" s="2860"/>
      <c r="AB38" s="2860"/>
      <c r="AC38" s="2860"/>
      <c r="AD38" s="2860"/>
      <c r="AE38" s="2860"/>
      <c r="AF38" s="2860"/>
      <c r="AG38" s="2860"/>
      <c r="AH38" s="2860"/>
      <c r="AI38" s="2860"/>
      <c r="AJ38" s="2860"/>
      <c r="AK38" s="2980"/>
      <c r="AL38" s="3102"/>
      <c r="AM38" s="3102"/>
      <c r="AN38" s="2776"/>
    </row>
    <row r="39" spans="1:256" ht="87.75" customHeight="1" x14ac:dyDescent="0.2">
      <c r="A39" s="506"/>
      <c r="B39" s="507"/>
      <c r="C39" s="530"/>
      <c r="D39" s="531"/>
      <c r="E39" s="543"/>
      <c r="F39" s="544"/>
      <c r="G39" s="2047"/>
      <c r="H39" s="3087"/>
      <c r="I39" s="2630"/>
      <c r="J39" s="2980"/>
      <c r="K39" s="547" t="s">
        <v>401</v>
      </c>
      <c r="L39" s="3053"/>
      <c r="M39" s="3090"/>
      <c r="N39" s="2466"/>
      <c r="O39" s="2489"/>
      <c r="P39" s="3096"/>
      <c r="Q39" s="2049"/>
      <c r="R39" s="546" t="s">
        <v>402</v>
      </c>
      <c r="S39" s="701">
        <f>0+350000000</f>
        <v>350000000</v>
      </c>
      <c r="T39" s="695" t="s">
        <v>64</v>
      </c>
      <c r="U39" s="695" t="s">
        <v>403</v>
      </c>
      <c r="V39" s="3094"/>
      <c r="W39" s="3094"/>
      <c r="X39" s="2860"/>
      <c r="Y39" s="3095"/>
      <c r="Z39" s="3095"/>
      <c r="AA39" s="2860"/>
      <c r="AB39" s="2860"/>
      <c r="AC39" s="2860"/>
      <c r="AD39" s="2860"/>
      <c r="AE39" s="2860"/>
      <c r="AF39" s="2860"/>
      <c r="AG39" s="2860"/>
      <c r="AH39" s="2860"/>
      <c r="AI39" s="2860"/>
      <c r="AJ39" s="2860"/>
      <c r="AK39" s="2980"/>
      <c r="AL39" s="3102"/>
      <c r="AM39" s="3102"/>
      <c r="AN39" s="2776"/>
    </row>
    <row r="40" spans="1:256" ht="45.75" customHeight="1" x14ac:dyDescent="0.2">
      <c r="A40" s="506"/>
      <c r="B40" s="507"/>
      <c r="C40" s="530"/>
      <c r="D40" s="531"/>
      <c r="E40" s="543"/>
      <c r="F40" s="544"/>
      <c r="G40" s="2047"/>
      <c r="H40" s="3088"/>
      <c r="I40" s="2648"/>
      <c r="J40" s="2983"/>
      <c r="K40" s="547"/>
      <c r="L40" s="3053"/>
      <c r="M40" s="3090"/>
      <c r="N40" s="2773"/>
      <c r="O40" s="2489"/>
      <c r="P40" s="3096"/>
      <c r="Q40" s="2049"/>
      <c r="R40" s="546" t="s">
        <v>404</v>
      </c>
      <c r="S40" s="701">
        <v>4000000</v>
      </c>
      <c r="T40" s="3099"/>
      <c r="U40" s="3099"/>
      <c r="V40" s="3094"/>
      <c r="W40" s="3094"/>
      <c r="X40" s="2860"/>
      <c r="Y40" s="3095"/>
      <c r="Z40" s="3095"/>
      <c r="AA40" s="2860"/>
      <c r="AB40" s="2860"/>
      <c r="AC40" s="2860"/>
      <c r="AD40" s="2860"/>
      <c r="AE40" s="2860"/>
      <c r="AF40" s="2860"/>
      <c r="AG40" s="2860"/>
      <c r="AH40" s="2860"/>
      <c r="AI40" s="2860"/>
      <c r="AJ40" s="2860"/>
      <c r="AK40" s="2980"/>
      <c r="AL40" s="3102"/>
      <c r="AM40" s="3102"/>
      <c r="AN40" s="2776"/>
    </row>
    <row r="41" spans="1:256" ht="57" customHeight="1" x14ac:dyDescent="0.2">
      <c r="A41" s="506"/>
      <c r="B41" s="507"/>
      <c r="C41" s="530"/>
      <c r="D41" s="531"/>
      <c r="E41" s="543"/>
      <c r="F41" s="553"/>
      <c r="G41" s="2332">
        <v>185</v>
      </c>
      <c r="H41" s="2250" t="s">
        <v>405</v>
      </c>
      <c r="I41" s="2057" t="s">
        <v>406</v>
      </c>
      <c r="J41" s="2979">
        <v>1</v>
      </c>
      <c r="K41" s="547" t="s">
        <v>407</v>
      </c>
      <c r="L41" s="3053"/>
      <c r="M41" s="3090"/>
      <c r="N41" s="2772">
        <f>SUM(S41:S43)/O33</f>
        <v>7.6923076923076927E-2</v>
      </c>
      <c r="O41" s="2489"/>
      <c r="P41" s="3097"/>
      <c r="Q41" s="3104" t="s">
        <v>408</v>
      </c>
      <c r="R41" s="520" t="s">
        <v>409</v>
      </c>
      <c r="S41" s="549">
        <v>25000000</v>
      </c>
      <c r="T41" s="3099"/>
      <c r="U41" s="3099"/>
      <c r="V41" s="3094"/>
      <c r="W41" s="3094"/>
      <c r="X41" s="2860"/>
      <c r="Y41" s="3095"/>
      <c r="Z41" s="3095"/>
      <c r="AA41" s="2860"/>
      <c r="AB41" s="2860"/>
      <c r="AC41" s="2860"/>
      <c r="AD41" s="2860"/>
      <c r="AE41" s="2860"/>
      <c r="AF41" s="2860"/>
      <c r="AG41" s="2860"/>
      <c r="AH41" s="2860"/>
      <c r="AI41" s="2860"/>
      <c r="AJ41" s="2860"/>
      <c r="AK41" s="2980"/>
      <c r="AL41" s="3102"/>
      <c r="AM41" s="3102"/>
      <c r="AN41" s="2776"/>
    </row>
    <row r="42" spans="1:256" ht="46.5" customHeight="1" x14ac:dyDescent="0.2">
      <c r="A42" s="506"/>
      <c r="B42" s="507"/>
      <c r="C42" s="530"/>
      <c r="D42" s="531"/>
      <c r="E42" s="543"/>
      <c r="F42" s="553"/>
      <c r="G42" s="2332"/>
      <c r="H42" s="3077"/>
      <c r="I42" s="2630"/>
      <c r="J42" s="2980"/>
      <c r="K42" s="547"/>
      <c r="L42" s="3053"/>
      <c r="M42" s="3090"/>
      <c r="N42" s="2466"/>
      <c r="O42" s="2489"/>
      <c r="P42" s="3097"/>
      <c r="Q42" s="3104"/>
      <c r="R42" s="520" t="s">
        <v>410</v>
      </c>
      <c r="S42" s="549">
        <v>10560000</v>
      </c>
      <c r="T42" s="3099"/>
      <c r="U42" s="3099"/>
      <c r="V42" s="3094"/>
      <c r="W42" s="3094"/>
      <c r="X42" s="2860"/>
      <c r="Y42" s="3095"/>
      <c r="Z42" s="3095"/>
      <c r="AA42" s="2860"/>
      <c r="AB42" s="2860"/>
      <c r="AC42" s="2860"/>
      <c r="AD42" s="2860"/>
      <c r="AE42" s="2860"/>
      <c r="AF42" s="2860"/>
      <c r="AG42" s="2860"/>
      <c r="AH42" s="2860"/>
      <c r="AI42" s="2860"/>
      <c r="AJ42" s="2860"/>
      <c r="AK42" s="2980"/>
      <c r="AL42" s="3102"/>
      <c r="AM42" s="3102"/>
      <c r="AN42" s="2776"/>
    </row>
    <row r="43" spans="1:256" ht="53.25" customHeight="1" x14ac:dyDescent="0.2">
      <c r="A43" s="506"/>
      <c r="B43" s="507"/>
      <c r="C43" s="530"/>
      <c r="D43" s="531"/>
      <c r="E43" s="543"/>
      <c r="F43" s="553"/>
      <c r="G43" s="2333"/>
      <c r="H43" s="3106"/>
      <c r="I43" s="2648"/>
      <c r="J43" s="2983"/>
      <c r="K43" s="547"/>
      <c r="L43" s="3053"/>
      <c r="M43" s="3090"/>
      <c r="N43" s="2773"/>
      <c r="O43" s="2489"/>
      <c r="P43" s="3097"/>
      <c r="Q43" s="3105"/>
      <c r="R43" s="520" t="s">
        <v>411</v>
      </c>
      <c r="S43" s="549">
        <v>4440000</v>
      </c>
      <c r="T43" s="3099"/>
      <c r="U43" s="3099"/>
      <c r="V43" s="3094"/>
      <c r="W43" s="3094"/>
      <c r="X43" s="2860"/>
      <c r="Y43" s="3095"/>
      <c r="Z43" s="3095"/>
      <c r="AA43" s="2860"/>
      <c r="AB43" s="2860"/>
      <c r="AC43" s="2860"/>
      <c r="AD43" s="2860"/>
      <c r="AE43" s="2860"/>
      <c r="AF43" s="2860"/>
      <c r="AG43" s="2860"/>
      <c r="AH43" s="2860"/>
      <c r="AI43" s="2860"/>
      <c r="AJ43" s="2860"/>
      <c r="AK43" s="2980"/>
      <c r="AL43" s="3102"/>
      <c r="AM43" s="3102"/>
      <c r="AN43" s="2776"/>
    </row>
    <row r="44" spans="1:256" ht="85.5" customHeight="1" x14ac:dyDescent="0.2">
      <c r="A44" s="506"/>
      <c r="B44" s="507"/>
      <c r="C44" s="530"/>
      <c r="D44" s="531"/>
      <c r="E44" s="543"/>
      <c r="F44" s="544"/>
      <c r="G44" s="2047">
        <v>186</v>
      </c>
      <c r="H44" s="2249" t="s">
        <v>412</v>
      </c>
      <c r="I44" s="2056" t="s">
        <v>413</v>
      </c>
      <c r="J44" s="2860">
        <v>1</v>
      </c>
      <c r="K44" s="547"/>
      <c r="L44" s="3053"/>
      <c r="M44" s="3090"/>
      <c r="N44" s="2488">
        <f>SUM(S44:S46)/O33</f>
        <v>7.6923076923076927E-2</v>
      </c>
      <c r="O44" s="2489"/>
      <c r="P44" s="3097"/>
      <c r="Q44" s="3103" t="s">
        <v>414</v>
      </c>
      <c r="R44" s="554" t="s">
        <v>415</v>
      </c>
      <c r="S44" s="549">
        <v>25000000</v>
      </c>
      <c r="T44" s="3099"/>
      <c r="U44" s="3099"/>
      <c r="V44" s="3094"/>
      <c r="W44" s="3094"/>
      <c r="X44" s="2860"/>
      <c r="Y44" s="3095"/>
      <c r="Z44" s="3095"/>
      <c r="AA44" s="2860"/>
      <c r="AB44" s="2860"/>
      <c r="AC44" s="2860"/>
      <c r="AD44" s="2860"/>
      <c r="AE44" s="2860"/>
      <c r="AF44" s="2860"/>
      <c r="AG44" s="2860"/>
      <c r="AH44" s="2860"/>
      <c r="AI44" s="2860"/>
      <c r="AJ44" s="2860"/>
      <c r="AK44" s="2980"/>
      <c r="AL44" s="3102"/>
      <c r="AM44" s="3102"/>
      <c r="AN44" s="2776"/>
    </row>
    <row r="45" spans="1:256" ht="45" x14ac:dyDescent="0.2">
      <c r="A45" s="506"/>
      <c r="B45" s="507"/>
      <c r="C45" s="530"/>
      <c r="D45" s="531"/>
      <c r="E45" s="543"/>
      <c r="F45" s="544"/>
      <c r="G45" s="2047"/>
      <c r="H45" s="2249"/>
      <c r="I45" s="2056"/>
      <c r="J45" s="2860"/>
      <c r="K45" s="547"/>
      <c r="L45" s="3053"/>
      <c r="M45" s="3090"/>
      <c r="N45" s="2488"/>
      <c r="O45" s="2489"/>
      <c r="P45" s="3097"/>
      <c r="Q45" s="3104"/>
      <c r="R45" s="554" t="s">
        <v>416</v>
      </c>
      <c r="S45" s="549">
        <v>6880000</v>
      </c>
      <c r="T45" s="3099"/>
      <c r="U45" s="3099"/>
      <c r="V45" s="3094"/>
      <c r="W45" s="3094"/>
      <c r="X45" s="2860"/>
      <c r="Y45" s="3095"/>
      <c r="Z45" s="3095"/>
      <c r="AA45" s="2860"/>
      <c r="AB45" s="2860"/>
      <c r="AC45" s="2860"/>
      <c r="AD45" s="2860"/>
      <c r="AE45" s="2860"/>
      <c r="AF45" s="2860"/>
      <c r="AG45" s="2860"/>
      <c r="AH45" s="2860"/>
      <c r="AI45" s="2860"/>
      <c r="AJ45" s="2860"/>
      <c r="AK45" s="2980"/>
      <c r="AL45" s="3102"/>
      <c r="AM45" s="3102"/>
      <c r="AN45" s="2776"/>
    </row>
    <row r="46" spans="1:256" ht="75" x14ac:dyDescent="0.2">
      <c r="A46" s="506"/>
      <c r="B46" s="507"/>
      <c r="C46" s="530"/>
      <c r="D46" s="531"/>
      <c r="E46" s="543"/>
      <c r="F46" s="544"/>
      <c r="G46" s="2047"/>
      <c r="H46" s="2249"/>
      <c r="I46" s="2056"/>
      <c r="J46" s="2860"/>
      <c r="K46" s="555"/>
      <c r="L46" s="3054"/>
      <c r="M46" s="3091"/>
      <c r="N46" s="2488"/>
      <c r="O46" s="2489"/>
      <c r="P46" s="3097"/>
      <c r="Q46" s="3105"/>
      <c r="R46" s="556" t="s">
        <v>417</v>
      </c>
      <c r="S46" s="549">
        <v>8120000</v>
      </c>
      <c r="T46" s="3100"/>
      <c r="U46" s="3100"/>
      <c r="V46" s="3094"/>
      <c r="W46" s="3094"/>
      <c r="X46" s="2860"/>
      <c r="Y46" s="3095"/>
      <c r="Z46" s="3095"/>
      <c r="AA46" s="2860"/>
      <c r="AB46" s="2860"/>
      <c r="AC46" s="2860"/>
      <c r="AD46" s="2860"/>
      <c r="AE46" s="2860"/>
      <c r="AF46" s="2860"/>
      <c r="AG46" s="2860"/>
      <c r="AH46" s="2860"/>
      <c r="AI46" s="2860"/>
      <c r="AJ46" s="2860"/>
      <c r="AK46" s="2983"/>
      <c r="AL46" s="3102"/>
      <c r="AM46" s="3102"/>
      <c r="AN46" s="2776"/>
    </row>
    <row r="47" spans="1:256" ht="15.75" x14ac:dyDescent="0.2">
      <c r="A47" s="506"/>
      <c r="B47" s="507"/>
      <c r="C47" s="530"/>
      <c r="D47" s="531"/>
      <c r="E47" s="557">
        <v>60</v>
      </c>
      <c r="F47" s="516" t="s">
        <v>418</v>
      </c>
      <c r="G47" s="689"/>
      <c r="H47" s="193"/>
      <c r="I47" s="193"/>
      <c r="J47" s="689"/>
      <c r="K47" s="689"/>
      <c r="L47" s="689"/>
      <c r="M47" s="193"/>
      <c r="N47" s="689"/>
      <c r="O47" s="532"/>
      <c r="P47" s="193"/>
      <c r="Q47" s="193"/>
      <c r="R47" s="193"/>
      <c r="S47" s="558"/>
      <c r="T47" s="194"/>
      <c r="U47" s="193"/>
      <c r="V47" s="689"/>
      <c r="W47" s="689"/>
      <c r="X47" s="689"/>
      <c r="Y47" s="689"/>
      <c r="Z47" s="689"/>
      <c r="AA47" s="689"/>
      <c r="AB47" s="689"/>
      <c r="AC47" s="689"/>
      <c r="AD47" s="689"/>
      <c r="AE47" s="689"/>
      <c r="AF47" s="689"/>
      <c r="AG47" s="689"/>
      <c r="AH47" s="689"/>
      <c r="AI47" s="689"/>
      <c r="AJ47" s="689"/>
      <c r="AK47" s="689"/>
      <c r="AL47" s="689"/>
      <c r="AM47" s="689"/>
      <c r="AN47" s="533"/>
    </row>
    <row r="48" spans="1:256" ht="52.5" customHeight="1" x14ac:dyDescent="0.2">
      <c r="A48" s="506"/>
      <c r="B48" s="507"/>
      <c r="C48" s="530"/>
      <c r="D48" s="531"/>
      <c r="E48" s="534"/>
      <c r="F48" s="535"/>
      <c r="G48" s="2331">
        <v>187</v>
      </c>
      <c r="H48" s="2250" t="s">
        <v>419</v>
      </c>
      <c r="I48" s="2088" t="s">
        <v>420</v>
      </c>
      <c r="J48" s="2206">
        <v>1</v>
      </c>
      <c r="K48" s="3068" t="s">
        <v>421</v>
      </c>
      <c r="L48" s="3110" t="s">
        <v>422</v>
      </c>
      <c r="M48" s="3055" t="s">
        <v>423</v>
      </c>
      <c r="N48" s="2999">
        <f>SUM(S48:S51)/O48</f>
        <v>0.24752475247524752</v>
      </c>
      <c r="O48" s="3057">
        <f>SUM(S48:S59)</f>
        <v>101000000</v>
      </c>
      <c r="P48" s="3055" t="s">
        <v>424</v>
      </c>
      <c r="Q48" s="2088" t="s">
        <v>425</v>
      </c>
      <c r="R48" s="520" t="s">
        <v>426</v>
      </c>
      <c r="S48" s="420">
        <v>7920000</v>
      </c>
      <c r="T48" s="3066" t="s">
        <v>427</v>
      </c>
      <c r="U48" s="3065" t="s">
        <v>268</v>
      </c>
      <c r="V48" s="3071">
        <v>10393</v>
      </c>
      <c r="W48" s="2985">
        <v>9467</v>
      </c>
      <c r="X48" s="2979"/>
      <c r="Y48" s="2979">
        <v>11780</v>
      </c>
      <c r="Z48" s="2979">
        <v>7897</v>
      </c>
      <c r="AA48" s="2979"/>
      <c r="AB48" s="3113" t="s">
        <v>428</v>
      </c>
      <c r="AC48" s="2979">
        <v>103</v>
      </c>
      <c r="AD48" s="2786"/>
      <c r="AE48" s="2786"/>
      <c r="AF48" s="2786"/>
      <c r="AG48" s="2786"/>
      <c r="AH48" s="2786"/>
      <c r="AI48" s="2786">
        <v>80</v>
      </c>
      <c r="AJ48" s="2786"/>
      <c r="AK48" s="3112">
        <f>V48+W48</f>
        <v>19860</v>
      </c>
      <c r="AL48" s="2638">
        <v>43102</v>
      </c>
      <c r="AM48" s="2603">
        <v>43465</v>
      </c>
      <c r="AN48" s="2776" t="s">
        <v>358</v>
      </c>
      <c r="AO48" s="504"/>
      <c r="AP48" s="504"/>
      <c r="AQ48" s="504"/>
      <c r="AR48" s="504"/>
      <c r="AS48" s="504"/>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5"/>
      <c r="BS48" s="505"/>
      <c r="BT48" s="505"/>
      <c r="BU48" s="505"/>
      <c r="BV48" s="505"/>
      <c r="BW48" s="505"/>
      <c r="BX48" s="505"/>
      <c r="BY48" s="505"/>
      <c r="BZ48" s="505"/>
      <c r="CA48" s="505"/>
      <c r="CB48" s="505"/>
      <c r="CC48" s="505"/>
      <c r="CD48" s="505"/>
      <c r="CE48" s="505"/>
      <c r="CF48" s="505"/>
      <c r="CG48" s="505"/>
      <c r="CH48" s="505"/>
      <c r="CI48" s="505"/>
      <c r="CJ48" s="505"/>
      <c r="CK48" s="505"/>
      <c r="CL48" s="505"/>
      <c r="CM48" s="505"/>
      <c r="CN48" s="505"/>
      <c r="CO48" s="505"/>
      <c r="CP48" s="505"/>
      <c r="CQ48" s="505"/>
      <c r="CR48" s="505"/>
      <c r="CS48" s="505"/>
      <c r="CT48" s="505"/>
      <c r="CU48" s="505"/>
      <c r="CV48" s="505"/>
      <c r="CW48" s="505"/>
      <c r="CX48" s="505"/>
      <c r="CY48" s="505"/>
      <c r="CZ48" s="505"/>
      <c r="DA48" s="505"/>
      <c r="DB48" s="505"/>
      <c r="DC48" s="505"/>
      <c r="DD48" s="505"/>
      <c r="DE48" s="505"/>
      <c r="DF48" s="505"/>
      <c r="DG48" s="505"/>
      <c r="DH48" s="505"/>
      <c r="DI48" s="505"/>
      <c r="DJ48" s="505"/>
      <c r="DK48" s="505"/>
      <c r="DL48" s="505"/>
      <c r="DM48" s="505"/>
      <c r="DN48" s="505"/>
      <c r="DO48" s="505"/>
      <c r="DP48" s="505"/>
      <c r="DQ48" s="505"/>
      <c r="DR48" s="505"/>
      <c r="DS48" s="505"/>
      <c r="DT48" s="505"/>
      <c r="DU48" s="505"/>
      <c r="DV48" s="505"/>
      <c r="DW48" s="505"/>
      <c r="DX48" s="505"/>
      <c r="DY48" s="505"/>
      <c r="DZ48" s="505"/>
      <c r="EA48" s="505"/>
      <c r="EB48" s="505"/>
      <c r="EC48" s="505"/>
      <c r="ED48" s="505"/>
      <c r="EE48" s="505"/>
      <c r="EF48" s="505"/>
      <c r="EG48" s="505"/>
      <c r="EH48" s="505"/>
      <c r="EI48" s="505"/>
      <c r="EJ48" s="505"/>
      <c r="EK48" s="505"/>
      <c r="EL48" s="505"/>
      <c r="EM48" s="505"/>
      <c r="EN48" s="505"/>
      <c r="EO48" s="505"/>
      <c r="EP48" s="505"/>
      <c r="EQ48" s="505"/>
      <c r="ER48" s="505"/>
      <c r="ES48" s="505"/>
      <c r="ET48" s="505"/>
      <c r="EU48" s="505"/>
      <c r="EV48" s="505"/>
      <c r="EW48" s="505"/>
      <c r="EX48" s="505"/>
      <c r="EY48" s="505"/>
      <c r="EZ48" s="505"/>
      <c r="FA48" s="505"/>
      <c r="FB48" s="505"/>
      <c r="FC48" s="505"/>
      <c r="FD48" s="505"/>
      <c r="FE48" s="505"/>
      <c r="FF48" s="505"/>
      <c r="FG48" s="505"/>
      <c r="FH48" s="505"/>
      <c r="FI48" s="505"/>
      <c r="FJ48" s="505"/>
      <c r="FK48" s="505"/>
      <c r="FL48" s="505"/>
      <c r="FM48" s="505"/>
      <c r="FN48" s="505"/>
      <c r="FO48" s="505"/>
      <c r="FP48" s="505"/>
      <c r="FQ48" s="505"/>
      <c r="FR48" s="505"/>
      <c r="FS48" s="505"/>
      <c r="FT48" s="505"/>
      <c r="FU48" s="505"/>
      <c r="FV48" s="505"/>
      <c r="FW48" s="505"/>
      <c r="FX48" s="505"/>
      <c r="FY48" s="505"/>
      <c r="FZ48" s="505"/>
      <c r="GA48" s="505"/>
      <c r="GB48" s="505"/>
      <c r="GC48" s="505"/>
      <c r="GD48" s="505"/>
      <c r="GE48" s="505"/>
      <c r="GF48" s="505"/>
      <c r="GG48" s="505"/>
      <c r="GH48" s="505"/>
      <c r="GI48" s="505"/>
      <c r="GJ48" s="505"/>
      <c r="GK48" s="505"/>
      <c r="GL48" s="505"/>
      <c r="GM48" s="505"/>
      <c r="GN48" s="505"/>
      <c r="GO48" s="505"/>
      <c r="GP48" s="505"/>
      <c r="GQ48" s="505"/>
      <c r="GR48" s="505"/>
      <c r="GS48" s="505"/>
      <c r="GT48" s="505"/>
      <c r="GU48" s="505"/>
      <c r="GV48" s="505"/>
      <c r="GW48" s="505"/>
      <c r="GX48" s="505"/>
      <c r="GY48" s="505"/>
      <c r="GZ48" s="505"/>
      <c r="HA48" s="505"/>
      <c r="HB48" s="505"/>
      <c r="HC48" s="505"/>
      <c r="HD48" s="505"/>
      <c r="HE48" s="505"/>
      <c r="HF48" s="505"/>
      <c r="HG48" s="505"/>
      <c r="HH48" s="505"/>
      <c r="HI48" s="505"/>
      <c r="HJ48" s="505"/>
      <c r="HK48" s="505"/>
      <c r="HL48" s="505"/>
      <c r="HM48" s="505"/>
      <c r="HN48" s="505"/>
      <c r="HO48" s="505"/>
      <c r="HP48" s="505"/>
      <c r="HQ48" s="505"/>
      <c r="HR48" s="505"/>
      <c r="HS48" s="505"/>
      <c r="HT48" s="505"/>
      <c r="HU48" s="505"/>
      <c r="HV48" s="505"/>
      <c r="HW48" s="505"/>
      <c r="HX48" s="505"/>
      <c r="HY48" s="505"/>
      <c r="HZ48" s="505"/>
      <c r="IA48" s="505"/>
      <c r="IB48" s="505"/>
      <c r="IC48" s="505"/>
      <c r="ID48" s="505"/>
      <c r="IE48" s="505"/>
      <c r="IF48" s="505"/>
      <c r="IG48" s="505"/>
      <c r="IH48" s="505"/>
      <c r="II48" s="505"/>
      <c r="IJ48" s="505"/>
      <c r="IK48" s="505"/>
      <c r="IL48" s="505"/>
      <c r="IM48" s="505"/>
      <c r="IN48" s="505"/>
      <c r="IO48" s="505"/>
      <c r="IP48" s="505"/>
      <c r="IQ48" s="505"/>
      <c r="IR48" s="505"/>
      <c r="IS48" s="505"/>
      <c r="IT48" s="505"/>
      <c r="IU48" s="505"/>
      <c r="IV48" s="505"/>
    </row>
    <row r="49" spans="1:256" ht="37.5" customHeight="1" x14ac:dyDescent="0.2">
      <c r="A49" s="506"/>
      <c r="B49" s="507"/>
      <c r="C49" s="530"/>
      <c r="D49" s="531"/>
      <c r="E49" s="530"/>
      <c r="F49" s="531"/>
      <c r="G49" s="2332"/>
      <c r="H49" s="3077"/>
      <c r="I49" s="2185"/>
      <c r="J49" s="3008"/>
      <c r="K49" s="3069"/>
      <c r="L49" s="3110"/>
      <c r="M49" s="3055"/>
      <c r="N49" s="3000"/>
      <c r="O49" s="3057"/>
      <c r="P49" s="3055"/>
      <c r="Q49" s="2185"/>
      <c r="R49" s="520" t="s">
        <v>429</v>
      </c>
      <c r="S49" s="420">
        <v>5000000</v>
      </c>
      <c r="T49" s="3066"/>
      <c r="U49" s="3066"/>
      <c r="V49" s="3072"/>
      <c r="W49" s="2986"/>
      <c r="X49" s="2980"/>
      <c r="Y49" s="2980"/>
      <c r="Z49" s="2980"/>
      <c r="AA49" s="2980"/>
      <c r="AB49" s="3114"/>
      <c r="AC49" s="2980"/>
      <c r="AD49" s="2809"/>
      <c r="AE49" s="2809"/>
      <c r="AF49" s="2809"/>
      <c r="AG49" s="2809"/>
      <c r="AH49" s="2809"/>
      <c r="AI49" s="2809"/>
      <c r="AJ49" s="2809"/>
      <c r="AK49" s="2809"/>
      <c r="AL49" s="2638"/>
      <c r="AM49" s="2603"/>
      <c r="AN49" s="2776"/>
      <c r="AO49" s="504"/>
      <c r="AP49" s="504"/>
      <c r="AQ49" s="504"/>
      <c r="AR49" s="504"/>
      <c r="AS49" s="504"/>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c r="BR49" s="505"/>
      <c r="BS49" s="505"/>
      <c r="BT49" s="505"/>
      <c r="BU49" s="505"/>
      <c r="BV49" s="505"/>
      <c r="BW49" s="505"/>
      <c r="BX49" s="505"/>
      <c r="BY49" s="505"/>
      <c r="BZ49" s="505"/>
      <c r="CA49" s="505"/>
      <c r="CB49" s="505"/>
      <c r="CC49" s="505"/>
      <c r="CD49" s="505"/>
      <c r="CE49" s="505"/>
      <c r="CF49" s="505"/>
      <c r="CG49" s="505"/>
      <c r="CH49" s="505"/>
      <c r="CI49" s="505"/>
      <c r="CJ49" s="505"/>
      <c r="CK49" s="505"/>
      <c r="CL49" s="505"/>
      <c r="CM49" s="505"/>
      <c r="CN49" s="505"/>
      <c r="CO49" s="505"/>
      <c r="CP49" s="505"/>
      <c r="CQ49" s="505"/>
      <c r="CR49" s="505"/>
      <c r="CS49" s="505"/>
      <c r="CT49" s="505"/>
      <c r="CU49" s="505"/>
      <c r="CV49" s="505"/>
      <c r="CW49" s="505"/>
      <c r="CX49" s="505"/>
      <c r="CY49" s="505"/>
      <c r="CZ49" s="505"/>
      <c r="DA49" s="505"/>
      <c r="DB49" s="505"/>
      <c r="DC49" s="505"/>
      <c r="DD49" s="505"/>
      <c r="DE49" s="505"/>
      <c r="DF49" s="505"/>
      <c r="DG49" s="505"/>
      <c r="DH49" s="505"/>
      <c r="DI49" s="505"/>
      <c r="DJ49" s="505"/>
      <c r="DK49" s="505"/>
      <c r="DL49" s="505"/>
      <c r="DM49" s="505"/>
      <c r="DN49" s="505"/>
      <c r="DO49" s="505"/>
      <c r="DP49" s="505"/>
      <c r="DQ49" s="505"/>
      <c r="DR49" s="505"/>
      <c r="DS49" s="505"/>
      <c r="DT49" s="505"/>
      <c r="DU49" s="505"/>
      <c r="DV49" s="505"/>
      <c r="DW49" s="505"/>
      <c r="DX49" s="505"/>
      <c r="DY49" s="505"/>
      <c r="DZ49" s="505"/>
      <c r="EA49" s="505"/>
      <c r="EB49" s="505"/>
      <c r="EC49" s="505"/>
      <c r="ED49" s="505"/>
      <c r="EE49" s="505"/>
      <c r="EF49" s="505"/>
      <c r="EG49" s="505"/>
      <c r="EH49" s="505"/>
      <c r="EI49" s="505"/>
      <c r="EJ49" s="505"/>
      <c r="EK49" s="505"/>
      <c r="EL49" s="505"/>
      <c r="EM49" s="505"/>
      <c r="EN49" s="505"/>
      <c r="EO49" s="505"/>
      <c r="EP49" s="505"/>
      <c r="EQ49" s="505"/>
      <c r="ER49" s="505"/>
      <c r="ES49" s="505"/>
      <c r="ET49" s="505"/>
      <c r="EU49" s="505"/>
      <c r="EV49" s="505"/>
      <c r="EW49" s="505"/>
      <c r="EX49" s="505"/>
      <c r="EY49" s="505"/>
      <c r="EZ49" s="505"/>
      <c r="FA49" s="505"/>
      <c r="FB49" s="505"/>
      <c r="FC49" s="505"/>
      <c r="FD49" s="505"/>
      <c r="FE49" s="505"/>
      <c r="FF49" s="505"/>
      <c r="FG49" s="505"/>
      <c r="FH49" s="505"/>
      <c r="FI49" s="505"/>
      <c r="FJ49" s="505"/>
      <c r="FK49" s="505"/>
      <c r="FL49" s="505"/>
      <c r="FM49" s="505"/>
      <c r="FN49" s="505"/>
      <c r="FO49" s="505"/>
      <c r="FP49" s="505"/>
      <c r="FQ49" s="505"/>
      <c r="FR49" s="505"/>
      <c r="FS49" s="505"/>
      <c r="FT49" s="505"/>
      <c r="FU49" s="505"/>
      <c r="FV49" s="505"/>
      <c r="FW49" s="505"/>
      <c r="FX49" s="505"/>
      <c r="FY49" s="505"/>
      <c r="FZ49" s="505"/>
      <c r="GA49" s="505"/>
      <c r="GB49" s="505"/>
      <c r="GC49" s="505"/>
      <c r="GD49" s="505"/>
      <c r="GE49" s="505"/>
      <c r="GF49" s="505"/>
      <c r="GG49" s="505"/>
      <c r="GH49" s="505"/>
      <c r="GI49" s="505"/>
      <c r="GJ49" s="505"/>
      <c r="GK49" s="505"/>
      <c r="GL49" s="505"/>
      <c r="GM49" s="505"/>
      <c r="GN49" s="505"/>
      <c r="GO49" s="505"/>
      <c r="GP49" s="505"/>
      <c r="GQ49" s="505"/>
      <c r="GR49" s="505"/>
      <c r="GS49" s="505"/>
      <c r="GT49" s="505"/>
      <c r="GU49" s="505"/>
      <c r="GV49" s="505"/>
      <c r="GW49" s="505"/>
      <c r="GX49" s="505"/>
      <c r="GY49" s="505"/>
      <c r="GZ49" s="505"/>
      <c r="HA49" s="505"/>
      <c r="HB49" s="505"/>
      <c r="HC49" s="505"/>
      <c r="HD49" s="505"/>
      <c r="HE49" s="505"/>
      <c r="HF49" s="505"/>
      <c r="HG49" s="505"/>
      <c r="HH49" s="505"/>
      <c r="HI49" s="505"/>
      <c r="HJ49" s="505"/>
      <c r="HK49" s="505"/>
      <c r="HL49" s="505"/>
      <c r="HM49" s="505"/>
      <c r="HN49" s="505"/>
      <c r="HO49" s="505"/>
      <c r="HP49" s="505"/>
      <c r="HQ49" s="505"/>
      <c r="HR49" s="505"/>
      <c r="HS49" s="505"/>
      <c r="HT49" s="505"/>
      <c r="HU49" s="505"/>
      <c r="HV49" s="505"/>
      <c r="HW49" s="505"/>
      <c r="HX49" s="505"/>
      <c r="HY49" s="505"/>
      <c r="HZ49" s="505"/>
      <c r="IA49" s="505"/>
      <c r="IB49" s="505"/>
      <c r="IC49" s="505"/>
      <c r="ID49" s="505"/>
      <c r="IE49" s="505"/>
      <c r="IF49" s="505"/>
      <c r="IG49" s="505"/>
      <c r="IH49" s="505"/>
      <c r="II49" s="505"/>
      <c r="IJ49" s="505"/>
      <c r="IK49" s="505"/>
      <c r="IL49" s="505"/>
      <c r="IM49" s="505"/>
      <c r="IN49" s="505"/>
      <c r="IO49" s="505"/>
      <c r="IP49" s="505"/>
      <c r="IQ49" s="505"/>
      <c r="IR49" s="505"/>
      <c r="IS49" s="505"/>
      <c r="IT49" s="505"/>
      <c r="IU49" s="505"/>
      <c r="IV49" s="505"/>
    </row>
    <row r="50" spans="1:256" ht="51" customHeight="1" x14ac:dyDescent="0.2">
      <c r="A50" s="506"/>
      <c r="B50" s="507"/>
      <c r="C50" s="530"/>
      <c r="D50" s="531"/>
      <c r="E50" s="530"/>
      <c r="F50" s="531"/>
      <c r="G50" s="2332"/>
      <c r="H50" s="3077"/>
      <c r="I50" s="2185"/>
      <c r="J50" s="3008"/>
      <c r="K50" s="3069"/>
      <c r="L50" s="3110"/>
      <c r="M50" s="3055"/>
      <c r="N50" s="3000"/>
      <c r="O50" s="3057"/>
      <c r="P50" s="3055"/>
      <c r="Q50" s="2185"/>
      <c r="R50" s="520" t="s">
        <v>430</v>
      </c>
      <c r="S50" s="420">
        <v>7920000</v>
      </c>
      <c r="T50" s="3066"/>
      <c r="U50" s="3066"/>
      <c r="V50" s="3072"/>
      <c r="W50" s="2986"/>
      <c r="X50" s="2980"/>
      <c r="Y50" s="2980"/>
      <c r="Z50" s="2980"/>
      <c r="AA50" s="2980"/>
      <c r="AB50" s="3114"/>
      <c r="AC50" s="2980"/>
      <c r="AD50" s="2809"/>
      <c r="AE50" s="2809"/>
      <c r="AF50" s="2809"/>
      <c r="AG50" s="2809"/>
      <c r="AH50" s="2809"/>
      <c r="AI50" s="2809"/>
      <c r="AJ50" s="2809"/>
      <c r="AK50" s="2809"/>
      <c r="AL50" s="2638"/>
      <c r="AM50" s="2603"/>
      <c r="AN50" s="2776"/>
      <c r="AO50" s="504"/>
      <c r="AP50" s="504"/>
      <c r="AQ50" s="504"/>
      <c r="AR50" s="504"/>
      <c r="AS50" s="504"/>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c r="BT50" s="505"/>
      <c r="BU50" s="505"/>
      <c r="BV50" s="505"/>
      <c r="BW50" s="505"/>
      <c r="BX50" s="505"/>
      <c r="BY50" s="505"/>
      <c r="BZ50" s="505"/>
      <c r="CA50" s="505"/>
      <c r="CB50" s="505"/>
      <c r="CC50" s="505"/>
      <c r="CD50" s="505"/>
      <c r="CE50" s="505"/>
      <c r="CF50" s="505"/>
      <c r="CG50" s="505"/>
      <c r="CH50" s="505"/>
      <c r="CI50" s="505"/>
      <c r="CJ50" s="505"/>
      <c r="CK50" s="505"/>
      <c r="CL50" s="505"/>
      <c r="CM50" s="505"/>
      <c r="CN50" s="505"/>
      <c r="CO50" s="505"/>
      <c r="CP50" s="505"/>
      <c r="CQ50" s="505"/>
      <c r="CR50" s="505"/>
      <c r="CS50" s="505"/>
      <c r="CT50" s="505"/>
      <c r="CU50" s="505"/>
      <c r="CV50" s="505"/>
      <c r="CW50" s="505"/>
      <c r="CX50" s="505"/>
      <c r="CY50" s="505"/>
      <c r="CZ50" s="505"/>
      <c r="DA50" s="505"/>
      <c r="DB50" s="505"/>
      <c r="DC50" s="505"/>
      <c r="DD50" s="505"/>
      <c r="DE50" s="505"/>
      <c r="DF50" s="505"/>
      <c r="DG50" s="505"/>
      <c r="DH50" s="505"/>
      <c r="DI50" s="505"/>
      <c r="DJ50" s="505"/>
      <c r="DK50" s="505"/>
      <c r="DL50" s="505"/>
      <c r="DM50" s="505"/>
      <c r="DN50" s="505"/>
      <c r="DO50" s="505"/>
      <c r="DP50" s="505"/>
      <c r="DQ50" s="505"/>
      <c r="DR50" s="505"/>
      <c r="DS50" s="505"/>
      <c r="DT50" s="505"/>
      <c r="DU50" s="505"/>
      <c r="DV50" s="505"/>
      <c r="DW50" s="505"/>
      <c r="DX50" s="505"/>
      <c r="DY50" s="505"/>
      <c r="DZ50" s="505"/>
      <c r="EA50" s="505"/>
      <c r="EB50" s="505"/>
      <c r="EC50" s="505"/>
      <c r="ED50" s="505"/>
      <c r="EE50" s="505"/>
      <c r="EF50" s="505"/>
      <c r="EG50" s="505"/>
      <c r="EH50" s="505"/>
      <c r="EI50" s="505"/>
      <c r="EJ50" s="505"/>
      <c r="EK50" s="505"/>
      <c r="EL50" s="505"/>
      <c r="EM50" s="505"/>
      <c r="EN50" s="505"/>
      <c r="EO50" s="505"/>
      <c r="EP50" s="505"/>
      <c r="EQ50" s="505"/>
      <c r="ER50" s="505"/>
      <c r="ES50" s="505"/>
      <c r="ET50" s="505"/>
      <c r="EU50" s="505"/>
      <c r="EV50" s="505"/>
      <c r="EW50" s="505"/>
      <c r="EX50" s="505"/>
      <c r="EY50" s="505"/>
      <c r="EZ50" s="505"/>
      <c r="FA50" s="505"/>
      <c r="FB50" s="505"/>
      <c r="FC50" s="505"/>
      <c r="FD50" s="505"/>
      <c r="FE50" s="505"/>
      <c r="FF50" s="505"/>
      <c r="FG50" s="505"/>
      <c r="FH50" s="505"/>
      <c r="FI50" s="505"/>
      <c r="FJ50" s="505"/>
      <c r="FK50" s="505"/>
      <c r="FL50" s="505"/>
      <c r="FM50" s="505"/>
      <c r="FN50" s="505"/>
      <c r="FO50" s="505"/>
      <c r="FP50" s="505"/>
      <c r="FQ50" s="505"/>
      <c r="FR50" s="505"/>
      <c r="FS50" s="505"/>
      <c r="FT50" s="505"/>
      <c r="FU50" s="505"/>
      <c r="FV50" s="505"/>
      <c r="FW50" s="505"/>
      <c r="FX50" s="505"/>
      <c r="FY50" s="505"/>
      <c r="FZ50" s="505"/>
      <c r="GA50" s="505"/>
      <c r="GB50" s="505"/>
      <c r="GC50" s="505"/>
      <c r="GD50" s="505"/>
      <c r="GE50" s="505"/>
      <c r="GF50" s="505"/>
      <c r="GG50" s="505"/>
      <c r="GH50" s="505"/>
      <c r="GI50" s="505"/>
      <c r="GJ50" s="505"/>
      <c r="GK50" s="505"/>
      <c r="GL50" s="505"/>
      <c r="GM50" s="505"/>
      <c r="GN50" s="505"/>
      <c r="GO50" s="505"/>
      <c r="GP50" s="505"/>
      <c r="GQ50" s="505"/>
      <c r="GR50" s="505"/>
      <c r="GS50" s="505"/>
      <c r="GT50" s="505"/>
      <c r="GU50" s="505"/>
      <c r="GV50" s="505"/>
      <c r="GW50" s="505"/>
      <c r="GX50" s="505"/>
      <c r="GY50" s="505"/>
      <c r="GZ50" s="505"/>
      <c r="HA50" s="505"/>
      <c r="HB50" s="505"/>
      <c r="HC50" s="505"/>
      <c r="HD50" s="505"/>
      <c r="HE50" s="505"/>
      <c r="HF50" s="505"/>
      <c r="HG50" s="505"/>
      <c r="HH50" s="505"/>
      <c r="HI50" s="505"/>
      <c r="HJ50" s="505"/>
      <c r="HK50" s="505"/>
      <c r="HL50" s="505"/>
      <c r="HM50" s="505"/>
      <c r="HN50" s="505"/>
      <c r="HO50" s="505"/>
      <c r="HP50" s="505"/>
      <c r="HQ50" s="505"/>
      <c r="HR50" s="505"/>
      <c r="HS50" s="505"/>
      <c r="HT50" s="505"/>
      <c r="HU50" s="505"/>
      <c r="HV50" s="505"/>
      <c r="HW50" s="505"/>
      <c r="HX50" s="505"/>
      <c r="HY50" s="505"/>
      <c r="HZ50" s="505"/>
      <c r="IA50" s="505"/>
      <c r="IB50" s="505"/>
      <c r="IC50" s="505"/>
      <c r="ID50" s="505"/>
      <c r="IE50" s="505"/>
      <c r="IF50" s="505"/>
      <c r="IG50" s="505"/>
      <c r="IH50" s="505"/>
      <c r="II50" s="505"/>
      <c r="IJ50" s="505"/>
      <c r="IK50" s="505"/>
      <c r="IL50" s="505"/>
      <c r="IM50" s="505"/>
      <c r="IN50" s="505"/>
      <c r="IO50" s="505"/>
      <c r="IP50" s="505"/>
      <c r="IQ50" s="505"/>
      <c r="IR50" s="505"/>
      <c r="IS50" s="505"/>
      <c r="IT50" s="505"/>
      <c r="IU50" s="505"/>
      <c r="IV50" s="505"/>
    </row>
    <row r="51" spans="1:256" ht="63.75" customHeight="1" x14ac:dyDescent="0.2">
      <c r="A51" s="506"/>
      <c r="B51" s="507"/>
      <c r="C51" s="530"/>
      <c r="D51" s="531"/>
      <c r="E51" s="530"/>
      <c r="F51" s="531"/>
      <c r="G51" s="2333"/>
      <c r="H51" s="3106"/>
      <c r="I51" s="2089"/>
      <c r="J51" s="2855"/>
      <c r="K51" s="3069"/>
      <c r="L51" s="3110"/>
      <c r="M51" s="3055"/>
      <c r="N51" s="3001"/>
      <c r="O51" s="3057"/>
      <c r="P51" s="3055"/>
      <c r="Q51" s="2089"/>
      <c r="R51" s="520" t="s">
        <v>431</v>
      </c>
      <c r="S51" s="420">
        <v>4160000</v>
      </c>
      <c r="T51" s="3066"/>
      <c r="U51" s="3066"/>
      <c r="V51" s="3072"/>
      <c r="W51" s="2986"/>
      <c r="X51" s="2980"/>
      <c r="Y51" s="2980"/>
      <c r="Z51" s="2980"/>
      <c r="AA51" s="2980"/>
      <c r="AB51" s="3114"/>
      <c r="AC51" s="2980"/>
      <c r="AD51" s="2809"/>
      <c r="AE51" s="2809"/>
      <c r="AF51" s="2809"/>
      <c r="AG51" s="2809"/>
      <c r="AH51" s="2809"/>
      <c r="AI51" s="2809"/>
      <c r="AJ51" s="2809"/>
      <c r="AK51" s="2809"/>
      <c r="AL51" s="2638"/>
      <c r="AM51" s="2603"/>
      <c r="AN51" s="2776"/>
      <c r="AO51" s="504"/>
      <c r="AP51" s="504"/>
      <c r="AQ51" s="504"/>
      <c r="AR51" s="504"/>
      <c r="AS51" s="504"/>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c r="BQ51" s="505"/>
      <c r="BR51" s="505"/>
      <c r="BS51" s="505"/>
      <c r="BT51" s="505"/>
      <c r="BU51" s="505"/>
      <c r="BV51" s="505"/>
      <c r="BW51" s="505"/>
      <c r="BX51" s="505"/>
      <c r="BY51" s="505"/>
      <c r="BZ51" s="505"/>
      <c r="CA51" s="505"/>
      <c r="CB51" s="505"/>
      <c r="CC51" s="505"/>
      <c r="CD51" s="505"/>
      <c r="CE51" s="505"/>
      <c r="CF51" s="505"/>
      <c r="CG51" s="505"/>
      <c r="CH51" s="505"/>
      <c r="CI51" s="505"/>
      <c r="CJ51" s="505"/>
      <c r="CK51" s="505"/>
      <c r="CL51" s="505"/>
      <c r="CM51" s="505"/>
      <c r="CN51" s="505"/>
      <c r="CO51" s="505"/>
      <c r="CP51" s="505"/>
      <c r="CQ51" s="505"/>
      <c r="CR51" s="505"/>
      <c r="CS51" s="505"/>
      <c r="CT51" s="505"/>
      <c r="CU51" s="505"/>
      <c r="CV51" s="505"/>
      <c r="CW51" s="505"/>
      <c r="CX51" s="505"/>
      <c r="CY51" s="505"/>
      <c r="CZ51" s="505"/>
      <c r="DA51" s="505"/>
      <c r="DB51" s="505"/>
      <c r="DC51" s="505"/>
      <c r="DD51" s="505"/>
      <c r="DE51" s="505"/>
      <c r="DF51" s="505"/>
      <c r="DG51" s="505"/>
      <c r="DH51" s="505"/>
      <c r="DI51" s="505"/>
      <c r="DJ51" s="505"/>
      <c r="DK51" s="505"/>
      <c r="DL51" s="505"/>
      <c r="DM51" s="505"/>
      <c r="DN51" s="505"/>
      <c r="DO51" s="505"/>
      <c r="DP51" s="505"/>
      <c r="DQ51" s="505"/>
      <c r="DR51" s="505"/>
      <c r="DS51" s="505"/>
      <c r="DT51" s="505"/>
      <c r="DU51" s="505"/>
      <c r="DV51" s="505"/>
      <c r="DW51" s="505"/>
      <c r="DX51" s="505"/>
      <c r="DY51" s="505"/>
      <c r="DZ51" s="505"/>
      <c r="EA51" s="505"/>
      <c r="EB51" s="505"/>
      <c r="EC51" s="505"/>
      <c r="ED51" s="505"/>
      <c r="EE51" s="505"/>
      <c r="EF51" s="505"/>
      <c r="EG51" s="505"/>
      <c r="EH51" s="505"/>
      <c r="EI51" s="505"/>
      <c r="EJ51" s="505"/>
      <c r="EK51" s="505"/>
      <c r="EL51" s="505"/>
      <c r="EM51" s="505"/>
      <c r="EN51" s="505"/>
      <c r="EO51" s="505"/>
      <c r="EP51" s="505"/>
      <c r="EQ51" s="505"/>
      <c r="ER51" s="505"/>
      <c r="ES51" s="505"/>
      <c r="ET51" s="505"/>
      <c r="EU51" s="505"/>
      <c r="EV51" s="505"/>
      <c r="EW51" s="505"/>
      <c r="EX51" s="505"/>
      <c r="EY51" s="505"/>
      <c r="EZ51" s="505"/>
      <c r="FA51" s="505"/>
      <c r="FB51" s="505"/>
      <c r="FC51" s="505"/>
      <c r="FD51" s="505"/>
      <c r="FE51" s="505"/>
      <c r="FF51" s="505"/>
      <c r="FG51" s="505"/>
      <c r="FH51" s="505"/>
      <c r="FI51" s="505"/>
      <c r="FJ51" s="505"/>
      <c r="FK51" s="505"/>
      <c r="FL51" s="505"/>
      <c r="FM51" s="505"/>
      <c r="FN51" s="505"/>
      <c r="FO51" s="505"/>
      <c r="FP51" s="505"/>
      <c r="FQ51" s="505"/>
      <c r="FR51" s="505"/>
      <c r="FS51" s="505"/>
      <c r="FT51" s="505"/>
      <c r="FU51" s="505"/>
      <c r="FV51" s="505"/>
      <c r="FW51" s="505"/>
      <c r="FX51" s="505"/>
      <c r="FY51" s="505"/>
      <c r="FZ51" s="505"/>
      <c r="GA51" s="505"/>
      <c r="GB51" s="505"/>
      <c r="GC51" s="505"/>
      <c r="GD51" s="505"/>
      <c r="GE51" s="505"/>
      <c r="GF51" s="505"/>
      <c r="GG51" s="505"/>
      <c r="GH51" s="505"/>
      <c r="GI51" s="505"/>
      <c r="GJ51" s="505"/>
      <c r="GK51" s="505"/>
      <c r="GL51" s="505"/>
      <c r="GM51" s="505"/>
      <c r="GN51" s="505"/>
      <c r="GO51" s="505"/>
      <c r="GP51" s="505"/>
      <c r="GQ51" s="505"/>
      <c r="GR51" s="505"/>
      <c r="GS51" s="505"/>
      <c r="GT51" s="505"/>
      <c r="GU51" s="505"/>
      <c r="GV51" s="505"/>
      <c r="GW51" s="505"/>
      <c r="GX51" s="505"/>
      <c r="GY51" s="505"/>
      <c r="GZ51" s="505"/>
      <c r="HA51" s="505"/>
      <c r="HB51" s="505"/>
      <c r="HC51" s="505"/>
      <c r="HD51" s="505"/>
      <c r="HE51" s="505"/>
      <c r="HF51" s="505"/>
      <c r="HG51" s="505"/>
      <c r="HH51" s="505"/>
      <c r="HI51" s="505"/>
      <c r="HJ51" s="505"/>
      <c r="HK51" s="505"/>
      <c r="HL51" s="505"/>
      <c r="HM51" s="505"/>
      <c r="HN51" s="505"/>
      <c r="HO51" s="505"/>
      <c r="HP51" s="505"/>
      <c r="HQ51" s="505"/>
      <c r="HR51" s="505"/>
      <c r="HS51" s="505"/>
      <c r="HT51" s="505"/>
      <c r="HU51" s="505"/>
      <c r="HV51" s="505"/>
      <c r="HW51" s="505"/>
      <c r="HX51" s="505"/>
      <c r="HY51" s="505"/>
      <c r="HZ51" s="505"/>
      <c r="IA51" s="505"/>
      <c r="IB51" s="505"/>
      <c r="IC51" s="505"/>
      <c r="ID51" s="505"/>
      <c r="IE51" s="505"/>
      <c r="IF51" s="505"/>
      <c r="IG51" s="505"/>
      <c r="IH51" s="505"/>
      <c r="II51" s="505"/>
      <c r="IJ51" s="505"/>
      <c r="IK51" s="505"/>
      <c r="IL51" s="505"/>
      <c r="IM51" s="505"/>
      <c r="IN51" s="505"/>
      <c r="IO51" s="505"/>
      <c r="IP51" s="505"/>
      <c r="IQ51" s="505"/>
      <c r="IR51" s="505"/>
      <c r="IS51" s="505"/>
      <c r="IT51" s="505"/>
      <c r="IU51" s="505"/>
      <c r="IV51" s="505"/>
    </row>
    <row r="52" spans="1:256" ht="89.25" customHeight="1" x14ac:dyDescent="0.2">
      <c r="A52" s="506"/>
      <c r="B52" s="507"/>
      <c r="C52" s="530"/>
      <c r="D52" s="531"/>
      <c r="E52" s="530"/>
      <c r="F52" s="531"/>
      <c r="G52" s="2331">
        <v>188</v>
      </c>
      <c r="H52" s="2250" t="s">
        <v>432</v>
      </c>
      <c r="I52" s="2088" t="s">
        <v>433</v>
      </c>
      <c r="J52" s="2206">
        <v>2</v>
      </c>
      <c r="K52" s="3069"/>
      <c r="L52" s="3110"/>
      <c r="M52" s="3055"/>
      <c r="N52" s="2999">
        <f>SUM(S52:S54)/O48</f>
        <v>0.37623762376237624</v>
      </c>
      <c r="O52" s="3057"/>
      <c r="P52" s="3055"/>
      <c r="Q52" s="2088" t="s">
        <v>432</v>
      </c>
      <c r="R52" s="684" t="s">
        <v>434</v>
      </c>
      <c r="S52" s="420">
        <v>27720000</v>
      </c>
      <c r="T52" s="3066"/>
      <c r="U52" s="3066"/>
      <c r="V52" s="3072"/>
      <c r="W52" s="2986"/>
      <c r="X52" s="2980"/>
      <c r="Y52" s="2980"/>
      <c r="Z52" s="2980"/>
      <c r="AA52" s="2980"/>
      <c r="AB52" s="3114"/>
      <c r="AC52" s="2980"/>
      <c r="AD52" s="2809"/>
      <c r="AE52" s="2809"/>
      <c r="AF52" s="2809"/>
      <c r="AG52" s="2809"/>
      <c r="AH52" s="2809"/>
      <c r="AI52" s="2809"/>
      <c r="AJ52" s="2809"/>
      <c r="AK52" s="2809"/>
      <c r="AL52" s="2638"/>
      <c r="AM52" s="2603"/>
      <c r="AN52" s="2776"/>
      <c r="AO52" s="504"/>
      <c r="AP52" s="504"/>
      <c r="AQ52" s="504"/>
      <c r="AR52" s="504"/>
      <c r="AS52" s="504"/>
      <c r="AT52" s="505"/>
      <c r="AU52" s="505"/>
      <c r="AV52" s="505"/>
      <c r="AW52" s="505"/>
      <c r="AX52" s="505"/>
      <c r="AY52" s="505"/>
      <c r="AZ52" s="505"/>
      <c r="BA52" s="505"/>
      <c r="BB52" s="505"/>
      <c r="BC52" s="505"/>
      <c r="BD52" s="505"/>
      <c r="BE52" s="505"/>
      <c r="BF52" s="505"/>
      <c r="BG52" s="505"/>
      <c r="BH52" s="505"/>
      <c r="BI52" s="505"/>
      <c r="BJ52" s="505"/>
      <c r="BK52" s="505"/>
      <c r="BL52" s="505"/>
      <c r="BM52" s="505"/>
      <c r="BN52" s="505"/>
      <c r="BO52" s="505"/>
      <c r="BP52" s="505"/>
      <c r="BQ52" s="505"/>
      <c r="BR52" s="505"/>
      <c r="BS52" s="505"/>
      <c r="BT52" s="505"/>
      <c r="BU52" s="505"/>
      <c r="BV52" s="505"/>
      <c r="BW52" s="505"/>
      <c r="BX52" s="505"/>
      <c r="BY52" s="505"/>
      <c r="BZ52" s="505"/>
      <c r="CA52" s="505"/>
      <c r="CB52" s="505"/>
      <c r="CC52" s="505"/>
      <c r="CD52" s="505"/>
      <c r="CE52" s="505"/>
      <c r="CF52" s="505"/>
      <c r="CG52" s="505"/>
      <c r="CH52" s="505"/>
      <c r="CI52" s="505"/>
      <c r="CJ52" s="505"/>
      <c r="CK52" s="505"/>
      <c r="CL52" s="505"/>
      <c r="CM52" s="505"/>
      <c r="CN52" s="505"/>
      <c r="CO52" s="505"/>
      <c r="CP52" s="505"/>
      <c r="CQ52" s="505"/>
      <c r="CR52" s="505"/>
      <c r="CS52" s="505"/>
      <c r="CT52" s="505"/>
      <c r="CU52" s="505"/>
      <c r="CV52" s="505"/>
      <c r="CW52" s="505"/>
      <c r="CX52" s="505"/>
      <c r="CY52" s="505"/>
      <c r="CZ52" s="505"/>
      <c r="DA52" s="505"/>
      <c r="DB52" s="505"/>
      <c r="DC52" s="505"/>
      <c r="DD52" s="505"/>
      <c r="DE52" s="505"/>
      <c r="DF52" s="505"/>
      <c r="DG52" s="505"/>
      <c r="DH52" s="505"/>
      <c r="DI52" s="505"/>
      <c r="DJ52" s="505"/>
      <c r="DK52" s="505"/>
      <c r="DL52" s="505"/>
      <c r="DM52" s="505"/>
      <c r="DN52" s="505"/>
      <c r="DO52" s="505"/>
      <c r="DP52" s="505"/>
      <c r="DQ52" s="505"/>
      <c r="DR52" s="505"/>
      <c r="DS52" s="505"/>
      <c r="DT52" s="505"/>
      <c r="DU52" s="505"/>
      <c r="DV52" s="505"/>
      <c r="DW52" s="505"/>
      <c r="DX52" s="505"/>
      <c r="DY52" s="505"/>
      <c r="DZ52" s="505"/>
      <c r="EA52" s="505"/>
      <c r="EB52" s="505"/>
      <c r="EC52" s="505"/>
      <c r="ED52" s="505"/>
      <c r="EE52" s="505"/>
      <c r="EF52" s="505"/>
      <c r="EG52" s="505"/>
      <c r="EH52" s="505"/>
      <c r="EI52" s="505"/>
      <c r="EJ52" s="505"/>
      <c r="EK52" s="505"/>
      <c r="EL52" s="505"/>
      <c r="EM52" s="505"/>
      <c r="EN52" s="505"/>
      <c r="EO52" s="505"/>
      <c r="EP52" s="505"/>
      <c r="EQ52" s="505"/>
      <c r="ER52" s="505"/>
      <c r="ES52" s="505"/>
      <c r="ET52" s="505"/>
      <c r="EU52" s="505"/>
      <c r="EV52" s="505"/>
      <c r="EW52" s="505"/>
      <c r="EX52" s="505"/>
      <c r="EY52" s="505"/>
      <c r="EZ52" s="505"/>
      <c r="FA52" s="505"/>
      <c r="FB52" s="505"/>
      <c r="FC52" s="505"/>
      <c r="FD52" s="505"/>
      <c r="FE52" s="505"/>
      <c r="FF52" s="505"/>
      <c r="FG52" s="505"/>
      <c r="FH52" s="505"/>
      <c r="FI52" s="505"/>
      <c r="FJ52" s="505"/>
      <c r="FK52" s="505"/>
      <c r="FL52" s="505"/>
      <c r="FM52" s="505"/>
      <c r="FN52" s="505"/>
      <c r="FO52" s="505"/>
      <c r="FP52" s="505"/>
      <c r="FQ52" s="505"/>
      <c r="FR52" s="505"/>
      <c r="FS52" s="505"/>
      <c r="FT52" s="505"/>
      <c r="FU52" s="505"/>
      <c r="FV52" s="505"/>
      <c r="FW52" s="505"/>
      <c r="FX52" s="505"/>
      <c r="FY52" s="505"/>
      <c r="FZ52" s="505"/>
      <c r="GA52" s="505"/>
      <c r="GB52" s="505"/>
      <c r="GC52" s="505"/>
      <c r="GD52" s="505"/>
      <c r="GE52" s="505"/>
      <c r="GF52" s="505"/>
      <c r="GG52" s="505"/>
      <c r="GH52" s="505"/>
      <c r="GI52" s="505"/>
      <c r="GJ52" s="505"/>
      <c r="GK52" s="505"/>
      <c r="GL52" s="505"/>
      <c r="GM52" s="505"/>
      <c r="GN52" s="505"/>
      <c r="GO52" s="505"/>
      <c r="GP52" s="505"/>
      <c r="GQ52" s="505"/>
      <c r="GR52" s="505"/>
      <c r="GS52" s="505"/>
      <c r="GT52" s="505"/>
      <c r="GU52" s="505"/>
      <c r="GV52" s="505"/>
      <c r="GW52" s="505"/>
      <c r="GX52" s="505"/>
      <c r="GY52" s="505"/>
      <c r="GZ52" s="505"/>
      <c r="HA52" s="505"/>
      <c r="HB52" s="505"/>
      <c r="HC52" s="505"/>
      <c r="HD52" s="505"/>
      <c r="HE52" s="505"/>
      <c r="HF52" s="505"/>
      <c r="HG52" s="505"/>
      <c r="HH52" s="505"/>
      <c r="HI52" s="505"/>
      <c r="HJ52" s="505"/>
      <c r="HK52" s="505"/>
      <c r="HL52" s="505"/>
      <c r="HM52" s="505"/>
      <c r="HN52" s="505"/>
      <c r="HO52" s="505"/>
      <c r="HP52" s="505"/>
      <c r="HQ52" s="505"/>
      <c r="HR52" s="505"/>
      <c r="HS52" s="505"/>
      <c r="HT52" s="505"/>
      <c r="HU52" s="505"/>
      <c r="HV52" s="505"/>
      <c r="HW52" s="505"/>
      <c r="HX52" s="505"/>
      <c r="HY52" s="505"/>
      <c r="HZ52" s="505"/>
      <c r="IA52" s="505"/>
      <c r="IB52" s="505"/>
      <c r="IC52" s="505"/>
      <c r="ID52" s="505"/>
      <c r="IE52" s="505"/>
      <c r="IF52" s="505"/>
      <c r="IG52" s="505"/>
      <c r="IH52" s="505"/>
      <c r="II52" s="505"/>
      <c r="IJ52" s="505"/>
      <c r="IK52" s="505"/>
      <c r="IL52" s="505"/>
      <c r="IM52" s="505"/>
      <c r="IN52" s="505"/>
      <c r="IO52" s="505"/>
      <c r="IP52" s="505"/>
      <c r="IQ52" s="505"/>
      <c r="IR52" s="505"/>
      <c r="IS52" s="505"/>
      <c r="IT52" s="505"/>
      <c r="IU52" s="505"/>
      <c r="IV52" s="505"/>
    </row>
    <row r="53" spans="1:256" ht="52.5" customHeight="1" x14ac:dyDescent="0.2">
      <c r="A53" s="506"/>
      <c r="B53" s="507"/>
      <c r="C53" s="530"/>
      <c r="D53" s="531"/>
      <c r="E53" s="530"/>
      <c r="F53" s="531"/>
      <c r="G53" s="2332"/>
      <c r="H53" s="3077"/>
      <c r="I53" s="2185"/>
      <c r="J53" s="3008"/>
      <c r="K53" s="3069"/>
      <c r="L53" s="3110"/>
      <c r="M53" s="3055"/>
      <c r="N53" s="3000"/>
      <c r="O53" s="3057"/>
      <c r="P53" s="3055"/>
      <c r="Q53" s="2185"/>
      <c r="R53" s="684" t="s">
        <v>435</v>
      </c>
      <c r="S53" s="420">
        <v>7920000</v>
      </c>
      <c r="T53" s="3066"/>
      <c r="U53" s="3066"/>
      <c r="V53" s="3072"/>
      <c r="W53" s="2986"/>
      <c r="X53" s="2980"/>
      <c r="Y53" s="2980"/>
      <c r="Z53" s="2980"/>
      <c r="AA53" s="2980"/>
      <c r="AB53" s="3114"/>
      <c r="AC53" s="2980"/>
      <c r="AD53" s="2809"/>
      <c r="AE53" s="2809"/>
      <c r="AF53" s="2809"/>
      <c r="AG53" s="2809"/>
      <c r="AH53" s="2809"/>
      <c r="AI53" s="2809"/>
      <c r="AJ53" s="2809"/>
      <c r="AK53" s="2809"/>
      <c r="AL53" s="2638"/>
      <c r="AM53" s="2603"/>
      <c r="AN53" s="2776"/>
      <c r="AO53" s="504"/>
      <c r="AP53" s="504"/>
      <c r="AQ53" s="504"/>
      <c r="AR53" s="504"/>
      <c r="AS53" s="504"/>
      <c r="AT53" s="505"/>
      <c r="AU53" s="505"/>
      <c r="AV53" s="505"/>
      <c r="AW53" s="505"/>
      <c r="AX53" s="505"/>
      <c r="AY53" s="505"/>
      <c r="AZ53" s="505"/>
      <c r="BA53" s="505"/>
      <c r="BB53" s="505"/>
      <c r="BC53" s="505"/>
      <c r="BD53" s="505"/>
      <c r="BE53" s="505"/>
      <c r="BF53" s="505"/>
      <c r="BG53" s="505"/>
      <c r="BH53" s="505"/>
      <c r="BI53" s="505"/>
      <c r="BJ53" s="505"/>
      <c r="BK53" s="505"/>
      <c r="BL53" s="505"/>
      <c r="BM53" s="505"/>
      <c r="BN53" s="505"/>
      <c r="BO53" s="505"/>
      <c r="BP53" s="505"/>
      <c r="BQ53" s="505"/>
      <c r="BR53" s="505"/>
      <c r="BS53" s="505"/>
      <c r="BT53" s="505"/>
      <c r="BU53" s="505"/>
      <c r="BV53" s="505"/>
      <c r="BW53" s="505"/>
      <c r="BX53" s="505"/>
      <c r="BY53" s="505"/>
      <c r="BZ53" s="505"/>
      <c r="CA53" s="505"/>
      <c r="CB53" s="505"/>
      <c r="CC53" s="505"/>
      <c r="CD53" s="505"/>
      <c r="CE53" s="505"/>
      <c r="CF53" s="505"/>
      <c r="CG53" s="505"/>
      <c r="CH53" s="505"/>
      <c r="CI53" s="505"/>
      <c r="CJ53" s="505"/>
      <c r="CK53" s="505"/>
      <c r="CL53" s="505"/>
      <c r="CM53" s="505"/>
      <c r="CN53" s="505"/>
      <c r="CO53" s="505"/>
      <c r="CP53" s="505"/>
      <c r="CQ53" s="505"/>
      <c r="CR53" s="505"/>
      <c r="CS53" s="505"/>
      <c r="CT53" s="505"/>
      <c r="CU53" s="505"/>
      <c r="CV53" s="505"/>
      <c r="CW53" s="505"/>
      <c r="CX53" s="505"/>
      <c r="CY53" s="505"/>
      <c r="CZ53" s="505"/>
      <c r="DA53" s="505"/>
      <c r="DB53" s="505"/>
      <c r="DC53" s="505"/>
      <c r="DD53" s="505"/>
      <c r="DE53" s="505"/>
      <c r="DF53" s="505"/>
      <c r="DG53" s="505"/>
      <c r="DH53" s="505"/>
      <c r="DI53" s="505"/>
      <c r="DJ53" s="505"/>
      <c r="DK53" s="505"/>
      <c r="DL53" s="505"/>
      <c r="DM53" s="505"/>
      <c r="DN53" s="505"/>
      <c r="DO53" s="505"/>
      <c r="DP53" s="505"/>
      <c r="DQ53" s="505"/>
      <c r="DR53" s="505"/>
      <c r="DS53" s="505"/>
      <c r="DT53" s="505"/>
      <c r="DU53" s="505"/>
      <c r="DV53" s="505"/>
      <c r="DW53" s="505"/>
      <c r="DX53" s="505"/>
      <c r="DY53" s="505"/>
      <c r="DZ53" s="505"/>
      <c r="EA53" s="505"/>
      <c r="EB53" s="505"/>
      <c r="EC53" s="505"/>
      <c r="ED53" s="505"/>
      <c r="EE53" s="505"/>
      <c r="EF53" s="505"/>
      <c r="EG53" s="505"/>
      <c r="EH53" s="505"/>
      <c r="EI53" s="505"/>
      <c r="EJ53" s="505"/>
      <c r="EK53" s="505"/>
      <c r="EL53" s="505"/>
      <c r="EM53" s="505"/>
      <c r="EN53" s="505"/>
      <c r="EO53" s="505"/>
      <c r="EP53" s="505"/>
      <c r="EQ53" s="505"/>
      <c r="ER53" s="505"/>
      <c r="ES53" s="505"/>
      <c r="ET53" s="505"/>
      <c r="EU53" s="505"/>
      <c r="EV53" s="505"/>
      <c r="EW53" s="505"/>
      <c r="EX53" s="505"/>
      <c r="EY53" s="505"/>
      <c r="EZ53" s="505"/>
      <c r="FA53" s="505"/>
      <c r="FB53" s="505"/>
      <c r="FC53" s="505"/>
      <c r="FD53" s="505"/>
      <c r="FE53" s="505"/>
      <c r="FF53" s="505"/>
      <c r="FG53" s="505"/>
      <c r="FH53" s="505"/>
      <c r="FI53" s="505"/>
      <c r="FJ53" s="505"/>
      <c r="FK53" s="505"/>
      <c r="FL53" s="505"/>
      <c r="FM53" s="505"/>
      <c r="FN53" s="505"/>
      <c r="FO53" s="505"/>
      <c r="FP53" s="505"/>
      <c r="FQ53" s="505"/>
      <c r="FR53" s="505"/>
      <c r="FS53" s="505"/>
      <c r="FT53" s="505"/>
      <c r="FU53" s="505"/>
      <c r="FV53" s="505"/>
      <c r="FW53" s="505"/>
      <c r="FX53" s="505"/>
      <c r="FY53" s="505"/>
      <c r="FZ53" s="505"/>
      <c r="GA53" s="505"/>
      <c r="GB53" s="505"/>
      <c r="GC53" s="505"/>
      <c r="GD53" s="505"/>
      <c r="GE53" s="505"/>
      <c r="GF53" s="505"/>
      <c r="GG53" s="505"/>
      <c r="GH53" s="505"/>
      <c r="GI53" s="505"/>
      <c r="GJ53" s="505"/>
      <c r="GK53" s="505"/>
      <c r="GL53" s="505"/>
      <c r="GM53" s="505"/>
      <c r="GN53" s="505"/>
      <c r="GO53" s="505"/>
      <c r="GP53" s="505"/>
      <c r="GQ53" s="505"/>
      <c r="GR53" s="505"/>
      <c r="GS53" s="505"/>
      <c r="GT53" s="505"/>
      <c r="GU53" s="505"/>
      <c r="GV53" s="505"/>
      <c r="GW53" s="505"/>
      <c r="GX53" s="505"/>
      <c r="GY53" s="505"/>
      <c r="GZ53" s="505"/>
      <c r="HA53" s="505"/>
      <c r="HB53" s="505"/>
      <c r="HC53" s="505"/>
      <c r="HD53" s="505"/>
      <c r="HE53" s="505"/>
      <c r="HF53" s="505"/>
      <c r="HG53" s="505"/>
      <c r="HH53" s="505"/>
      <c r="HI53" s="505"/>
      <c r="HJ53" s="505"/>
      <c r="HK53" s="505"/>
      <c r="HL53" s="505"/>
      <c r="HM53" s="505"/>
      <c r="HN53" s="505"/>
      <c r="HO53" s="505"/>
      <c r="HP53" s="505"/>
      <c r="HQ53" s="505"/>
      <c r="HR53" s="505"/>
      <c r="HS53" s="505"/>
      <c r="HT53" s="505"/>
      <c r="HU53" s="505"/>
      <c r="HV53" s="505"/>
      <c r="HW53" s="505"/>
      <c r="HX53" s="505"/>
      <c r="HY53" s="505"/>
      <c r="HZ53" s="505"/>
      <c r="IA53" s="505"/>
      <c r="IB53" s="505"/>
      <c r="IC53" s="505"/>
      <c r="ID53" s="505"/>
      <c r="IE53" s="505"/>
      <c r="IF53" s="505"/>
      <c r="IG53" s="505"/>
      <c r="IH53" s="505"/>
      <c r="II53" s="505"/>
      <c r="IJ53" s="505"/>
      <c r="IK53" s="505"/>
      <c r="IL53" s="505"/>
      <c r="IM53" s="505"/>
      <c r="IN53" s="505"/>
      <c r="IO53" s="505"/>
      <c r="IP53" s="505"/>
      <c r="IQ53" s="505"/>
      <c r="IR53" s="505"/>
      <c r="IS53" s="505"/>
      <c r="IT53" s="505"/>
      <c r="IU53" s="505"/>
      <c r="IV53" s="505"/>
    </row>
    <row r="54" spans="1:256" ht="45" customHeight="1" x14ac:dyDescent="0.2">
      <c r="A54" s="506"/>
      <c r="B54" s="507"/>
      <c r="C54" s="530"/>
      <c r="D54" s="531"/>
      <c r="E54" s="530"/>
      <c r="F54" s="531"/>
      <c r="G54" s="2333"/>
      <c r="H54" s="3106"/>
      <c r="I54" s="2089"/>
      <c r="J54" s="2855"/>
      <c r="K54" s="3069"/>
      <c r="L54" s="3110"/>
      <c r="M54" s="3055"/>
      <c r="N54" s="3001"/>
      <c r="O54" s="2489"/>
      <c r="P54" s="3055"/>
      <c r="Q54" s="2089"/>
      <c r="R54" s="684" t="s">
        <v>436</v>
      </c>
      <c r="S54" s="420">
        <v>2360000</v>
      </c>
      <c r="T54" s="3066"/>
      <c r="U54" s="3066"/>
      <c r="V54" s="3072"/>
      <c r="W54" s="2986"/>
      <c r="X54" s="2980"/>
      <c r="Y54" s="2980"/>
      <c r="Z54" s="2980"/>
      <c r="AA54" s="2980"/>
      <c r="AB54" s="3114"/>
      <c r="AC54" s="2980"/>
      <c r="AD54" s="2809"/>
      <c r="AE54" s="2809"/>
      <c r="AF54" s="2809"/>
      <c r="AG54" s="2809"/>
      <c r="AH54" s="2809"/>
      <c r="AI54" s="2809"/>
      <c r="AJ54" s="2809"/>
      <c r="AK54" s="2809"/>
      <c r="AL54" s="2860"/>
      <c r="AM54" s="2785"/>
      <c r="AN54" s="2776"/>
      <c r="AO54" s="504"/>
      <c r="AP54" s="504"/>
      <c r="AQ54" s="504"/>
      <c r="AR54" s="504"/>
      <c r="AS54" s="504"/>
      <c r="AT54" s="505"/>
      <c r="AU54" s="505"/>
      <c r="AV54" s="505"/>
      <c r="AW54" s="505"/>
      <c r="AX54" s="505"/>
      <c r="AY54" s="505"/>
      <c r="AZ54" s="505"/>
      <c r="BA54" s="505"/>
      <c r="BB54" s="505"/>
      <c r="BC54" s="505"/>
      <c r="BD54" s="505"/>
      <c r="BE54" s="505"/>
      <c r="BF54" s="505"/>
      <c r="BG54" s="505"/>
      <c r="BH54" s="505"/>
      <c r="BI54" s="505"/>
      <c r="BJ54" s="505"/>
      <c r="BK54" s="505"/>
      <c r="BL54" s="505"/>
      <c r="BM54" s="505"/>
      <c r="BN54" s="505"/>
      <c r="BO54" s="505"/>
      <c r="BP54" s="505"/>
      <c r="BQ54" s="505"/>
      <c r="BR54" s="505"/>
      <c r="BS54" s="505"/>
      <c r="BT54" s="505"/>
      <c r="BU54" s="505"/>
      <c r="BV54" s="505"/>
      <c r="BW54" s="505"/>
      <c r="BX54" s="505"/>
      <c r="BY54" s="505"/>
      <c r="BZ54" s="505"/>
      <c r="CA54" s="505"/>
      <c r="CB54" s="505"/>
      <c r="CC54" s="505"/>
      <c r="CD54" s="505"/>
      <c r="CE54" s="505"/>
      <c r="CF54" s="505"/>
      <c r="CG54" s="505"/>
      <c r="CH54" s="505"/>
      <c r="CI54" s="505"/>
      <c r="CJ54" s="505"/>
      <c r="CK54" s="505"/>
      <c r="CL54" s="505"/>
      <c r="CM54" s="505"/>
      <c r="CN54" s="505"/>
      <c r="CO54" s="505"/>
      <c r="CP54" s="505"/>
      <c r="CQ54" s="505"/>
      <c r="CR54" s="505"/>
      <c r="CS54" s="505"/>
      <c r="CT54" s="505"/>
      <c r="CU54" s="505"/>
      <c r="CV54" s="505"/>
      <c r="CW54" s="505"/>
      <c r="CX54" s="505"/>
      <c r="CY54" s="505"/>
      <c r="CZ54" s="505"/>
      <c r="DA54" s="505"/>
      <c r="DB54" s="505"/>
      <c r="DC54" s="505"/>
      <c r="DD54" s="505"/>
      <c r="DE54" s="505"/>
      <c r="DF54" s="505"/>
      <c r="DG54" s="505"/>
      <c r="DH54" s="505"/>
      <c r="DI54" s="505"/>
      <c r="DJ54" s="505"/>
      <c r="DK54" s="505"/>
      <c r="DL54" s="505"/>
      <c r="DM54" s="505"/>
      <c r="DN54" s="505"/>
      <c r="DO54" s="505"/>
      <c r="DP54" s="505"/>
      <c r="DQ54" s="505"/>
      <c r="DR54" s="505"/>
      <c r="DS54" s="505"/>
      <c r="DT54" s="505"/>
      <c r="DU54" s="505"/>
      <c r="DV54" s="505"/>
      <c r="DW54" s="505"/>
      <c r="DX54" s="505"/>
      <c r="DY54" s="505"/>
      <c r="DZ54" s="505"/>
      <c r="EA54" s="505"/>
      <c r="EB54" s="505"/>
      <c r="EC54" s="505"/>
      <c r="ED54" s="505"/>
      <c r="EE54" s="505"/>
      <c r="EF54" s="505"/>
      <c r="EG54" s="505"/>
      <c r="EH54" s="505"/>
      <c r="EI54" s="505"/>
      <c r="EJ54" s="505"/>
      <c r="EK54" s="505"/>
      <c r="EL54" s="505"/>
      <c r="EM54" s="505"/>
      <c r="EN54" s="505"/>
      <c r="EO54" s="505"/>
      <c r="EP54" s="505"/>
      <c r="EQ54" s="505"/>
      <c r="ER54" s="505"/>
      <c r="ES54" s="505"/>
      <c r="ET54" s="505"/>
      <c r="EU54" s="505"/>
      <c r="EV54" s="505"/>
      <c r="EW54" s="505"/>
      <c r="EX54" s="505"/>
      <c r="EY54" s="505"/>
      <c r="EZ54" s="505"/>
      <c r="FA54" s="505"/>
      <c r="FB54" s="505"/>
      <c r="FC54" s="505"/>
      <c r="FD54" s="505"/>
      <c r="FE54" s="505"/>
      <c r="FF54" s="505"/>
      <c r="FG54" s="505"/>
      <c r="FH54" s="505"/>
      <c r="FI54" s="505"/>
      <c r="FJ54" s="505"/>
      <c r="FK54" s="505"/>
      <c r="FL54" s="505"/>
      <c r="FM54" s="505"/>
      <c r="FN54" s="505"/>
      <c r="FO54" s="505"/>
      <c r="FP54" s="505"/>
      <c r="FQ54" s="505"/>
      <c r="FR54" s="505"/>
      <c r="FS54" s="505"/>
      <c r="FT54" s="505"/>
      <c r="FU54" s="505"/>
      <c r="FV54" s="505"/>
      <c r="FW54" s="505"/>
      <c r="FX54" s="505"/>
      <c r="FY54" s="505"/>
      <c r="FZ54" s="505"/>
      <c r="GA54" s="505"/>
      <c r="GB54" s="505"/>
      <c r="GC54" s="505"/>
      <c r="GD54" s="505"/>
      <c r="GE54" s="505"/>
      <c r="GF54" s="505"/>
      <c r="GG54" s="505"/>
      <c r="GH54" s="505"/>
      <c r="GI54" s="505"/>
      <c r="GJ54" s="505"/>
      <c r="GK54" s="505"/>
      <c r="GL54" s="505"/>
      <c r="GM54" s="505"/>
      <c r="GN54" s="505"/>
      <c r="GO54" s="505"/>
      <c r="GP54" s="505"/>
      <c r="GQ54" s="505"/>
      <c r="GR54" s="505"/>
      <c r="GS54" s="505"/>
      <c r="GT54" s="505"/>
      <c r="GU54" s="505"/>
      <c r="GV54" s="505"/>
      <c r="GW54" s="505"/>
      <c r="GX54" s="505"/>
      <c r="GY54" s="505"/>
      <c r="GZ54" s="505"/>
      <c r="HA54" s="505"/>
      <c r="HB54" s="505"/>
      <c r="HC54" s="505"/>
      <c r="HD54" s="505"/>
      <c r="HE54" s="505"/>
      <c r="HF54" s="505"/>
      <c r="HG54" s="505"/>
      <c r="HH54" s="505"/>
      <c r="HI54" s="505"/>
      <c r="HJ54" s="505"/>
      <c r="HK54" s="505"/>
      <c r="HL54" s="505"/>
      <c r="HM54" s="505"/>
      <c r="HN54" s="505"/>
      <c r="HO54" s="505"/>
      <c r="HP54" s="505"/>
      <c r="HQ54" s="505"/>
      <c r="HR54" s="505"/>
      <c r="HS54" s="505"/>
      <c r="HT54" s="505"/>
      <c r="HU54" s="505"/>
      <c r="HV54" s="505"/>
      <c r="HW54" s="505"/>
      <c r="HX54" s="505"/>
      <c r="HY54" s="505"/>
      <c r="HZ54" s="505"/>
      <c r="IA54" s="505"/>
      <c r="IB54" s="505"/>
      <c r="IC54" s="505"/>
      <c r="ID54" s="505"/>
      <c r="IE54" s="505"/>
      <c r="IF54" s="505"/>
      <c r="IG54" s="505"/>
      <c r="IH54" s="505"/>
      <c r="II54" s="505"/>
      <c r="IJ54" s="505"/>
      <c r="IK54" s="505"/>
      <c r="IL54" s="505"/>
      <c r="IM54" s="505"/>
      <c r="IN54" s="505"/>
      <c r="IO54" s="505"/>
      <c r="IP54" s="505"/>
      <c r="IQ54" s="505"/>
      <c r="IR54" s="505"/>
      <c r="IS54" s="505"/>
      <c r="IT54" s="505"/>
      <c r="IU54" s="505"/>
      <c r="IV54" s="505"/>
    </row>
    <row r="55" spans="1:256" ht="50.25" customHeight="1" x14ac:dyDescent="0.2">
      <c r="A55" s="506"/>
      <c r="B55" s="507"/>
      <c r="C55" s="530"/>
      <c r="D55" s="531"/>
      <c r="E55" s="530"/>
      <c r="F55" s="531"/>
      <c r="G55" s="2331">
        <v>189</v>
      </c>
      <c r="H55" s="2250" t="s">
        <v>437</v>
      </c>
      <c r="I55" s="2057" t="s">
        <v>438</v>
      </c>
      <c r="J55" s="2979">
        <v>1</v>
      </c>
      <c r="K55" s="3069"/>
      <c r="L55" s="3110"/>
      <c r="M55" s="3055"/>
      <c r="N55" s="3107">
        <f>SUM(S55:S59)/O48</f>
        <v>0.37623762376237624</v>
      </c>
      <c r="O55" s="2489"/>
      <c r="P55" s="3055"/>
      <c r="Q55" s="2057" t="s">
        <v>439</v>
      </c>
      <c r="R55" s="685" t="s">
        <v>440</v>
      </c>
      <c r="S55" s="420">
        <v>20000000</v>
      </c>
      <c r="T55" s="3066"/>
      <c r="U55" s="3066"/>
      <c r="V55" s="3072"/>
      <c r="W55" s="2986"/>
      <c r="X55" s="2980"/>
      <c r="Y55" s="2980"/>
      <c r="Z55" s="2980"/>
      <c r="AA55" s="2980"/>
      <c r="AB55" s="3114"/>
      <c r="AC55" s="2980"/>
      <c r="AD55" s="2809"/>
      <c r="AE55" s="2809"/>
      <c r="AF55" s="2809"/>
      <c r="AG55" s="2809"/>
      <c r="AH55" s="2809"/>
      <c r="AI55" s="2809"/>
      <c r="AJ55" s="2809"/>
      <c r="AK55" s="2809"/>
      <c r="AL55" s="2860"/>
      <c r="AM55" s="2785"/>
      <c r="AN55" s="2776"/>
      <c r="AO55" s="504"/>
      <c r="AP55" s="504"/>
      <c r="AQ55" s="504"/>
      <c r="AR55" s="504"/>
      <c r="AS55" s="504"/>
      <c r="AT55" s="505"/>
      <c r="AU55" s="505"/>
      <c r="AV55" s="505"/>
      <c r="AW55" s="505"/>
      <c r="AX55" s="505"/>
      <c r="AY55" s="505"/>
      <c r="AZ55" s="505"/>
      <c r="BA55" s="505"/>
      <c r="BB55" s="505"/>
      <c r="BC55" s="505"/>
      <c r="BD55" s="505"/>
      <c r="BE55" s="505"/>
      <c r="BF55" s="505"/>
      <c r="BG55" s="505"/>
      <c r="BH55" s="505"/>
      <c r="BI55" s="505"/>
      <c r="BJ55" s="505"/>
      <c r="BK55" s="505"/>
      <c r="BL55" s="505"/>
      <c r="BM55" s="505"/>
      <c r="BN55" s="505"/>
      <c r="BO55" s="505"/>
      <c r="BP55" s="505"/>
      <c r="BQ55" s="505"/>
      <c r="BR55" s="505"/>
      <c r="BS55" s="505"/>
      <c r="BT55" s="505"/>
      <c r="BU55" s="505"/>
      <c r="BV55" s="505"/>
      <c r="BW55" s="505"/>
      <c r="BX55" s="505"/>
      <c r="BY55" s="505"/>
      <c r="BZ55" s="505"/>
      <c r="CA55" s="505"/>
      <c r="CB55" s="505"/>
      <c r="CC55" s="505"/>
      <c r="CD55" s="505"/>
      <c r="CE55" s="505"/>
      <c r="CF55" s="505"/>
      <c r="CG55" s="505"/>
      <c r="CH55" s="505"/>
      <c r="CI55" s="505"/>
      <c r="CJ55" s="505"/>
      <c r="CK55" s="505"/>
      <c r="CL55" s="505"/>
      <c r="CM55" s="505"/>
      <c r="CN55" s="505"/>
      <c r="CO55" s="505"/>
      <c r="CP55" s="505"/>
      <c r="CQ55" s="505"/>
      <c r="CR55" s="505"/>
      <c r="CS55" s="505"/>
      <c r="CT55" s="505"/>
      <c r="CU55" s="505"/>
      <c r="CV55" s="505"/>
      <c r="CW55" s="505"/>
      <c r="CX55" s="505"/>
      <c r="CY55" s="505"/>
      <c r="CZ55" s="505"/>
      <c r="DA55" s="505"/>
      <c r="DB55" s="505"/>
      <c r="DC55" s="505"/>
      <c r="DD55" s="505"/>
      <c r="DE55" s="505"/>
      <c r="DF55" s="505"/>
      <c r="DG55" s="505"/>
      <c r="DH55" s="505"/>
      <c r="DI55" s="505"/>
      <c r="DJ55" s="505"/>
      <c r="DK55" s="505"/>
      <c r="DL55" s="505"/>
      <c r="DM55" s="505"/>
      <c r="DN55" s="505"/>
      <c r="DO55" s="505"/>
      <c r="DP55" s="505"/>
      <c r="DQ55" s="505"/>
      <c r="DR55" s="505"/>
      <c r="DS55" s="505"/>
      <c r="DT55" s="505"/>
      <c r="DU55" s="505"/>
      <c r="DV55" s="505"/>
      <c r="DW55" s="505"/>
      <c r="DX55" s="505"/>
      <c r="DY55" s="505"/>
      <c r="DZ55" s="505"/>
      <c r="EA55" s="505"/>
      <c r="EB55" s="505"/>
      <c r="EC55" s="505"/>
      <c r="ED55" s="505"/>
      <c r="EE55" s="505"/>
      <c r="EF55" s="505"/>
      <c r="EG55" s="505"/>
      <c r="EH55" s="505"/>
      <c r="EI55" s="505"/>
      <c r="EJ55" s="505"/>
      <c r="EK55" s="505"/>
      <c r="EL55" s="505"/>
      <c r="EM55" s="505"/>
      <c r="EN55" s="505"/>
      <c r="EO55" s="505"/>
      <c r="EP55" s="505"/>
      <c r="EQ55" s="505"/>
      <c r="ER55" s="505"/>
      <c r="ES55" s="505"/>
      <c r="ET55" s="505"/>
      <c r="EU55" s="505"/>
      <c r="EV55" s="505"/>
      <c r="EW55" s="505"/>
      <c r="EX55" s="505"/>
      <c r="EY55" s="505"/>
      <c r="EZ55" s="505"/>
      <c r="FA55" s="505"/>
      <c r="FB55" s="505"/>
      <c r="FC55" s="505"/>
      <c r="FD55" s="505"/>
      <c r="FE55" s="505"/>
      <c r="FF55" s="505"/>
      <c r="FG55" s="505"/>
      <c r="FH55" s="505"/>
      <c r="FI55" s="505"/>
      <c r="FJ55" s="505"/>
      <c r="FK55" s="505"/>
      <c r="FL55" s="505"/>
      <c r="FM55" s="505"/>
      <c r="FN55" s="505"/>
      <c r="FO55" s="505"/>
      <c r="FP55" s="505"/>
      <c r="FQ55" s="505"/>
      <c r="FR55" s="505"/>
      <c r="FS55" s="505"/>
      <c r="FT55" s="505"/>
      <c r="FU55" s="505"/>
      <c r="FV55" s="505"/>
      <c r="FW55" s="505"/>
      <c r="FX55" s="505"/>
      <c r="FY55" s="505"/>
      <c r="FZ55" s="505"/>
      <c r="GA55" s="505"/>
      <c r="GB55" s="505"/>
      <c r="GC55" s="505"/>
      <c r="GD55" s="505"/>
      <c r="GE55" s="505"/>
      <c r="GF55" s="505"/>
      <c r="GG55" s="505"/>
      <c r="GH55" s="505"/>
      <c r="GI55" s="505"/>
      <c r="GJ55" s="505"/>
      <c r="GK55" s="505"/>
      <c r="GL55" s="505"/>
      <c r="GM55" s="505"/>
      <c r="GN55" s="505"/>
      <c r="GO55" s="505"/>
      <c r="GP55" s="505"/>
      <c r="GQ55" s="505"/>
      <c r="GR55" s="505"/>
      <c r="GS55" s="505"/>
      <c r="GT55" s="505"/>
      <c r="GU55" s="505"/>
      <c r="GV55" s="505"/>
      <c r="GW55" s="505"/>
      <c r="GX55" s="505"/>
      <c r="GY55" s="505"/>
      <c r="GZ55" s="505"/>
      <c r="HA55" s="505"/>
      <c r="HB55" s="505"/>
      <c r="HC55" s="505"/>
      <c r="HD55" s="505"/>
      <c r="HE55" s="505"/>
      <c r="HF55" s="505"/>
      <c r="HG55" s="505"/>
      <c r="HH55" s="505"/>
      <c r="HI55" s="505"/>
      <c r="HJ55" s="505"/>
      <c r="HK55" s="505"/>
      <c r="HL55" s="505"/>
      <c r="HM55" s="505"/>
      <c r="HN55" s="505"/>
      <c r="HO55" s="505"/>
      <c r="HP55" s="505"/>
      <c r="HQ55" s="505"/>
      <c r="HR55" s="505"/>
      <c r="HS55" s="505"/>
      <c r="HT55" s="505"/>
      <c r="HU55" s="505"/>
      <c r="HV55" s="505"/>
      <c r="HW55" s="505"/>
      <c r="HX55" s="505"/>
      <c r="HY55" s="505"/>
      <c r="HZ55" s="505"/>
      <c r="IA55" s="505"/>
      <c r="IB55" s="505"/>
      <c r="IC55" s="505"/>
      <c r="ID55" s="505"/>
      <c r="IE55" s="505"/>
      <c r="IF55" s="505"/>
      <c r="IG55" s="505"/>
      <c r="IH55" s="505"/>
      <c r="II55" s="505"/>
      <c r="IJ55" s="505"/>
      <c r="IK55" s="505"/>
      <c r="IL55" s="505"/>
      <c r="IM55" s="505"/>
      <c r="IN55" s="505"/>
      <c r="IO55" s="505"/>
      <c r="IP55" s="505"/>
      <c r="IQ55" s="505"/>
      <c r="IR55" s="505"/>
      <c r="IS55" s="505"/>
      <c r="IT55" s="505"/>
      <c r="IU55" s="505"/>
      <c r="IV55" s="505"/>
    </row>
    <row r="56" spans="1:256" ht="54" customHeight="1" x14ac:dyDescent="0.2">
      <c r="A56" s="506"/>
      <c r="B56" s="507"/>
      <c r="C56" s="530"/>
      <c r="D56" s="531"/>
      <c r="E56" s="530"/>
      <c r="F56" s="531"/>
      <c r="G56" s="2332"/>
      <c r="H56" s="3077"/>
      <c r="I56" s="2630"/>
      <c r="J56" s="2980"/>
      <c r="K56" s="3069"/>
      <c r="L56" s="3110"/>
      <c r="M56" s="3055"/>
      <c r="N56" s="3108"/>
      <c r="O56" s="2489"/>
      <c r="P56" s="3055"/>
      <c r="Q56" s="2630"/>
      <c r="R56" s="685" t="s">
        <v>441</v>
      </c>
      <c r="S56" s="420">
        <v>4000000</v>
      </c>
      <c r="T56" s="3066"/>
      <c r="U56" s="3066"/>
      <c r="V56" s="3072"/>
      <c r="W56" s="2986"/>
      <c r="X56" s="2980"/>
      <c r="Y56" s="2980"/>
      <c r="Z56" s="2980"/>
      <c r="AA56" s="2980"/>
      <c r="AB56" s="3114"/>
      <c r="AC56" s="2980"/>
      <c r="AD56" s="2809"/>
      <c r="AE56" s="2809"/>
      <c r="AF56" s="2809"/>
      <c r="AG56" s="2809"/>
      <c r="AH56" s="2809"/>
      <c r="AI56" s="2809"/>
      <c r="AJ56" s="2809"/>
      <c r="AK56" s="2809"/>
      <c r="AL56" s="2860"/>
      <c r="AM56" s="2785"/>
      <c r="AN56" s="2776"/>
      <c r="AO56" s="504"/>
      <c r="AP56" s="504"/>
      <c r="AQ56" s="504"/>
      <c r="AR56" s="504"/>
      <c r="AS56" s="504"/>
      <c r="AT56" s="505"/>
      <c r="AU56" s="505"/>
      <c r="AV56" s="505"/>
      <c r="AW56" s="505"/>
      <c r="AX56" s="505"/>
      <c r="AY56" s="505"/>
      <c r="AZ56" s="505"/>
      <c r="BA56" s="505"/>
      <c r="BB56" s="505"/>
      <c r="BC56" s="505"/>
      <c r="BD56" s="505"/>
      <c r="BE56" s="505"/>
      <c r="BF56" s="505"/>
      <c r="BG56" s="505"/>
      <c r="BH56" s="505"/>
      <c r="BI56" s="505"/>
      <c r="BJ56" s="505"/>
      <c r="BK56" s="505"/>
      <c r="BL56" s="505"/>
      <c r="BM56" s="505"/>
      <c r="BN56" s="505"/>
      <c r="BO56" s="505"/>
      <c r="BP56" s="505"/>
      <c r="BQ56" s="505"/>
      <c r="BR56" s="505"/>
      <c r="BS56" s="505"/>
      <c r="BT56" s="505"/>
      <c r="BU56" s="505"/>
      <c r="BV56" s="505"/>
      <c r="BW56" s="505"/>
      <c r="BX56" s="505"/>
      <c r="BY56" s="505"/>
      <c r="BZ56" s="505"/>
      <c r="CA56" s="505"/>
      <c r="CB56" s="505"/>
      <c r="CC56" s="505"/>
      <c r="CD56" s="505"/>
      <c r="CE56" s="505"/>
      <c r="CF56" s="505"/>
      <c r="CG56" s="505"/>
      <c r="CH56" s="505"/>
      <c r="CI56" s="505"/>
      <c r="CJ56" s="505"/>
      <c r="CK56" s="505"/>
      <c r="CL56" s="505"/>
      <c r="CM56" s="505"/>
      <c r="CN56" s="505"/>
      <c r="CO56" s="505"/>
      <c r="CP56" s="505"/>
      <c r="CQ56" s="505"/>
      <c r="CR56" s="505"/>
      <c r="CS56" s="505"/>
      <c r="CT56" s="505"/>
      <c r="CU56" s="505"/>
      <c r="CV56" s="505"/>
      <c r="CW56" s="505"/>
      <c r="CX56" s="505"/>
      <c r="CY56" s="505"/>
      <c r="CZ56" s="505"/>
      <c r="DA56" s="505"/>
      <c r="DB56" s="505"/>
      <c r="DC56" s="505"/>
      <c r="DD56" s="505"/>
      <c r="DE56" s="505"/>
      <c r="DF56" s="505"/>
      <c r="DG56" s="505"/>
      <c r="DH56" s="505"/>
      <c r="DI56" s="505"/>
      <c r="DJ56" s="505"/>
      <c r="DK56" s="505"/>
      <c r="DL56" s="505"/>
      <c r="DM56" s="505"/>
      <c r="DN56" s="505"/>
      <c r="DO56" s="505"/>
      <c r="DP56" s="505"/>
      <c r="DQ56" s="505"/>
      <c r="DR56" s="505"/>
      <c r="DS56" s="505"/>
      <c r="DT56" s="505"/>
      <c r="DU56" s="505"/>
      <c r="DV56" s="505"/>
      <c r="DW56" s="505"/>
      <c r="DX56" s="505"/>
      <c r="DY56" s="505"/>
      <c r="DZ56" s="505"/>
      <c r="EA56" s="505"/>
      <c r="EB56" s="505"/>
      <c r="EC56" s="505"/>
      <c r="ED56" s="505"/>
      <c r="EE56" s="505"/>
      <c r="EF56" s="505"/>
      <c r="EG56" s="505"/>
      <c r="EH56" s="505"/>
      <c r="EI56" s="505"/>
      <c r="EJ56" s="505"/>
      <c r="EK56" s="505"/>
      <c r="EL56" s="505"/>
      <c r="EM56" s="505"/>
      <c r="EN56" s="505"/>
      <c r="EO56" s="505"/>
      <c r="EP56" s="505"/>
      <c r="EQ56" s="505"/>
      <c r="ER56" s="505"/>
      <c r="ES56" s="505"/>
      <c r="ET56" s="505"/>
      <c r="EU56" s="505"/>
      <c r="EV56" s="505"/>
      <c r="EW56" s="505"/>
      <c r="EX56" s="505"/>
      <c r="EY56" s="505"/>
      <c r="EZ56" s="505"/>
      <c r="FA56" s="505"/>
      <c r="FB56" s="505"/>
      <c r="FC56" s="505"/>
      <c r="FD56" s="505"/>
      <c r="FE56" s="505"/>
      <c r="FF56" s="505"/>
      <c r="FG56" s="505"/>
      <c r="FH56" s="505"/>
      <c r="FI56" s="505"/>
      <c r="FJ56" s="505"/>
      <c r="FK56" s="505"/>
      <c r="FL56" s="505"/>
      <c r="FM56" s="505"/>
      <c r="FN56" s="505"/>
      <c r="FO56" s="505"/>
      <c r="FP56" s="505"/>
      <c r="FQ56" s="505"/>
      <c r="FR56" s="505"/>
      <c r="FS56" s="505"/>
      <c r="FT56" s="505"/>
      <c r="FU56" s="505"/>
      <c r="FV56" s="505"/>
      <c r="FW56" s="505"/>
      <c r="FX56" s="505"/>
      <c r="FY56" s="505"/>
      <c r="FZ56" s="505"/>
      <c r="GA56" s="505"/>
      <c r="GB56" s="505"/>
      <c r="GC56" s="505"/>
      <c r="GD56" s="505"/>
      <c r="GE56" s="505"/>
      <c r="GF56" s="505"/>
      <c r="GG56" s="505"/>
      <c r="GH56" s="505"/>
      <c r="GI56" s="505"/>
      <c r="GJ56" s="505"/>
      <c r="GK56" s="505"/>
      <c r="GL56" s="505"/>
      <c r="GM56" s="505"/>
      <c r="GN56" s="505"/>
      <c r="GO56" s="505"/>
      <c r="GP56" s="505"/>
      <c r="GQ56" s="505"/>
      <c r="GR56" s="505"/>
      <c r="GS56" s="505"/>
      <c r="GT56" s="505"/>
      <c r="GU56" s="505"/>
      <c r="GV56" s="505"/>
      <c r="GW56" s="505"/>
      <c r="GX56" s="505"/>
      <c r="GY56" s="505"/>
      <c r="GZ56" s="505"/>
      <c r="HA56" s="505"/>
      <c r="HB56" s="505"/>
      <c r="HC56" s="505"/>
      <c r="HD56" s="505"/>
      <c r="HE56" s="505"/>
      <c r="HF56" s="505"/>
      <c r="HG56" s="505"/>
      <c r="HH56" s="505"/>
      <c r="HI56" s="505"/>
      <c r="HJ56" s="505"/>
      <c r="HK56" s="505"/>
      <c r="HL56" s="505"/>
      <c r="HM56" s="505"/>
      <c r="HN56" s="505"/>
      <c r="HO56" s="505"/>
      <c r="HP56" s="505"/>
      <c r="HQ56" s="505"/>
      <c r="HR56" s="505"/>
      <c r="HS56" s="505"/>
      <c r="HT56" s="505"/>
      <c r="HU56" s="505"/>
      <c r="HV56" s="505"/>
      <c r="HW56" s="505"/>
      <c r="HX56" s="505"/>
      <c r="HY56" s="505"/>
      <c r="HZ56" s="505"/>
      <c r="IA56" s="505"/>
      <c r="IB56" s="505"/>
      <c r="IC56" s="505"/>
      <c r="ID56" s="505"/>
      <c r="IE56" s="505"/>
      <c r="IF56" s="505"/>
      <c r="IG56" s="505"/>
      <c r="IH56" s="505"/>
      <c r="II56" s="505"/>
      <c r="IJ56" s="505"/>
      <c r="IK56" s="505"/>
      <c r="IL56" s="505"/>
      <c r="IM56" s="505"/>
      <c r="IN56" s="505"/>
      <c r="IO56" s="505"/>
      <c r="IP56" s="505"/>
      <c r="IQ56" s="505"/>
      <c r="IR56" s="505"/>
      <c r="IS56" s="505"/>
      <c r="IT56" s="505"/>
      <c r="IU56" s="505"/>
      <c r="IV56" s="505"/>
    </row>
    <row r="57" spans="1:256" ht="39.75" customHeight="1" x14ac:dyDescent="0.2">
      <c r="A57" s="506"/>
      <c r="B57" s="507"/>
      <c r="C57" s="530"/>
      <c r="D57" s="531"/>
      <c r="E57" s="530"/>
      <c r="F57" s="531"/>
      <c r="G57" s="2332"/>
      <c r="H57" s="3077"/>
      <c r="I57" s="2630"/>
      <c r="J57" s="2980"/>
      <c r="K57" s="3069"/>
      <c r="L57" s="3110"/>
      <c r="M57" s="3055"/>
      <c r="N57" s="3108"/>
      <c r="O57" s="2489"/>
      <c r="P57" s="3055"/>
      <c r="Q57" s="2630"/>
      <c r="R57" s="685" t="s">
        <v>442</v>
      </c>
      <c r="S57" s="420">
        <v>4000000</v>
      </c>
      <c r="T57" s="3066"/>
      <c r="U57" s="3066"/>
      <c r="V57" s="3072"/>
      <c r="W57" s="2986"/>
      <c r="X57" s="2980"/>
      <c r="Y57" s="2980"/>
      <c r="Z57" s="2980"/>
      <c r="AA57" s="2980"/>
      <c r="AB57" s="3114"/>
      <c r="AC57" s="2980"/>
      <c r="AD57" s="2809"/>
      <c r="AE57" s="2809"/>
      <c r="AF57" s="2809"/>
      <c r="AG57" s="2809"/>
      <c r="AH57" s="2809"/>
      <c r="AI57" s="2809"/>
      <c r="AJ57" s="2809"/>
      <c r="AK57" s="2809"/>
      <c r="AL57" s="2860"/>
      <c r="AM57" s="2785"/>
      <c r="AN57" s="2776"/>
      <c r="AO57" s="504"/>
      <c r="AP57" s="504"/>
      <c r="AQ57" s="504"/>
      <c r="AR57" s="504"/>
      <c r="AS57" s="504"/>
      <c r="AT57" s="505"/>
      <c r="AU57" s="505"/>
      <c r="AV57" s="505"/>
      <c r="AW57" s="505"/>
      <c r="AX57" s="505"/>
      <c r="AY57" s="505"/>
      <c r="AZ57" s="505"/>
      <c r="BA57" s="505"/>
      <c r="BB57" s="505"/>
      <c r="BC57" s="505"/>
      <c r="BD57" s="505"/>
      <c r="BE57" s="505"/>
      <c r="BF57" s="505"/>
      <c r="BG57" s="505"/>
      <c r="BH57" s="505"/>
      <c r="BI57" s="505"/>
      <c r="BJ57" s="505"/>
      <c r="BK57" s="505"/>
      <c r="BL57" s="505"/>
      <c r="BM57" s="505"/>
      <c r="BN57" s="505"/>
      <c r="BO57" s="505"/>
      <c r="BP57" s="505"/>
      <c r="BQ57" s="505"/>
      <c r="BR57" s="505"/>
      <c r="BS57" s="505"/>
      <c r="BT57" s="505"/>
      <c r="BU57" s="505"/>
      <c r="BV57" s="505"/>
      <c r="BW57" s="505"/>
      <c r="BX57" s="505"/>
      <c r="BY57" s="505"/>
      <c r="BZ57" s="505"/>
      <c r="CA57" s="505"/>
      <c r="CB57" s="505"/>
      <c r="CC57" s="505"/>
      <c r="CD57" s="505"/>
      <c r="CE57" s="505"/>
      <c r="CF57" s="505"/>
      <c r="CG57" s="505"/>
      <c r="CH57" s="505"/>
      <c r="CI57" s="505"/>
      <c r="CJ57" s="505"/>
      <c r="CK57" s="505"/>
      <c r="CL57" s="505"/>
      <c r="CM57" s="505"/>
      <c r="CN57" s="505"/>
      <c r="CO57" s="505"/>
      <c r="CP57" s="505"/>
      <c r="CQ57" s="505"/>
      <c r="CR57" s="505"/>
      <c r="CS57" s="505"/>
      <c r="CT57" s="505"/>
      <c r="CU57" s="505"/>
      <c r="CV57" s="505"/>
      <c r="CW57" s="505"/>
      <c r="CX57" s="505"/>
      <c r="CY57" s="505"/>
      <c r="CZ57" s="505"/>
      <c r="DA57" s="505"/>
      <c r="DB57" s="505"/>
      <c r="DC57" s="505"/>
      <c r="DD57" s="505"/>
      <c r="DE57" s="505"/>
      <c r="DF57" s="505"/>
      <c r="DG57" s="505"/>
      <c r="DH57" s="505"/>
      <c r="DI57" s="505"/>
      <c r="DJ57" s="505"/>
      <c r="DK57" s="505"/>
      <c r="DL57" s="505"/>
      <c r="DM57" s="505"/>
      <c r="DN57" s="505"/>
      <c r="DO57" s="505"/>
      <c r="DP57" s="505"/>
      <c r="DQ57" s="505"/>
      <c r="DR57" s="505"/>
      <c r="DS57" s="505"/>
      <c r="DT57" s="505"/>
      <c r="DU57" s="505"/>
      <c r="DV57" s="505"/>
      <c r="DW57" s="505"/>
      <c r="DX57" s="505"/>
      <c r="DY57" s="505"/>
      <c r="DZ57" s="505"/>
      <c r="EA57" s="505"/>
      <c r="EB57" s="505"/>
      <c r="EC57" s="505"/>
      <c r="ED57" s="505"/>
      <c r="EE57" s="505"/>
      <c r="EF57" s="505"/>
      <c r="EG57" s="505"/>
      <c r="EH57" s="505"/>
      <c r="EI57" s="505"/>
      <c r="EJ57" s="505"/>
      <c r="EK57" s="505"/>
      <c r="EL57" s="505"/>
      <c r="EM57" s="505"/>
      <c r="EN57" s="505"/>
      <c r="EO57" s="505"/>
      <c r="EP57" s="505"/>
      <c r="EQ57" s="505"/>
      <c r="ER57" s="505"/>
      <c r="ES57" s="505"/>
      <c r="ET57" s="505"/>
      <c r="EU57" s="505"/>
      <c r="EV57" s="505"/>
      <c r="EW57" s="505"/>
      <c r="EX57" s="505"/>
      <c r="EY57" s="505"/>
      <c r="EZ57" s="505"/>
      <c r="FA57" s="505"/>
      <c r="FB57" s="505"/>
      <c r="FC57" s="505"/>
      <c r="FD57" s="505"/>
      <c r="FE57" s="505"/>
      <c r="FF57" s="505"/>
      <c r="FG57" s="505"/>
      <c r="FH57" s="505"/>
      <c r="FI57" s="505"/>
      <c r="FJ57" s="505"/>
      <c r="FK57" s="505"/>
      <c r="FL57" s="505"/>
      <c r="FM57" s="505"/>
      <c r="FN57" s="505"/>
      <c r="FO57" s="505"/>
      <c r="FP57" s="505"/>
      <c r="FQ57" s="505"/>
      <c r="FR57" s="505"/>
      <c r="FS57" s="505"/>
      <c r="FT57" s="505"/>
      <c r="FU57" s="505"/>
      <c r="FV57" s="505"/>
      <c r="FW57" s="505"/>
      <c r="FX57" s="505"/>
      <c r="FY57" s="505"/>
      <c r="FZ57" s="505"/>
      <c r="GA57" s="505"/>
      <c r="GB57" s="505"/>
      <c r="GC57" s="505"/>
      <c r="GD57" s="505"/>
      <c r="GE57" s="505"/>
      <c r="GF57" s="505"/>
      <c r="GG57" s="505"/>
      <c r="GH57" s="505"/>
      <c r="GI57" s="505"/>
      <c r="GJ57" s="505"/>
      <c r="GK57" s="505"/>
      <c r="GL57" s="505"/>
      <c r="GM57" s="505"/>
      <c r="GN57" s="505"/>
      <c r="GO57" s="505"/>
      <c r="GP57" s="505"/>
      <c r="GQ57" s="505"/>
      <c r="GR57" s="505"/>
      <c r="GS57" s="505"/>
      <c r="GT57" s="505"/>
      <c r="GU57" s="505"/>
      <c r="GV57" s="505"/>
      <c r="GW57" s="505"/>
      <c r="GX57" s="505"/>
      <c r="GY57" s="505"/>
      <c r="GZ57" s="505"/>
      <c r="HA57" s="505"/>
      <c r="HB57" s="505"/>
      <c r="HC57" s="505"/>
      <c r="HD57" s="505"/>
      <c r="HE57" s="505"/>
      <c r="HF57" s="505"/>
      <c r="HG57" s="505"/>
      <c r="HH57" s="505"/>
      <c r="HI57" s="505"/>
      <c r="HJ57" s="505"/>
      <c r="HK57" s="505"/>
      <c r="HL57" s="505"/>
      <c r="HM57" s="505"/>
      <c r="HN57" s="505"/>
      <c r="HO57" s="505"/>
      <c r="HP57" s="505"/>
      <c r="HQ57" s="505"/>
      <c r="HR57" s="505"/>
      <c r="HS57" s="505"/>
      <c r="HT57" s="505"/>
      <c r="HU57" s="505"/>
      <c r="HV57" s="505"/>
      <c r="HW57" s="505"/>
      <c r="HX57" s="505"/>
      <c r="HY57" s="505"/>
      <c r="HZ57" s="505"/>
      <c r="IA57" s="505"/>
      <c r="IB57" s="505"/>
      <c r="IC57" s="505"/>
      <c r="ID57" s="505"/>
      <c r="IE57" s="505"/>
      <c r="IF57" s="505"/>
      <c r="IG57" s="505"/>
      <c r="IH57" s="505"/>
      <c r="II57" s="505"/>
      <c r="IJ57" s="505"/>
      <c r="IK57" s="505"/>
      <c r="IL57" s="505"/>
      <c r="IM57" s="505"/>
      <c r="IN57" s="505"/>
      <c r="IO57" s="505"/>
      <c r="IP57" s="505"/>
      <c r="IQ57" s="505"/>
      <c r="IR57" s="505"/>
      <c r="IS57" s="505"/>
      <c r="IT57" s="505"/>
      <c r="IU57" s="505"/>
      <c r="IV57" s="505"/>
    </row>
    <row r="58" spans="1:256" ht="47.25" customHeight="1" x14ac:dyDescent="0.2">
      <c r="A58" s="506"/>
      <c r="B58" s="507"/>
      <c r="C58" s="530"/>
      <c r="D58" s="531"/>
      <c r="E58" s="530"/>
      <c r="F58" s="531"/>
      <c r="G58" s="2332"/>
      <c r="H58" s="3077"/>
      <c r="I58" s="2630"/>
      <c r="J58" s="2980"/>
      <c r="K58" s="3069"/>
      <c r="L58" s="3110"/>
      <c r="M58" s="3055"/>
      <c r="N58" s="3108"/>
      <c r="O58" s="2489"/>
      <c r="P58" s="3055"/>
      <c r="Q58" s="2630"/>
      <c r="R58" s="520" t="s">
        <v>443</v>
      </c>
      <c r="S58" s="420">
        <v>9000000</v>
      </c>
      <c r="T58" s="3066"/>
      <c r="U58" s="3066"/>
      <c r="V58" s="3072"/>
      <c r="W58" s="2986"/>
      <c r="X58" s="2980"/>
      <c r="Y58" s="2980"/>
      <c r="Z58" s="2980"/>
      <c r="AA58" s="2980"/>
      <c r="AB58" s="3114"/>
      <c r="AC58" s="2980"/>
      <c r="AD58" s="2809"/>
      <c r="AE58" s="2809"/>
      <c r="AF58" s="2809"/>
      <c r="AG58" s="2809"/>
      <c r="AH58" s="2809"/>
      <c r="AI58" s="2809"/>
      <c r="AJ58" s="2809"/>
      <c r="AK58" s="2809"/>
      <c r="AL58" s="2860"/>
      <c r="AM58" s="2785"/>
      <c r="AN58" s="2776"/>
      <c r="AO58" s="504"/>
      <c r="AP58" s="504"/>
      <c r="AQ58" s="504"/>
      <c r="AR58" s="504"/>
      <c r="AS58" s="504"/>
      <c r="AT58" s="505"/>
      <c r="AU58" s="505"/>
      <c r="AV58" s="505"/>
      <c r="AW58" s="505"/>
      <c r="AX58" s="505"/>
      <c r="AY58" s="505"/>
      <c r="AZ58" s="505"/>
      <c r="BA58" s="505"/>
      <c r="BB58" s="505"/>
      <c r="BC58" s="505"/>
      <c r="BD58" s="505"/>
      <c r="BE58" s="505"/>
      <c r="BF58" s="505"/>
      <c r="BG58" s="505"/>
      <c r="BH58" s="505"/>
      <c r="BI58" s="505"/>
      <c r="BJ58" s="505"/>
      <c r="BK58" s="505"/>
      <c r="BL58" s="505"/>
      <c r="BM58" s="505"/>
      <c r="BN58" s="505"/>
      <c r="BO58" s="505"/>
      <c r="BP58" s="505"/>
      <c r="BQ58" s="505"/>
      <c r="BR58" s="505"/>
      <c r="BS58" s="505"/>
      <c r="BT58" s="505"/>
      <c r="BU58" s="505"/>
      <c r="BV58" s="505"/>
      <c r="BW58" s="505"/>
      <c r="BX58" s="505"/>
      <c r="BY58" s="505"/>
      <c r="BZ58" s="505"/>
      <c r="CA58" s="505"/>
      <c r="CB58" s="505"/>
      <c r="CC58" s="505"/>
      <c r="CD58" s="505"/>
      <c r="CE58" s="505"/>
      <c r="CF58" s="505"/>
      <c r="CG58" s="505"/>
      <c r="CH58" s="505"/>
      <c r="CI58" s="505"/>
      <c r="CJ58" s="505"/>
      <c r="CK58" s="505"/>
      <c r="CL58" s="505"/>
      <c r="CM58" s="505"/>
      <c r="CN58" s="505"/>
      <c r="CO58" s="505"/>
      <c r="CP58" s="505"/>
      <c r="CQ58" s="505"/>
      <c r="CR58" s="505"/>
      <c r="CS58" s="505"/>
      <c r="CT58" s="505"/>
      <c r="CU58" s="505"/>
      <c r="CV58" s="505"/>
      <c r="CW58" s="505"/>
      <c r="CX58" s="505"/>
      <c r="CY58" s="505"/>
      <c r="CZ58" s="505"/>
      <c r="DA58" s="505"/>
      <c r="DB58" s="505"/>
      <c r="DC58" s="505"/>
      <c r="DD58" s="505"/>
      <c r="DE58" s="505"/>
      <c r="DF58" s="505"/>
      <c r="DG58" s="505"/>
      <c r="DH58" s="505"/>
      <c r="DI58" s="505"/>
      <c r="DJ58" s="505"/>
      <c r="DK58" s="505"/>
      <c r="DL58" s="505"/>
      <c r="DM58" s="505"/>
      <c r="DN58" s="505"/>
      <c r="DO58" s="505"/>
      <c r="DP58" s="505"/>
      <c r="DQ58" s="505"/>
      <c r="DR58" s="505"/>
      <c r="DS58" s="505"/>
      <c r="DT58" s="505"/>
      <c r="DU58" s="505"/>
      <c r="DV58" s="505"/>
      <c r="DW58" s="505"/>
      <c r="DX58" s="505"/>
      <c r="DY58" s="505"/>
      <c r="DZ58" s="505"/>
      <c r="EA58" s="505"/>
      <c r="EB58" s="505"/>
      <c r="EC58" s="505"/>
      <c r="ED58" s="505"/>
      <c r="EE58" s="505"/>
      <c r="EF58" s="505"/>
      <c r="EG58" s="505"/>
      <c r="EH58" s="505"/>
      <c r="EI58" s="505"/>
      <c r="EJ58" s="505"/>
      <c r="EK58" s="505"/>
      <c r="EL58" s="505"/>
      <c r="EM58" s="505"/>
      <c r="EN58" s="505"/>
      <c r="EO58" s="505"/>
      <c r="EP58" s="505"/>
      <c r="EQ58" s="505"/>
      <c r="ER58" s="505"/>
      <c r="ES58" s="505"/>
      <c r="ET58" s="505"/>
      <c r="EU58" s="505"/>
      <c r="EV58" s="505"/>
      <c r="EW58" s="505"/>
      <c r="EX58" s="505"/>
      <c r="EY58" s="505"/>
      <c r="EZ58" s="505"/>
      <c r="FA58" s="505"/>
      <c r="FB58" s="505"/>
      <c r="FC58" s="505"/>
      <c r="FD58" s="505"/>
      <c r="FE58" s="505"/>
      <c r="FF58" s="505"/>
      <c r="FG58" s="505"/>
      <c r="FH58" s="505"/>
      <c r="FI58" s="505"/>
      <c r="FJ58" s="505"/>
      <c r="FK58" s="505"/>
      <c r="FL58" s="505"/>
      <c r="FM58" s="505"/>
      <c r="FN58" s="505"/>
      <c r="FO58" s="505"/>
      <c r="FP58" s="505"/>
      <c r="FQ58" s="505"/>
      <c r="FR58" s="505"/>
      <c r="FS58" s="505"/>
      <c r="FT58" s="505"/>
      <c r="FU58" s="505"/>
      <c r="FV58" s="505"/>
      <c r="FW58" s="505"/>
      <c r="FX58" s="505"/>
      <c r="FY58" s="505"/>
      <c r="FZ58" s="505"/>
      <c r="GA58" s="505"/>
      <c r="GB58" s="505"/>
      <c r="GC58" s="505"/>
      <c r="GD58" s="505"/>
      <c r="GE58" s="505"/>
      <c r="GF58" s="505"/>
      <c r="GG58" s="505"/>
      <c r="GH58" s="505"/>
      <c r="GI58" s="505"/>
      <c r="GJ58" s="505"/>
      <c r="GK58" s="505"/>
      <c r="GL58" s="505"/>
      <c r="GM58" s="505"/>
      <c r="GN58" s="505"/>
      <c r="GO58" s="505"/>
      <c r="GP58" s="505"/>
      <c r="GQ58" s="505"/>
      <c r="GR58" s="505"/>
      <c r="GS58" s="505"/>
      <c r="GT58" s="505"/>
      <c r="GU58" s="505"/>
      <c r="GV58" s="505"/>
      <c r="GW58" s="505"/>
      <c r="GX58" s="505"/>
      <c r="GY58" s="505"/>
      <c r="GZ58" s="505"/>
      <c r="HA58" s="505"/>
      <c r="HB58" s="505"/>
      <c r="HC58" s="505"/>
      <c r="HD58" s="505"/>
      <c r="HE58" s="505"/>
      <c r="HF58" s="505"/>
      <c r="HG58" s="505"/>
      <c r="HH58" s="505"/>
      <c r="HI58" s="505"/>
      <c r="HJ58" s="505"/>
      <c r="HK58" s="505"/>
      <c r="HL58" s="505"/>
      <c r="HM58" s="505"/>
      <c r="HN58" s="505"/>
      <c r="HO58" s="505"/>
      <c r="HP58" s="505"/>
      <c r="HQ58" s="505"/>
      <c r="HR58" s="505"/>
      <c r="HS58" s="505"/>
      <c r="HT58" s="505"/>
      <c r="HU58" s="505"/>
      <c r="HV58" s="505"/>
      <c r="HW58" s="505"/>
      <c r="HX58" s="505"/>
      <c r="HY58" s="505"/>
      <c r="HZ58" s="505"/>
      <c r="IA58" s="505"/>
      <c r="IB58" s="505"/>
      <c r="IC58" s="505"/>
      <c r="ID58" s="505"/>
      <c r="IE58" s="505"/>
      <c r="IF58" s="505"/>
      <c r="IG58" s="505"/>
      <c r="IH58" s="505"/>
      <c r="II58" s="505"/>
      <c r="IJ58" s="505"/>
      <c r="IK58" s="505"/>
      <c r="IL58" s="505"/>
      <c r="IM58" s="505"/>
      <c r="IN58" s="505"/>
      <c r="IO58" s="505"/>
      <c r="IP58" s="505"/>
      <c r="IQ58" s="505"/>
      <c r="IR58" s="505"/>
      <c r="IS58" s="505"/>
      <c r="IT58" s="505"/>
      <c r="IU58" s="505"/>
      <c r="IV58" s="505"/>
    </row>
    <row r="59" spans="1:256" ht="27.75" customHeight="1" x14ac:dyDescent="0.2">
      <c r="A59" s="506"/>
      <c r="B59" s="507"/>
      <c r="C59" s="530"/>
      <c r="D59" s="531"/>
      <c r="E59" s="530"/>
      <c r="F59" s="531"/>
      <c r="G59" s="2333"/>
      <c r="H59" s="3106"/>
      <c r="I59" s="2648"/>
      <c r="J59" s="2983"/>
      <c r="K59" s="3070"/>
      <c r="L59" s="3110"/>
      <c r="M59" s="3055"/>
      <c r="N59" s="3109"/>
      <c r="O59" s="2489"/>
      <c r="P59" s="3055"/>
      <c r="Q59" s="2648"/>
      <c r="R59" s="520" t="s">
        <v>444</v>
      </c>
      <c r="S59" s="420">
        <v>1000000</v>
      </c>
      <c r="T59" s="3066"/>
      <c r="U59" s="3067"/>
      <c r="V59" s="3073"/>
      <c r="W59" s="2987"/>
      <c r="X59" s="2983"/>
      <c r="Y59" s="2983"/>
      <c r="Z59" s="2983"/>
      <c r="AA59" s="2983"/>
      <c r="AB59" s="3115"/>
      <c r="AC59" s="2983"/>
      <c r="AD59" s="2809"/>
      <c r="AE59" s="2809"/>
      <c r="AF59" s="2809"/>
      <c r="AG59" s="2810"/>
      <c r="AH59" s="2809"/>
      <c r="AI59" s="2809"/>
      <c r="AJ59" s="2809"/>
      <c r="AK59" s="2810"/>
      <c r="AL59" s="2860"/>
      <c r="AM59" s="2785"/>
      <c r="AN59" s="2776"/>
    </row>
    <row r="60" spans="1:256" ht="15.75" x14ac:dyDescent="0.2">
      <c r="A60" s="506"/>
      <c r="B60" s="507"/>
      <c r="C60" s="530"/>
      <c r="D60" s="531"/>
      <c r="E60" s="515">
        <v>61</v>
      </c>
      <c r="F60" s="516" t="s">
        <v>445</v>
      </c>
      <c r="G60" s="689"/>
      <c r="H60" s="193"/>
      <c r="I60" s="193"/>
      <c r="J60" s="689"/>
      <c r="K60" s="689"/>
      <c r="L60" s="689"/>
      <c r="M60" s="193"/>
      <c r="N60" s="689"/>
      <c r="O60" s="532"/>
      <c r="P60" s="193"/>
      <c r="Q60" s="193"/>
      <c r="R60" s="193"/>
      <c r="S60" s="197"/>
      <c r="T60" s="194"/>
      <c r="U60" s="193"/>
      <c r="V60" s="689"/>
      <c r="W60" s="689"/>
      <c r="X60" s="689"/>
      <c r="Y60" s="689"/>
      <c r="Z60" s="689"/>
      <c r="AA60" s="689"/>
      <c r="AB60" s="689"/>
      <c r="AC60" s="689"/>
      <c r="AD60" s="689"/>
      <c r="AE60" s="689"/>
      <c r="AF60" s="689"/>
      <c r="AG60" s="689"/>
      <c r="AH60" s="689"/>
      <c r="AI60" s="689"/>
      <c r="AJ60" s="689"/>
      <c r="AK60" s="689"/>
      <c r="AL60" s="689"/>
      <c r="AM60" s="689"/>
      <c r="AN60" s="533"/>
    </row>
    <row r="61" spans="1:256" ht="51" customHeight="1" x14ac:dyDescent="0.2">
      <c r="A61" s="506"/>
      <c r="B61" s="507"/>
      <c r="C61" s="530"/>
      <c r="D61" s="531"/>
      <c r="E61" s="534"/>
      <c r="F61" s="531"/>
      <c r="G61" s="2331">
        <v>190</v>
      </c>
      <c r="H61" s="2250" t="s">
        <v>446</v>
      </c>
      <c r="I61" s="2250" t="s">
        <v>447</v>
      </c>
      <c r="J61" s="2671">
        <v>1</v>
      </c>
      <c r="K61" s="3068" t="s">
        <v>448</v>
      </c>
      <c r="L61" s="3111" t="s">
        <v>449</v>
      </c>
      <c r="M61" s="3058" t="s">
        <v>450</v>
      </c>
      <c r="N61" s="2772">
        <f>SUM(S61:S77)/O61</f>
        <v>1</v>
      </c>
      <c r="O61" s="3085">
        <f>SUM(S61:S77)</f>
        <v>190000000</v>
      </c>
      <c r="P61" s="3118" t="s">
        <v>451</v>
      </c>
      <c r="Q61" s="2049" t="s">
        <v>452</v>
      </c>
      <c r="R61" s="559" t="s">
        <v>453</v>
      </c>
      <c r="S61" s="560">
        <v>15000000</v>
      </c>
      <c r="T61" s="3065">
        <v>20</v>
      </c>
      <c r="U61" s="3125" t="s">
        <v>61</v>
      </c>
      <c r="V61" s="3116">
        <v>3257</v>
      </c>
      <c r="W61" s="3116">
        <v>2000</v>
      </c>
      <c r="X61" s="3116">
        <f>1588*30%</f>
        <v>476.4</v>
      </c>
      <c r="Y61" s="3116">
        <f>922*30%</f>
        <v>276.59999999999997</v>
      </c>
      <c r="Z61" s="3116">
        <f>6953*30%</f>
        <v>2085.9</v>
      </c>
      <c r="AA61" s="3116">
        <f>7792*30%</f>
        <v>2337.6</v>
      </c>
      <c r="AB61" s="3116">
        <v>50</v>
      </c>
      <c r="AC61" s="3116">
        <v>30</v>
      </c>
      <c r="AD61" s="3116"/>
      <c r="AE61" s="3116"/>
      <c r="AF61" s="3116"/>
      <c r="AG61" s="3116"/>
      <c r="AH61" s="3116">
        <v>5257</v>
      </c>
      <c r="AI61" s="2785"/>
      <c r="AJ61" s="2785"/>
      <c r="AK61" s="3124">
        <f>V61+W61</f>
        <v>5257</v>
      </c>
      <c r="AL61" s="3102">
        <v>43102</v>
      </c>
      <c r="AM61" s="3120">
        <v>43465</v>
      </c>
      <c r="AN61" s="2776" t="s">
        <v>358</v>
      </c>
    </row>
    <row r="62" spans="1:256" ht="53.25" customHeight="1" x14ac:dyDescent="0.2">
      <c r="A62" s="506"/>
      <c r="B62" s="507"/>
      <c r="C62" s="530"/>
      <c r="D62" s="531"/>
      <c r="E62" s="530"/>
      <c r="F62" s="531"/>
      <c r="G62" s="2332"/>
      <c r="H62" s="3077"/>
      <c r="I62" s="3077"/>
      <c r="J62" s="2672"/>
      <c r="K62" s="3069"/>
      <c r="L62" s="3110"/>
      <c r="M62" s="3055"/>
      <c r="N62" s="2466"/>
      <c r="O62" s="2467"/>
      <c r="P62" s="3119"/>
      <c r="Q62" s="2049"/>
      <c r="R62" s="561" t="s">
        <v>454</v>
      </c>
      <c r="S62" s="560">
        <v>7920000</v>
      </c>
      <c r="T62" s="3066"/>
      <c r="U62" s="3125"/>
      <c r="V62" s="3116"/>
      <c r="W62" s="3116"/>
      <c r="X62" s="3116"/>
      <c r="Y62" s="3116"/>
      <c r="Z62" s="3116"/>
      <c r="AA62" s="3116"/>
      <c r="AB62" s="3116"/>
      <c r="AC62" s="3116"/>
      <c r="AD62" s="3116"/>
      <c r="AE62" s="3116"/>
      <c r="AF62" s="3116"/>
      <c r="AG62" s="3116"/>
      <c r="AH62" s="3116"/>
      <c r="AI62" s="2785"/>
      <c r="AJ62" s="2785"/>
      <c r="AK62" s="2809"/>
      <c r="AL62" s="3102"/>
      <c r="AM62" s="3121"/>
      <c r="AN62" s="2776"/>
    </row>
    <row r="63" spans="1:256" ht="49.5" customHeight="1" x14ac:dyDescent="0.2">
      <c r="A63" s="506"/>
      <c r="B63" s="507"/>
      <c r="C63" s="530"/>
      <c r="D63" s="531"/>
      <c r="E63" s="530"/>
      <c r="F63" s="531"/>
      <c r="G63" s="2332"/>
      <c r="H63" s="3077"/>
      <c r="I63" s="3077"/>
      <c r="J63" s="2672"/>
      <c r="K63" s="3069"/>
      <c r="L63" s="3110"/>
      <c r="M63" s="3055"/>
      <c r="N63" s="2466"/>
      <c r="O63" s="2467"/>
      <c r="P63" s="3119"/>
      <c r="Q63" s="2049"/>
      <c r="R63" s="688" t="s">
        <v>455</v>
      </c>
      <c r="S63" s="560">
        <v>7920000</v>
      </c>
      <c r="T63" s="3066"/>
      <c r="U63" s="3125"/>
      <c r="V63" s="3116"/>
      <c r="W63" s="3116"/>
      <c r="X63" s="3116"/>
      <c r="Y63" s="3116"/>
      <c r="Z63" s="3116"/>
      <c r="AA63" s="3116"/>
      <c r="AB63" s="3116"/>
      <c r="AC63" s="3116"/>
      <c r="AD63" s="3116"/>
      <c r="AE63" s="3116"/>
      <c r="AF63" s="3116"/>
      <c r="AG63" s="3116"/>
      <c r="AH63" s="3116"/>
      <c r="AI63" s="2785"/>
      <c r="AJ63" s="2785"/>
      <c r="AK63" s="2809"/>
      <c r="AL63" s="3102"/>
      <c r="AM63" s="3121"/>
      <c r="AN63" s="2776"/>
    </row>
    <row r="64" spans="1:256" ht="72.75" customHeight="1" x14ac:dyDescent="0.2">
      <c r="A64" s="506"/>
      <c r="B64" s="507"/>
      <c r="C64" s="530"/>
      <c r="D64" s="531"/>
      <c r="E64" s="530"/>
      <c r="F64" s="531"/>
      <c r="G64" s="2332"/>
      <c r="H64" s="3077"/>
      <c r="I64" s="3077"/>
      <c r="J64" s="2672"/>
      <c r="K64" s="3069"/>
      <c r="L64" s="3110"/>
      <c r="M64" s="3055"/>
      <c r="N64" s="2466"/>
      <c r="O64" s="2467"/>
      <c r="P64" s="3119"/>
      <c r="Q64" s="2049"/>
      <c r="R64" s="688" t="s">
        <v>456</v>
      </c>
      <c r="S64" s="560">
        <v>5000000</v>
      </c>
      <c r="T64" s="3066"/>
      <c r="U64" s="3125"/>
      <c r="V64" s="3116"/>
      <c r="W64" s="3116"/>
      <c r="X64" s="3116"/>
      <c r="Y64" s="3116"/>
      <c r="Z64" s="3116"/>
      <c r="AA64" s="3116"/>
      <c r="AB64" s="3116"/>
      <c r="AC64" s="3116"/>
      <c r="AD64" s="3116"/>
      <c r="AE64" s="3116"/>
      <c r="AF64" s="3116"/>
      <c r="AG64" s="3116"/>
      <c r="AH64" s="3116"/>
      <c r="AI64" s="2785"/>
      <c r="AJ64" s="2785"/>
      <c r="AK64" s="2809"/>
      <c r="AL64" s="3102"/>
      <c r="AM64" s="3121"/>
      <c r="AN64" s="2776"/>
    </row>
    <row r="65" spans="1:256" ht="75" customHeight="1" x14ac:dyDescent="0.2">
      <c r="A65" s="506"/>
      <c r="B65" s="507"/>
      <c r="C65" s="530"/>
      <c r="D65" s="531"/>
      <c r="E65" s="530"/>
      <c r="F65" s="531"/>
      <c r="G65" s="2332"/>
      <c r="H65" s="3077"/>
      <c r="I65" s="3077"/>
      <c r="J65" s="2672"/>
      <c r="K65" s="3069"/>
      <c r="L65" s="3110"/>
      <c r="M65" s="3055"/>
      <c r="N65" s="2466"/>
      <c r="O65" s="2467"/>
      <c r="P65" s="3119"/>
      <c r="Q65" s="2049" t="s">
        <v>457</v>
      </c>
      <c r="R65" s="688" t="s">
        <v>458</v>
      </c>
      <c r="S65" s="562">
        <v>5280000</v>
      </c>
      <c r="T65" s="3066"/>
      <c r="U65" s="3125"/>
      <c r="V65" s="3116"/>
      <c r="W65" s="3116"/>
      <c r="X65" s="3116"/>
      <c r="Y65" s="3116"/>
      <c r="Z65" s="3116"/>
      <c r="AA65" s="3116"/>
      <c r="AB65" s="3116"/>
      <c r="AC65" s="3116"/>
      <c r="AD65" s="3116"/>
      <c r="AE65" s="3116"/>
      <c r="AF65" s="3116"/>
      <c r="AG65" s="3116"/>
      <c r="AH65" s="3116"/>
      <c r="AI65" s="2785"/>
      <c r="AJ65" s="2785"/>
      <c r="AK65" s="2809"/>
      <c r="AL65" s="3102"/>
      <c r="AM65" s="3121"/>
      <c r="AN65" s="2776"/>
    </row>
    <row r="66" spans="1:256" ht="42.75" customHeight="1" x14ac:dyDescent="0.2">
      <c r="A66" s="506"/>
      <c r="B66" s="507"/>
      <c r="C66" s="530"/>
      <c r="D66" s="531"/>
      <c r="E66" s="530"/>
      <c r="F66" s="531"/>
      <c r="G66" s="2332"/>
      <c r="H66" s="3077"/>
      <c r="I66" s="3077"/>
      <c r="J66" s="2672"/>
      <c r="K66" s="3069"/>
      <c r="L66" s="3110"/>
      <c r="M66" s="3055"/>
      <c r="N66" s="2466"/>
      <c r="O66" s="2467"/>
      <c r="P66" s="3119"/>
      <c r="Q66" s="2049"/>
      <c r="R66" s="688" t="s">
        <v>459</v>
      </c>
      <c r="S66" s="562">
        <v>5280000</v>
      </c>
      <c r="T66" s="3066"/>
      <c r="U66" s="3125"/>
      <c r="V66" s="3116"/>
      <c r="W66" s="3116"/>
      <c r="X66" s="3116"/>
      <c r="Y66" s="3116"/>
      <c r="Z66" s="3116"/>
      <c r="AA66" s="3116"/>
      <c r="AB66" s="3116"/>
      <c r="AC66" s="3116"/>
      <c r="AD66" s="3116"/>
      <c r="AE66" s="3116"/>
      <c r="AF66" s="3116"/>
      <c r="AG66" s="3116"/>
      <c r="AH66" s="3116"/>
      <c r="AI66" s="2785"/>
      <c r="AJ66" s="2785"/>
      <c r="AK66" s="2809"/>
      <c r="AL66" s="3102"/>
      <c r="AM66" s="3121"/>
      <c r="AN66" s="2776"/>
    </row>
    <row r="67" spans="1:256" ht="53.25" customHeight="1" x14ac:dyDescent="0.2">
      <c r="A67" s="506"/>
      <c r="B67" s="507"/>
      <c r="C67" s="530"/>
      <c r="D67" s="531"/>
      <c r="E67" s="530"/>
      <c r="F67" s="531"/>
      <c r="G67" s="2332"/>
      <c r="H67" s="3077"/>
      <c r="I67" s="3077"/>
      <c r="J67" s="2672"/>
      <c r="K67" s="3069"/>
      <c r="L67" s="3110"/>
      <c r="M67" s="3055"/>
      <c r="N67" s="2466"/>
      <c r="O67" s="2467"/>
      <c r="P67" s="3119"/>
      <c r="Q67" s="2049"/>
      <c r="R67" s="688" t="s">
        <v>460</v>
      </c>
      <c r="S67" s="562">
        <v>7920000</v>
      </c>
      <c r="T67" s="3066"/>
      <c r="U67" s="3125"/>
      <c r="V67" s="3116"/>
      <c r="W67" s="3116"/>
      <c r="X67" s="3116"/>
      <c r="Y67" s="3116"/>
      <c r="Z67" s="3116"/>
      <c r="AA67" s="3116"/>
      <c r="AB67" s="3116"/>
      <c r="AC67" s="3116"/>
      <c r="AD67" s="3116"/>
      <c r="AE67" s="3116"/>
      <c r="AF67" s="3116"/>
      <c r="AG67" s="3116"/>
      <c r="AH67" s="3116"/>
      <c r="AI67" s="2785"/>
      <c r="AJ67" s="2785"/>
      <c r="AK67" s="2809"/>
      <c r="AL67" s="3102"/>
      <c r="AM67" s="3121"/>
      <c r="AN67" s="2776"/>
    </row>
    <row r="68" spans="1:256" ht="60" x14ac:dyDescent="0.2">
      <c r="A68" s="506"/>
      <c r="B68" s="507"/>
      <c r="C68" s="530"/>
      <c r="D68" s="531"/>
      <c r="E68" s="530"/>
      <c r="F68" s="531"/>
      <c r="G68" s="2332"/>
      <c r="H68" s="3077"/>
      <c r="I68" s="3077"/>
      <c r="J68" s="2672"/>
      <c r="K68" s="3069"/>
      <c r="L68" s="3110"/>
      <c r="M68" s="3055"/>
      <c r="N68" s="2466"/>
      <c r="O68" s="2467"/>
      <c r="P68" s="3119"/>
      <c r="Q68" s="2049"/>
      <c r="R68" s="688" t="s">
        <v>461</v>
      </c>
      <c r="S68" s="562">
        <v>5280000</v>
      </c>
      <c r="T68" s="3066"/>
      <c r="U68" s="3125"/>
      <c r="V68" s="3116"/>
      <c r="W68" s="3116"/>
      <c r="X68" s="3116"/>
      <c r="Y68" s="3116"/>
      <c r="Z68" s="3116"/>
      <c r="AA68" s="3116"/>
      <c r="AB68" s="3116"/>
      <c r="AC68" s="3116"/>
      <c r="AD68" s="3116"/>
      <c r="AE68" s="3116"/>
      <c r="AF68" s="3116"/>
      <c r="AG68" s="3116"/>
      <c r="AH68" s="3116"/>
      <c r="AI68" s="2785"/>
      <c r="AJ68" s="2785"/>
      <c r="AK68" s="2809"/>
      <c r="AL68" s="3102"/>
      <c r="AM68" s="3121"/>
      <c r="AN68" s="2776"/>
    </row>
    <row r="69" spans="1:256" ht="105" customHeight="1" x14ac:dyDescent="0.2">
      <c r="A69" s="506"/>
      <c r="B69" s="507"/>
      <c r="C69" s="530"/>
      <c r="D69" s="531"/>
      <c r="E69" s="530"/>
      <c r="F69" s="531"/>
      <c r="G69" s="2332"/>
      <c r="H69" s="3077"/>
      <c r="I69" s="3077"/>
      <c r="J69" s="2672"/>
      <c r="K69" s="3069"/>
      <c r="L69" s="3110"/>
      <c r="M69" s="3055"/>
      <c r="N69" s="2466"/>
      <c r="O69" s="2467"/>
      <c r="P69" s="3119"/>
      <c r="Q69" s="2049"/>
      <c r="R69" s="688" t="s">
        <v>462</v>
      </c>
      <c r="S69" s="562">
        <v>17435000</v>
      </c>
      <c r="T69" s="3066"/>
      <c r="U69" s="3125"/>
      <c r="V69" s="3116"/>
      <c r="W69" s="3116"/>
      <c r="X69" s="3116"/>
      <c r="Y69" s="3116"/>
      <c r="Z69" s="3116"/>
      <c r="AA69" s="3116"/>
      <c r="AB69" s="3116"/>
      <c r="AC69" s="3116"/>
      <c r="AD69" s="3116"/>
      <c r="AE69" s="3116"/>
      <c r="AF69" s="3116"/>
      <c r="AG69" s="3116"/>
      <c r="AH69" s="3116"/>
      <c r="AI69" s="2785"/>
      <c r="AJ69" s="2785"/>
      <c r="AK69" s="2809"/>
      <c r="AL69" s="3102"/>
      <c r="AM69" s="3121"/>
      <c r="AN69" s="2776"/>
    </row>
    <row r="70" spans="1:256" ht="45" customHeight="1" x14ac:dyDescent="0.2">
      <c r="A70" s="506"/>
      <c r="B70" s="507"/>
      <c r="C70" s="530"/>
      <c r="D70" s="531"/>
      <c r="E70" s="530"/>
      <c r="F70" s="531"/>
      <c r="G70" s="2332"/>
      <c r="H70" s="3077"/>
      <c r="I70" s="3077"/>
      <c r="J70" s="2672"/>
      <c r="K70" s="3069"/>
      <c r="L70" s="3110"/>
      <c r="M70" s="3055"/>
      <c r="N70" s="2466"/>
      <c r="O70" s="2467"/>
      <c r="P70" s="3119"/>
      <c r="Q70" s="2049"/>
      <c r="R70" s="688" t="s">
        <v>463</v>
      </c>
      <c r="S70" s="562">
        <v>5945000</v>
      </c>
      <c r="T70" s="3066"/>
      <c r="U70" s="3125"/>
      <c r="V70" s="3116"/>
      <c r="W70" s="3116"/>
      <c r="X70" s="3116"/>
      <c r="Y70" s="3116"/>
      <c r="Z70" s="3116"/>
      <c r="AA70" s="3116"/>
      <c r="AB70" s="3116"/>
      <c r="AC70" s="3116"/>
      <c r="AD70" s="3116"/>
      <c r="AE70" s="3116"/>
      <c r="AF70" s="3116"/>
      <c r="AG70" s="3116"/>
      <c r="AH70" s="3116"/>
      <c r="AI70" s="2785"/>
      <c r="AJ70" s="2785"/>
      <c r="AK70" s="2809"/>
      <c r="AL70" s="3102"/>
      <c r="AM70" s="3121"/>
      <c r="AN70" s="2776"/>
    </row>
    <row r="71" spans="1:256" ht="48" customHeight="1" x14ac:dyDescent="0.2">
      <c r="A71" s="506"/>
      <c r="B71" s="507"/>
      <c r="C71" s="530"/>
      <c r="D71" s="531"/>
      <c r="E71" s="530"/>
      <c r="F71" s="531"/>
      <c r="G71" s="2332"/>
      <c r="H71" s="3077"/>
      <c r="I71" s="3077"/>
      <c r="J71" s="2672"/>
      <c r="K71" s="3069"/>
      <c r="L71" s="3110"/>
      <c r="M71" s="3055"/>
      <c r="N71" s="2466"/>
      <c r="O71" s="2467"/>
      <c r="P71" s="3119"/>
      <c r="Q71" s="2049"/>
      <c r="R71" s="688" t="s">
        <v>464</v>
      </c>
      <c r="S71" s="562">
        <v>5280000</v>
      </c>
      <c r="T71" s="3066"/>
      <c r="U71" s="3125"/>
      <c r="V71" s="3116"/>
      <c r="W71" s="3116"/>
      <c r="X71" s="3116"/>
      <c r="Y71" s="3116"/>
      <c r="Z71" s="3116"/>
      <c r="AA71" s="3116"/>
      <c r="AB71" s="3116"/>
      <c r="AC71" s="3116"/>
      <c r="AD71" s="3116"/>
      <c r="AE71" s="3116"/>
      <c r="AF71" s="3116"/>
      <c r="AG71" s="3116"/>
      <c r="AH71" s="3116"/>
      <c r="AI71" s="2785"/>
      <c r="AJ71" s="2785"/>
      <c r="AK71" s="2809"/>
      <c r="AL71" s="3102"/>
      <c r="AM71" s="3121"/>
      <c r="AN71" s="2776"/>
    </row>
    <row r="72" spans="1:256" ht="105" customHeight="1" x14ac:dyDescent="0.2">
      <c r="A72" s="506"/>
      <c r="B72" s="507"/>
      <c r="C72" s="530"/>
      <c r="D72" s="531"/>
      <c r="E72" s="530"/>
      <c r="F72" s="531"/>
      <c r="G72" s="2332"/>
      <c r="H72" s="3077"/>
      <c r="I72" s="3077"/>
      <c r="J72" s="2672"/>
      <c r="K72" s="3069"/>
      <c r="L72" s="3110"/>
      <c r="M72" s="3055"/>
      <c r="N72" s="2466"/>
      <c r="O72" s="2467"/>
      <c r="P72" s="3119"/>
      <c r="Q72" s="2049"/>
      <c r="R72" s="561" t="s">
        <v>465</v>
      </c>
      <c r="S72" s="562">
        <v>5000000</v>
      </c>
      <c r="T72" s="3066"/>
      <c r="U72" s="3125"/>
      <c r="V72" s="3116"/>
      <c r="W72" s="3116"/>
      <c r="X72" s="3116"/>
      <c r="Y72" s="3116"/>
      <c r="Z72" s="3116"/>
      <c r="AA72" s="3116"/>
      <c r="AB72" s="3116"/>
      <c r="AC72" s="3116"/>
      <c r="AD72" s="3116"/>
      <c r="AE72" s="3116"/>
      <c r="AF72" s="3116"/>
      <c r="AG72" s="3116"/>
      <c r="AH72" s="3116"/>
      <c r="AI72" s="2785"/>
      <c r="AJ72" s="2785"/>
      <c r="AK72" s="2809"/>
      <c r="AL72" s="3102"/>
      <c r="AM72" s="3121"/>
      <c r="AN72" s="2776"/>
    </row>
    <row r="73" spans="1:256" ht="59.25" customHeight="1" x14ac:dyDescent="0.2">
      <c r="A73" s="506"/>
      <c r="B73" s="507"/>
      <c r="C73" s="530"/>
      <c r="D73" s="531"/>
      <c r="E73" s="530"/>
      <c r="F73" s="531"/>
      <c r="G73" s="2332"/>
      <c r="H73" s="3077"/>
      <c r="I73" s="3077"/>
      <c r="J73" s="2672"/>
      <c r="K73" s="3069"/>
      <c r="L73" s="3110"/>
      <c r="M73" s="3055"/>
      <c r="N73" s="2466"/>
      <c r="O73" s="2467"/>
      <c r="P73" s="3119"/>
      <c r="Q73" s="2049"/>
      <c r="R73" s="563" t="s">
        <v>466</v>
      </c>
      <c r="S73" s="562">
        <v>5280000</v>
      </c>
      <c r="T73" s="3066"/>
      <c r="U73" s="3125"/>
      <c r="V73" s="3116"/>
      <c r="W73" s="3116"/>
      <c r="X73" s="3116"/>
      <c r="Y73" s="3116"/>
      <c r="Z73" s="3116"/>
      <c r="AA73" s="3116"/>
      <c r="AB73" s="3116"/>
      <c r="AC73" s="3116"/>
      <c r="AD73" s="3116"/>
      <c r="AE73" s="3116"/>
      <c r="AF73" s="3116"/>
      <c r="AG73" s="3116"/>
      <c r="AH73" s="3116"/>
      <c r="AI73" s="2785"/>
      <c r="AJ73" s="2785"/>
      <c r="AK73" s="2809"/>
      <c r="AL73" s="3102"/>
      <c r="AM73" s="3121"/>
      <c r="AN73" s="2776"/>
    </row>
    <row r="74" spans="1:256" ht="33" customHeight="1" x14ac:dyDescent="0.2">
      <c r="A74" s="506"/>
      <c r="B74" s="507"/>
      <c r="C74" s="530"/>
      <c r="D74" s="531"/>
      <c r="E74" s="530"/>
      <c r="F74" s="531"/>
      <c r="G74" s="2332"/>
      <c r="H74" s="3077"/>
      <c r="I74" s="3077"/>
      <c r="J74" s="2672"/>
      <c r="K74" s="3069"/>
      <c r="L74" s="3110"/>
      <c r="M74" s="3055"/>
      <c r="N74" s="2466"/>
      <c r="O74" s="2467"/>
      <c r="P74" s="3119"/>
      <c r="Q74" s="2049"/>
      <c r="R74" s="563" t="s">
        <v>467</v>
      </c>
      <c r="S74" s="562">
        <v>5280000</v>
      </c>
      <c r="T74" s="3066"/>
      <c r="U74" s="3125"/>
      <c r="V74" s="3116"/>
      <c r="W74" s="3116"/>
      <c r="X74" s="3116"/>
      <c r="Y74" s="3116"/>
      <c r="Z74" s="3116"/>
      <c r="AA74" s="3116"/>
      <c r="AB74" s="3116"/>
      <c r="AC74" s="3116"/>
      <c r="AD74" s="3116"/>
      <c r="AE74" s="3116"/>
      <c r="AF74" s="3116"/>
      <c r="AG74" s="3116"/>
      <c r="AH74" s="3116"/>
      <c r="AI74" s="2785"/>
      <c r="AJ74" s="2785"/>
      <c r="AK74" s="2809"/>
      <c r="AL74" s="3102"/>
      <c r="AM74" s="3121"/>
      <c r="AN74" s="2776"/>
    </row>
    <row r="75" spans="1:256" ht="45" x14ac:dyDescent="0.2">
      <c r="A75" s="506"/>
      <c r="B75" s="507"/>
      <c r="C75" s="530"/>
      <c r="D75" s="531"/>
      <c r="E75" s="530"/>
      <c r="F75" s="531"/>
      <c r="G75" s="2332"/>
      <c r="H75" s="3077"/>
      <c r="I75" s="3077"/>
      <c r="J75" s="2672"/>
      <c r="K75" s="3069"/>
      <c r="L75" s="3110"/>
      <c r="M75" s="3055"/>
      <c r="N75" s="2466"/>
      <c r="O75" s="2467"/>
      <c r="P75" s="3119"/>
      <c r="Q75" s="2049"/>
      <c r="R75" s="563" t="s">
        <v>468</v>
      </c>
      <c r="S75" s="562">
        <v>13320000</v>
      </c>
      <c r="T75" s="3066"/>
      <c r="U75" s="3125"/>
      <c r="V75" s="3116"/>
      <c r="W75" s="3116"/>
      <c r="X75" s="3116"/>
      <c r="Y75" s="3116"/>
      <c r="Z75" s="3116"/>
      <c r="AA75" s="3116"/>
      <c r="AB75" s="3116"/>
      <c r="AC75" s="3116"/>
      <c r="AD75" s="3116"/>
      <c r="AE75" s="3116"/>
      <c r="AF75" s="3116"/>
      <c r="AG75" s="3116"/>
      <c r="AH75" s="3116"/>
      <c r="AI75" s="2785"/>
      <c r="AJ75" s="2785"/>
      <c r="AK75" s="2809"/>
      <c r="AL75" s="3102"/>
      <c r="AM75" s="3121"/>
      <c r="AN75" s="2776"/>
    </row>
    <row r="76" spans="1:256" ht="35.25" customHeight="1" x14ac:dyDescent="0.2">
      <c r="A76" s="506"/>
      <c r="B76" s="507"/>
      <c r="C76" s="530"/>
      <c r="D76" s="531"/>
      <c r="E76" s="530"/>
      <c r="F76" s="531"/>
      <c r="G76" s="2332"/>
      <c r="H76" s="3077"/>
      <c r="I76" s="3077"/>
      <c r="J76" s="2672"/>
      <c r="K76" s="3069"/>
      <c r="L76" s="3110"/>
      <c r="M76" s="3055"/>
      <c r="N76" s="2466"/>
      <c r="O76" s="2467"/>
      <c r="P76" s="3119"/>
      <c r="Q76" s="2049"/>
      <c r="R76" s="563" t="s">
        <v>469</v>
      </c>
      <c r="S76" s="560">
        <v>5280000</v>
      </c>
      <c r="T76" s="3066"/>
      <c r="U76" s="3125"/>
      <c r="V76" s="3116"/>
      <c r="W76" s="3116"/>
      <c r="X76" s="3116"/>
      <c r="Y76" s="3116"/>
      <c r="Z76" s="3116"/>
      <c r="AA76" s="3116"/>
      <c r="AB76" s="3116"/>
      <c r="AC76" s="3116"/>
      <c r="AD76" s="3116"/>
      <c r="AE76" s="3116"/>
      <c r="AF76" s="3116"/>
      <c r="AG76" s="3116"/>
      <c r="AH76" s="3116"/>
      <c r="AI76" s="2785"/>
      <c r="AJ76" s="2785"/>
      <c r="AK76" s="2809"/>
      <c r="AL76" s="3102"/>
      <c r="AM76" s="3121"/>
      <c r="AN76" s="2776"/>
    </row>
    <row r="77" spans="1:256" ht="42.75" customHeight="1" x14ac:dyDescent="0.2">
      <c r="A77" s="506"/>
      <c r="B77" s="507"/>
      <c r="C77" s="530"/>
      <c r="D77" s="531"/>
      <c r="E77" s="530"/>
      <c r="F77" s="531"/>
      <c r="G77" s="2332"/>
      <c r="H77" s="3077"/>
      <c r="I77" s="3077"/>
      <c r="J77" s="2672"/>
      <c r="K77" s="3069"/>
      <c r="L77" s="3110"/>
      <c r="M77" s="3055"/>
      <c r="N77" s="2466"/>
      <c r="O77" s="2467"/>
      <c r="P77" s="3119"/>
      <c r="Q77" s="2088"/>
      <c r="R77" s="687" t="s">
        <v>470</v>
      </c>
      <c r="S77" s="564">
        <v>67580000</v>
      </c>
      <c r="T77" s="3066"/>
      <c r="U77" s="3065"/>
      <c r="V77" s="3117"/>
      <c r="W77" s="3117"/>
      <c r="X77" s="3117"/>
      <c r="Y77" s="3117"/>
      <c r="Z77" s="3117"/>
      <c r="AA77" s="3117"/>
      <c r="AB77" s="3117"/>
      <c r="AC77" s="3117"/>
      <c r="AD77" s="3117"/>
      <c r="AE77" s="3117"/>
      <c r="AF77" s="3117"/>
      <c r="AG77" s="3117"/>
      <c r="AH77" s="3117"/>
      <c r="AI77" s="2786"/>
      <c r="AJ77" s="2786"/>
      <c r="AK77" s="2810"/>
      <c r="AL77" s="2601"/>
      <c r="AM77" s="3121"/>
      <c r="AN77" s="2776"/>
    </row>
    <row r="78" spans="1:256" ht="15.75" x14ac:dyDescent="0.25">
      <c r="A78" s="506"/>
      <c r="B78" s="507"/>
      <c r="C78" s="508">
        <v>18</v>
      </c>
      <c r="D78" s="509" t="s">
        <v>471</v>
      </c>
      <c r="E78" s="565"/>
      <c r="F78" s="565"/>
      <c r="G78" s="565"/>
      <c r="H78" s="525"/>
      <c r="I78" s="525"/>
      <c r="J78" s="565"/>
      <c r="K78" s="565"/>
      <c r="L78" s="565"/>
      <c r="M78" s="525"/>
      <c r="N78" s="565"/>
      <c r="O78" s="566"/>
      <c r="P78" s="525"/>
      <c r="Q78" s="525"/>
      <c r="R78" s="525"/>
      <c r="S78" s="527"/>
      <c r="T78" s="528"/>
      <c r="U78" s="525"/>
      <c r="V78" s="565"/>
      <c r="W78" s="565"/>
      <c r="X78" s="565"/>
      <c r="Y78" s="565"/>
      <c r="Z78" s="565"/>
      <c r="AA78" s="565"/>
      <c r="AB78" s="565"/>
      <c r="AC78" s="565"/>
      <c r="AD78" s="565"/>
      <c r="AE78" s="565"/>
      <c r="AF78" s="565"/>
      <c r="AG78" s="565"/>
      <c r="AH78" s="565"/>
      <c r="AI78" s="565"/>
      <c r="AJ78" s="565"/>
      <c r="AK78" s="565"/>
      <c r="AL78" s="565"/>
      <c r="AM78" s="565"/>
      <c r="AN78" s="529"/>
      <c r="AO78" s="567"/>
      <c r="AP78" s="567"/>
      <c r="AQ78" s="567"/>
      <c r="AR78" s="567"/>
      <c r="AS78" s="567"/>
      <c r="AT78" s="568"/>
      <c r="AU78" s="568"/>
      <c r="AV78" s="568"/>
      <c r="AW78" s="568"/>
      <c r="AX78" s="568"/>
      <c r="AY78" s="568"/>
      <c r="AZ78" s="568"/>
      <c r="BA78" s="568"/>
      <c r="BB78" s="568"/>
      <c r="BC78" s="568"/>
      <c r="BD78" s="568"/>
      <c r="BE78" s="568"/>
      <c r="BF78" s="568"/>
      <c r="BG78" s="568"/>
      <c r="BH78" s="568"/>
      <c r="BI78" s="568"/>
      <c r="BJ78" s="568"/>
      <c r="BK78" s="568"/>
      <c r="BL78" s="568"/>
      <c r="BM78" s="568"/>
      <c r="BN78" s="568"/>
      <c r="BO78" s="568"/>
      <c r="BP78" s="568"/>
      <c r="BQ78" s="568"/>
      <c r="BR78" s="568"/>
      <c r="BS78" s="568"/>
      <c r="BT78" s="568"/>
      <c r="BU78" s="568"/>
      <c r="BV78" s="568"/>
      <c r="BW78" s="568"/>
      <c r="BX78" s="568"/>
      <c r="BY78" s="568"/>
      <c r="BZ78" s="568"/>
      <c r="CA78" s="568"/>
      <c r="CB78" s="568"/>
      <c r="CC78" s="568"/>
      <c r="CD78" s="568"/>
      <c r="CE78" s="568"/>
      <c r="CF78" s="568"/>
      <c r="CG78" s="568"/>
      <c r="CH78" s="568"/>
      <c r="CI78" s="568"/>
      <c r="CJ78" s="568"/>
      <c r="CK78" s="568"/>
      <c r="CL78" s="568"/>
      <c r="CM78" s="568"/>
      <c r="CN78" s="568"/>
      <c r="CO78" s="568"/>
      <c r="CP78" s="568"/>
      <c r="CQ78" s="568"/>
      <c r="CR78" s="568"/>
      <c r="CS78" s="568"/>
      <c r="CT78" s="568"/>
      <c r="CU78" s="568"/>
      <c r="CV78" s="568"/>
      <c r="CW78" s="568"/>
      <c r="CX78" s="568"/>
      <c r="CY78" s="568"/>
      <c r="CZ78" s="568"/>
      <c r="DA78" s="568"/>
      <c r="DB78" s="568"/>
      <c r="DC78" s="568"/>
      <c r="DD78" s="568"/>
      <c r="DE78" s="568"/>
      <c r="DF78" s="568"/>
      <c r="DG78" s="568"/>
      <c r="DH78" s="568"/>
      <c r="DI78" s="568"/>
      <c r="DJ78" s="568"/>
      <c r="DK78" s="568"/>
      <c r="DL78" s="568"/>
      <c r="DM78" s="568"/>
      <c r="DN78" s="568"/>
      <c r="DO78" s="568"/>
      <c r="DP78" s="568"/>
      <c r="DQ78" s="568"/>
      <c r="DR78" s="568"/>
      <c r="DS78" s="568"/>
      <c r="DT78" s="568"/>
      <c r="DU78" s="568"/>
      <c r="DV78" s="568"/>
      <c r="DW78" s="568"/>
      <c r="DX78" s="568"/>
      <c r="DY78" s="568"/>
      <c r="DZ78" s="568"/>
      <c r="EA78" s="568"/>
      <c r="EB78" s="568"/>
      <c r="EC78" s="568"/>
      <c r="ED78" s="568"/>
      <c r="EE78" s="568"/>
      <c r="EF78" s="568"/>
      <c r="EG78" s="568"/>
      <c r="EH78" s="568"/>
      <c r="EI78" s="568"/>
      <c r="EJ78" s="568"/>
      <c r="EK78" s="568"/>
      <c r="EL78" s="568"/>
      <c r="EM78" s="568"/>
      <c r="EN78" s="568"/>
      <c r="EO78" s="568"/>
      <c r="EP78" s="568"/>
      <c r="EQ78" s="568"/>
      <c r="ER78" s="568"/>
      <c r="ES78" s="568"/>
      <c r="ET78" s="568"/>
      <c r="EU78" s="568"/>
      <c r="EV78" s="568"/>
      <c r="EW78" s="568"/>
      <c r="EX78" s="568"/>
      <c r="EY78" s="568"/>
      <c r="EZ78" s="568"/>
      <c r="FA78" s="568"/>
      <c r="FB78" s="568"/>
      <c r="FC78" s="568"/>
      <c r="FD78" s="568"/>
      <c r="FE78" s="568"/>
      <c r="FF78" s="568"/>
      <c r="FG78" s="568"/>
      <c r="FH78" s="568"/>
      <c r="FI78" s="568"/>
      <c r="FJ78" s="568"/>
      <c r="FK78" s="568"/>
      <c r="FL78" s="568"/>
      <c r="FM78" s="568"/>
      <c r="FN78" s="568"/>
      <c r="FO78" s="568"/>
      <c r="FP78" s="568"/>
      <c r="FQ78" s="568"/>
      <c r="FR78" s="568"/>
      <c r="FS78" s="568"/>
      <c r="FT78" s="568"/>
      <c r="FU78" s="568"/>
      <c r="FV78" s="568"/>
      <c r="FW78" s="568"/>
      <c r="FX78" s="568"/>
      <c r="FY78" s="568"/>
      <c r="FZ78" s="568"/>
      <c r="GA78" s="568"/>
      <c r="GB78" s="568"/>
      <c r="GC78" s="568"/>
      <c r="GD78" s="568"/>
      <c r="GE78" s="568"/>
      <c r="GF78" s="568"/>
      <c r="GG78" s="568"/>
      <c r="GH78" s="568"/>
      <c r="GI78" s="568"/>
      <c r="GJ78" s="568"/>
      <c r="GK78" s="568"/>
      <c r="GL78" s="568"/>
      <c r="GM78" s="568"/>
      <c r="GN78" s="568"/>
      <c r="GO78" s="568"/>
      <c r="GP78" s="568"/>
      <c r="GQ78" s="568"/>
      <c r="GR78" s="568"/>
      <c r="GS78" s="568"/>
      <c r="GT78" s="568"/>
      <c r="GU78" s="568"/>
      <c r="GV78" s="568"/>
      <c r="GW78" s="568"/>
      <c r="GX78" s="568"/>
      <c r="GY78" s="568"/>
      <c r="GZ78" s="568"/>
      <c r="HA78" s="568"/>
      <c r="HB78" s="568"/>
      <c r="HC78" s="568"/>
      <c r="HD78" s="568"/>
      <c r="HE78" s="568"/>
      <c r="HF78" s="568"/>
      <c r="HG78" s="568"/>
      <c r="HH78" s="568"/>
      <c r="HI78" s="568"/>
      <c r="HJ78" s="568"/>
      <c r="HK78" s="568"/>
      <c r="HL78" s="568"/>
      <c r="HM78" s="568"/>
      <c r="HN78" s="568"/>
      <c r="HO78" s="568"/>
      <c r="HP78" s="568"/>
      <c r="HQ78" s="568"/>
      <c r="HR78" s="568"/>
      <c r="HS78" s="568"/>
      <c r="HT78" s="568"/>
      <c r="HU78" s="568"/>
      <c r="HV78" s="568"/>
      <c r="HW78" s="568"/>
      <c r="HX78" s="568"/>
      <c r="HY78" s="568"/>
      <c r="HZ78" s="568"/>
      <c r="IA78" s="568"/>
      <c r="IB78" s="568"/>
      <c r="IC78" s="568"/>
      <c r="ID78" s="568"/>
      <c r="IE78" s="568"/>
      <c r="IF78" s="568"/>
      <c r="IG78" s="568"/>
      <c r="IH78" s="568"/>
      <c r="II78" s="568"/>
      <c r="IJ78" s="568"/>
      <c r="IK78" s="568"/>
      <c r="IL78" s="568"/>
      <c r="IM78" s="568"/>
      <c r="IN78" s="568"/>
      <c r="IO78" s="568"/>
      <c r="IP78" s="568"/>
      <c r="IQ78" s="568"/>
      <c r="IR78" s="568"/>
      <c r="IS78" s="568"/>
      <c r="IT78" s="568"/>
      <c r="IU78" s="568"/>
      <c r="IV78" s="568"/>
    </row>
    <row r="79" spans="1:256" ht="15.75" x14ac:dyDescent="0.2">
      <c r="A79" s="506"/>
      <c r="B79" s="507"/>
      <c r="C79" s="530"/>
      <c r="D79" s="531"/>
      <c r="E79" s="515">
        <v>62</v>
      </c>
      <c r="F79" s="516" t="s">
        <v>472</v>
      </c>
      <c r="G79" s="689"/>
      <c r="H79" s="193"/>
      <c r="I79" s="193"/>
      <c r="J79" s="689"/>
      <c r="K79" s="689"/>
      <c r="L79" s="689"/>
      <c r="M79" s="193"/>
      <c r="N79" s="689"/>
      <c r="O79" s="532"/>
      <c r="P79" s="193"/>
      <c r="Q79" s="193"/>
      <c r="R79" s="193"/>
      <c r="S79" s="197"/>
      <c r="T79" s="569"/>
      <c r="U79" s="199"/>
      <c r="V79" s="542"/>
      <c r="W79" s="542"/>
      <c r="X79" s="689"/>
      <c r="Y79" s="689"/>
      <c r="Z79" s="689"/>
      <c r="AA79" s="689"/>
      <c r="AB79" s="689"/>
      <c r="AC79" s="689"/>
      <c r="AD79" s="689"/>
      <c r="AE79" s="689"/>
      <c r="AF79" s="689"/>
      <c r="AG79" s="689"/>
      <c r="AH79" s="689"/>
      <c r="AI79" s="689"/>
      <c r="AJ79" s="689"/>
      <c r="AK79" s="689"/>
      <c r="AL79" s="689"/>
      <c r="AM79" s="689"/>
      <c r="AN79" s="533"/>
    </row>
    <row r="80" spans="1:256" ht="70.5" customHeight="1" x14ac:dyDescent="0.2">
      <c r="A80" s="506"/>
      <c r="B80" s="507"/>
      <c r="C80" s="530"/>
      <c r="D80" s="531"/>
      <c r="E80" s="534"/>
      <c r="F80" s="535"/>
      <c r="G80" s="3122">
        <v>191</v>
      </c>
      <c r="H80" s="3097" t="s">
        <v>473</v>
      </c>
      <c r="I80" s="2056" t="s">
        <v>474</v>
      </c>
      <c r="J80" s="3123">
        <v>1</v>
      </c>
      <c r="K80" s="545"/>
      <c r="L80" s="3110" t="s">
        <v>475</v>
      </c>
      <c r="M80" s="3056" t="s">
        <v>476</v>
      </c>
      <c r="N80" s="2772">
        <v>1</v>
      </c>
      <c r="O80" s="3129">
        <f>SUM(S80:S101)</f>
        <v>1185000000</v>
      </c>
      <c r="P80" s="3055" t="s">
        <v>477</v>
      </c>
      <c r="Q80" s="2088" t="s">
        <v>478</v>
      </c>
      <c r="R80" s="570" t="s">
        <v>479</v>
      </c>
      <c r="S80" s="571">
        <v>31680000</v>
      </c>
      <c r="T80" s="3065" t="s">
        <v>64</v>
      </c>
      <c r="U80" s="3065" t="s">
        <v>403</v>
      </c>
      <c r="V80" s="2786">
        <v>280</v>
      </c>
      <c r="W80" s="2786">
        <v>290</v>
      </c>
      <c r="X80" s="2501"/>
      <c r="Y80" s="2781"/>
      <c r="Z80" s="2781"/>
      <c r="AA80" s="2781"/>
      <c r="AB80" s="2781"/>
      <c r="AC80" s="2781"/>
      <c r="AD80" s="2781"/>
      <c r="AE80" s="2781"/>
      <c r="AF80" s="2781"/>
      <c r="AG80" s="2781"/>
      <c r="AH80" s="2781"/>
      <c r="AI80" s="2781"/>
      <c r="AJ80" s="2781"/>
      <c r="AK80" s="2786">
        <f>V80+W80</f>
        <v>570</v>
      </c>
      <c r="AL80" s="2603">
        <v>43102</v>
      </c>
      <c r="AM80" s="2603">
        <v>43465</v>
      </c>
      <c r="AN80" s="2776" t="s">
        <v>358</v>
      </c>
    </row>
    <row r="81" spans="1:40" ht="57" customHeight="1" x14ac:dyDescent="0.2">
      <c r="A81" s="506"/>
      <c r="B81" s="507"/>
      <c r="C81" s="530"/>
      <c r="D81" s="531"/>
      <c r="E81" s="530"/>
      <c r="F81" s="531"/>
      <c r="G81" s="3122"/>
      <c r="H81" s="3097"/>
      <c r="I81" s="2056"/>
      <c r="J81" s="3123"/>
      <c r="K81" s="547"/>
      <c r="L81" s="3110"/>
      <c r="M81" s="3056"/>
      <c r="N81" s="2466"/>
      <c r="O81" s="3129"/>
      <c r="P81" s="3055"/>
      <c r="Q81" s="2185"/>
      <c r="R81" s="570" t="s">
        <v>480</v>
      </c>
      <c r="S81" s="571">
        <v>15840000</v>
      </c>
      <c r="T81" s="3066"/>
      <c r="U81" s="3066"/>
      <c r="V81" s="2809"/>
      <c r="W81" s="2809"/>
      <c r="X81" s="2504"/>
      <c r="Y81" s="3126"/>
      <c r="Z81" s="3126"/>
      <c r="AA81" s="3126"/>
      <c r="AB81" s="3126"/>
      <c r="AC81" s="3126"/>
      <c r="AD81" s="3126"/>
      <c r="AE81" s="3126"/>
      <c r="AF81" s="3126"/>
      <c r="AG81" s="3126"/>
      <c r="AH81" s="3126"/>
      <c r="AI81" s="3126"/>
      <c r="AJ81" s="3126"/>
      <c r="AK81" s="2809"/>
      <c r="AL81" s="2603"/>
      <c r="AM81" s="2603"/>
      <c r="AN81" s="2776"/>
    </row>
    <row r="82" spans="1:40" ht="72" customHeight="1" x14ac:dyDescent="0.2">
      <c r="A82" s="506"/>
      <c r="B82" s="507"/>
      <c r="C82" s="530"/>
      <c r="D82" s="531"/>
      <c r="E82" s="530"/>
      <c r="F82" s="531"/>
      <c r="G82" s="3122"/>
      <c r="H82" s="3097"/>
      <c r="I82" s="2056"/>
      <c r="J82" s="3123"/>
      <c r="K82" s="547"/>
      <c r="L82" s="3110"/>
      <c r="M82" s="3056"/>
      <c r="N82" s="2466"/>
      <c r="O82" s="3129"/>
      <c r="P82" s="3055"/>
      <c r="Q82" s="2185"/>
      <c r="R82" s="570" t="s">
        <v>481</v>
      </c>
      <c r="S82" s="571">
        <v>16020000</v>
      </c>
      <c r="T82" s="3066"/>
      <c r="U82" s="3066"/>
      <c r="V82" s="2809"/>
      <c r="W82" s="2809"/>
      <c r="X82" s="2504"/>
      <c r="Y82" s="3126"/>
      <c r="Z82" s="3126"/>
      <c r="AA82" s="3126"/>
      <c r="AB82" s="3126"/>
      <c r="AC82" s="3126"/>
      <c r="AD82" s="3126"/>
      <c r="AE82" s="3126"/>
      <c r="AF82" s="3126"/>
      <c r="AG82" s="3126"/>
      <c r="AH82" s="3126"/>
      <c r="AI82" s="3126"/>
      <c r="AJ82" s="3126"/>
      <c r="AK82" s="2809"/>
      <c r="AL82" s="2603"/>
      <c r="AM82" s="2603"/>
      <c r="AN82" s="2776"/>
    </row>
    <row r="83" spans="1:40" ht="60" customHeight="1" x14ac:dyDescent="0.2">
      <c r="A83" s="506"/>
      <c r="B83" s="507"/>
      <c r="C83" s="530"/>
      <c r="D83" s="531"/>
      <c r="E83" s="530"/>
      <c r="F83" s="531"/>
      <c r="G83" s="3122"/>
      <c r="H83" s="3097"/>
      <c r="I83" s="2056"/>
      <c r="J83" s="3123"/>
      <c r="K83" s="547"/>
      <c r="L83" s="3110"/>
      <c r="M83" s="3056"/>
      <c r="N83" s="2466"/>
      <c r="O83" s="3129"/>
      <c r="P83" s="3055"/>
      <c r="Q83" s="2185"/>
      <c r="R83" s="570" t="s">
        <v>482</v>
      </c>
      <c r="S83" s="571">
        <v>16020000</v>
      </c>
      <c r="T83" s="3066"/>
      <c r="U83" s="3066"/>
      <c r="V83" s="2809"/>
      <c r="W83" s="2809"/>
      <c r="X83" s="2504"/>
      <c r="Y83" s="3126"/>
      <c r="Z83" s="3126"/>
      <c r="AA83" s="3126"/>
      <c r="AB83" s="3126"/>
      <c r="AC83" s="3126"/>
      <c r="AD83" s="3126"/>
      <c r="AE83" s="3126"/>
      <c r="AF83" s="3126"/>
      <c r="AG83" s="3126"/>
      <c r="AH83" s="3126"/>
      <c r="AI83" s="3126"/>
      <c r="AJ83" s="3126"/>
      <c r="AK83" s="2809"/>
      <c r="AL83" s="2603"/>
      <c r="AM83" s="2603"/>
      <c r="AN83" s="2776"/>
    </row>
    <row r="84" spans="1:40" ht="90" customHeight="1" x14ac:dyDescent="0.2">
      <c r="A84" s="506"/>
      <c r="B84" s="507"/>
      <c r="C84" s="530"/>
      <c r="D84" s="531"/>
      <c r="E84" s="530"/>
      <c r="F84" s="531"/>
      <c r="G84" s="3122"/>
      <c r="H84" s="3097"/>
      <c r="I84" s="2056"/>
      <c r="J84" s="3123"/>
      <c r="K84" s="547"/>
      <c r="L84" s="3110"/>
      <c r="M84" s="3056"/>
      <c r="N84" s="2466"/>
      <c r="O84" s="3129"/>
      <c r="P84" s="3055"/>
      <c r="Q84" s="2185"/>
      <c r="R84" s="570" t="s">
        <v>483</v>
      </c>
      <c r="S84" s="571">
        <v>200000000</v>
      </c>
      <c r="T84" s="3066"/>
      <c r="U84" s="3066"/>
      <c r="V84" s="2809"/>
      <c r="W84" s="2809"/>
      <c r="X84" s="2504"/>
      <c r="Y84" s="3126"/>
      <c r="Z84" s="3126"/>
      <c r="AA84" s="3126"/>
      <c r="AB84" s="3126"/>
      <c r="AC84" s="3126"/>
      <c r="AD84" s="3126"/>
      <c r="AE84" s="3126"/>
      <c r="AF84" s="3126"/>
      <c r="AG84" s="3126"/>
      <c r="AH84" s="3126"/>
      <c r="AI84" s="3126"/>
      <c r="AJ84" s="3126"/>
      <c r="AK84" s="2809"/>
      <c r="AL84" s="2603"/>
      <c r="AM84" s="2603"/>
      <c r="AN84" s="2776"/>
    </row>
    <row r="85" spans="1:40" ht="117" customHeight="1" x14ac:dyDescent="0.2">
      <c r="A85" s="506"/>
      <c r="B85" s="507"/>
      <c r="C85" s="530"/>
      <c r="D85" s="531"/>
      <c r="E85" s="530"/>
      <c r="F85" s="531"/>
      <c r="G85" s="3122"/>
      <c r="H85" s="3097"/>
      <c r="I85" s="2056"/>
      <c r="J85" s="3123"/>
      <c r="K85" s="547"/>
      <c r="L85" s="3110"/>
      <c r="M85" s="3056"/>
      <c r="N85" s="2466"/>
      <c r="O85" s="3129"/>
      <c r="P85" s="3055"/>
      <c r="Q85" s="2185"/>
      <c r="R85" s="570" t="s">
        <v>484</v>
      </c>
      <c r="S85" s="571">
        <v>36120000</v>
      </c>
      <c r="T85" s="3066"/>
      <c r="U85" s="3066"/>
      <c r="V85" s="2809"/>
      <c r="W85" s="2809"/>
      <c r="X85" s="2504"/>
      <c r="Y85" s="3126"/>
      <c r="Z85" s="3126"/>
      <c r="AA85" s="3126"/>
      <c r="AB85" s="3126"/>
      <c r="AC85" s="3126"/>
      <c r="AD85" s="3126"/>
      <c r="AE85" s="3126"/>
      <c r="AF85" s="3126"/>
      <c r="AG85" s="3126"/>
      <c r="AH85" s="3126"/>
      <c r="AI85" s="3126"/>
      <c r="AJ85" s="3126"/>
      <c r="AK85" s="2809"/>
      <c r="AL85" s="2603"/>
      <c r="AM85" s="2603"/>
      <c r="AN85" s="2776"/>
    </row>
    <row r="86" spans="1:40" ht="80.25" customHeight="1" x14ac:dyDescent="0.2">
      <c r="A86" s="506"/>
      <c r="B86" s="507"/>
      <c r="C86" s="530"/>
      <c r="D86" s="531"/>
      <c r="E86" s="530"/>
      <c r="F86" s="531"/>
      <c r="G86" s="3122"/>
      <c r="H86" s="3097"/>
      <c r="I86" s="2056"/>
      <c r="J86" s="3123"/>
      <c r="K86" s="547"/>
      <c r="L86" s="3110"/>
      <c r="M86" s="3056"/>
      <c r="N86" s="2466"/>
      <c r="O86" s="3129"/>
      <c r="P86" s="3055"/>
      <c r="Q86" s="2185"/>
      <c r="R86" s="570" t="s">
        <v>485</v>
      </c>
      <c r="S86" s="571">
        <v>21160000</v>
      </c>
      <c r="T86" s="3066"/>
      <c r="U86" s="3066"/>
      <c r="V86" s="2809"/>
      <c r="W86" s="2809"/>
      <c r="X86" s="2504"/>
      <c r="Y86" s="3126"/>
      <c r="Z86" s="3126"/>
      <c r="AA86" s="3126"/>
      <c r="AB86" s="3126"/>
      <c r="AC86" s="3126"/>
      <c r="AD86" s="3126"/>
      <c r="AE86" s="3126"/>
      <c r="AF86" s="3126"/>
      <c r="AG86" s="3126"/>
      <c r="AH86" s="3126"/>
      <c r="AI86" s="3126"/>
      <c r="AJ86" s="3126"/>
      <c r="AK86" s="2809"/>
      <c r="AL86" s="2603"/>
      <c r="AM86" s="2603"/>
      <c r="AN86" s="2776"/>
    </row>
    <row r="87" spans="1:40" ht="60" customHeight="1" x14ac:dyDescent="0.2">
      <c r="A87" s="506"/>
      <c r="B87" s="507"/>
      <c r="C87" s="530"/>
      <c r="D87" s="531"/>
      <c r="E87" s="530"/>
      <c r="F87" s="531"/>
      <c r="G87" s="3122"/>
      <c r="H87" s="3097"/>
      <c r="I87" s="2056"/>
      <c r="J87" s="3123"/>
      <c r="K87" s="547"/>
      <c r="L87" s="3110"/>
      <c r="M87" s="3056"/>
      <c r="N87" s="2466"/>
      <c r="O87" s="3129"/>
      <c r="P87" s="3055"/>
      <c r="Q87" s="2185"/>
      <c r="R87" s="570" t="s">
        <v>486</v>
      </c>
      <c r="S87" s="571">
        <v>15840000</v>
      </c>
      <c r="T87" s="3066"/>
      <c r="U87" s="3066"/>
      <c r="V87" s="2809"/>
      <c r="W87" s="2809"/>
      <c r="X87" s="2504"/>
      <c r="Y87" s="3126"/>
      <c r="Z87" s="3126"/>
      <c r="AA87" s="3126"/>
      <c r="AB87" s="3126"/>
      <c r="AC87" s="3126"/>
      <c r="AD87" s="3126"/>
      <c r="AE87" s="3126"/>
      <c r="AF87" s="3126"/>
      <c r="AG87" s="3126"/>
      <c r="AH87" s="3126"/>
      <c r="AI87" s="3126"/>
      <c r="AJ87" s="3126"/>
      <c r="AK87" s="2809"/>
      <c r="AL87" s="2603"/>
      <c r="AM87" s="2603"/>
      <c r="AN87" s="2776"/>
    </row>
    <row r="88" spans="1:40" ht="46.5" customHeight="1" x14ac:dyDescent="0.2">
      <c r="A88" s="506"/>
      <c r="B88" s="507"/>
      <c r="C88" s="530"/>
      <c r="D88" s="531"/>
      <c r="E88" s="530"/>
      <c r="F88" s="531"/>
      <c r="G88" s="3122"/>
      <c r="H88" s="3097"/>
      <c r="I88" s="2056"/>
      <c r="J88" s="3123"/>
      <c r="K88" s="547"/>
      <c r="L88" s="3110"/>
      <c r="M88" s="3056"/>
      <c r="N88" s="2466"/>
      <c r="O88" s="3129"/>
      <c r="P88" s="3055"/>
      <c r="Q88" s="2185"/>
      <c r="R88" s="570" t="s">
        <v>487</v>
      </c>
      <c r="S88" s="571">
        <v>15840000</v>
      </c>
      <c r="T88" s="3066"/>
      <c r="U88" s="3066"/>
      <c r="V88" s="2809"/>
      <c r="W88" s="2809"/>
      <c r="X88" s="2504"/>
      <c r="Y88" s="3126"/>
      <c r="Z88" s="3126"/>
      <c r="AA88" s="3126"/>
      <c r="AB88" s="3126"/>
      <c r="AC88" s="3126"/>
      <c r="AD88" s="3126"/>
      <c r="AE88" s="3126"/>
      <c r="AF88" s="3126"/>
      <c r="AG88" s="3126"/>
      <c r="AH88" s="3126"/>
      <c r="AI88" s="3126"/>
      <c r="AJ88" s="3126"/>
      <c r="AK88" s="2809"/>
      <c r="AL88" s="2603"/>
      <c r="AM88" s="2603"/>
      <c r="AN88" s="2776"/>
    </row>
    <row r="89" spans="1:40" ht="90" customHeight="1" x14ac:dyDescent="0.2">
      <c r="A89" s="506"/>
      <c r="B89" s="507"/>
      <c r="C89" s="530"/>
      <c r="D89" s="531"/>
      <c r="E89" s="530"/>
      <c r="F89" s="531"/>
      <c r="G89" s="3122"/>
      <c r="H89" s="3097"/>
      <c r="I89" s="2056"/>
      <c r="J89" s="3123"/>
      <c r="K89" s="547"/>
      <c r="L89" s="3110"/>
      <c r="M89" s="3056"/>
      <c r="N89" s="2466"/>
      <c r="O89" s="3129"/>
      <c r="P89" s="3055"/>
      <c r="Q89" s="2185"/>
      <c r="R89" s="570" t="s">
        <v>488</v>
      </c>
      <c r="S89" s="571">
        <v>95040000</v>
      </c>
      <c r="T89" s="3066"/>
      <c r="U89" s="3066"/>
      <c r="V89" s="2809"/>
      <c r="W89" s="2809"/>
      <c r="X89" s="2504"/>
      <c r="Y89" s="3126"/>
      <c r="Z89" s="3126"/>
      <c r="AA89" s="3126"/>
      <c r="AB89" s="3126"/>
      <c r="AC89" s="3126"/>
      <c r="AD89" s="3126"/>
      <c r="AE89" s="3126"/>
      <c r="AF89" s="3126"/>
      <c r="AG89" s="3126"/>
      <c r="AH89" s="3126"/>
      <c r="AI89" s="3126"/>
      <c r="AJ89" s="3126"/>
      <c r="AK89" s="2809"/>
      <c r="AL89" s="2603"/>
      <c r="AM89" s="2603"/>
      <c r="AN89" s="2776"/>
    </row>
    <row r="90" spans="1:40" ht="67.5" customHeight="1" x14ac:dyDescent="0.2">
      <c r="A90" s="506"/>
      <c r="B90" s="507"/>
      <c r="C90" s="530"/>
      <c r="D90" s="531"/>
      <c r="E90" s="530"/>
      <c r="F90" s="531"/>
      <c r="G90" s="3122"/>
      <c r="H90" s="3097"/>
      <c r="I90" s="2056"/>
      <c r="J90" s="3123"/>
      <c r="K90" s="547"/>
      <c r="L90" s="3110"/>
      <c r="M90" s="3056"/>
      <c r="N90" s="2466"/>
      <c r="O90" s="3129"/>
      <c r="P90" s="3055"/>
      <c r="Q90" s="2185"/>
      <c r="R90" s="570" t="s">
        <v>489</v>
      </c>
      <c r="S90" s="571">
        <v>16150000</v>
      </c>
      <c r="T90" s="3066"/>
      <c r="U90" s="3066"/>
      <c r="V90" s="2809"/>
      <c r="W90" s="2809"/>
      <c r="X90" s="2504"/>
      <c r="Y90" s="3126"/>
      <c r="Z90" s="3126"/>
      <c r="AA90" s="3126"/>
      <c r="AB90" s="3126"/>
      <c r="AC90" s="3126"/>
      <c r="AD90" s="3126"/>
      <c r="AE90" s="3126"/>
      <c r="AF90" s="3126"/>
      <c r="AG90" s="3126"/>
      <c r="AH90" s="3126"/>
      <c r="AI90" s="3126"/>
      <c r="AJ90" s="3126"/>
      <c r="AK90" s="2809"/>
      <c r="AL90" s="2603"/>
      <c r="AM90" s="2603"/>
      <c r="AN90" s="2776"/>
    </row>
    <row r="91" spans="1:40" ht="105" customHeight="1" x14ac:dyDescent="0.2">
      <c r="A91" s="506"/>
      <c r="B91" s="507"/>
      <c r="C91" s="530"/>
      <c r="D91" s="531"/>
      <c r="E91" s="530"/>
      <c r="F91" s="531"/>
      <c r="G91" s="3122"/>
      <c r="H91" s="3097"/>
      <c r="I91" s="2056"/>
      <c r="J91" s="3123"/>
      <c r="K91" s="547" t="s">
        <v>490</v>
      </c>
      <c r="L91" s="3110"/>
      <c r="M91" s="3056"/>
      <c r="N91" s="2466"/>
      <c r="O91" s="3129"/>
      <c r="P91" s="3055"/>
      <c r="Q91" s="2185"/>
      <c r="R91" s="570" t="s">
        <v>491</v>
      </c>
      <c r="S91" s="571">
        <v>50790000</v>
      </c>
      <c r="T91" s="3066"/>
      <c r="U91" s="3066"/>
      <c r="V91" s="2809"/>
      <c r="W91" s="2809"/>
      <c r="X91" s="2504"/>
      <c r="Y91" s="3126"/>
      <c r="Z91" s="3126"/>
      <c r="AA91" s="3126"/>
      <c r="AB91" s="3126"/>
      <c r="AC91" s="3126"/>
      <c r="AD91" s="3126"/>
      <c r="AE91" s="3126"/>
      <c r="AF91" s="3126"/>
      <c r="AG91" s="3126"/>
      <c r="AH91" s="3126"/>
      <c r="AI91" s="3126"/>
      <c r="AJ91" s="3126"/>
      <c r="AK91" s="2809"/>
      <c r="AL91" s="2603"/>
      <c r="AM91" s="2603"/>
      <c r="AN91" s="2776"/>
    </row>
    <row r="92" spans="1:40" ht="118.5" customHeight="1" x14ac:dyDescent="0.2">
      <c r="A92" s="506"/>
      <c r="B92" s="507"/>
      <c r="C92" s="530"/>
      <c r="D92" s="531"/>
      <c r="E92" s="530"/>
      <c r="F92" s="531"/>
      <c r="G92" s="3122"/>
      <c r="H92" s="3097"/>
      <c r="I92" s="2056"/>
      <c r="J92" s="3123"/>
      <c r="K92" s="547" t="s">
        <v>492</v>
      </c>
      <c r="L92" s="3110"/>
      <c r="M92" s="3056"/>
      <c r="N92" s="2466"/>
      <c r="O92" s="3129"/>
      <c r="P92" s="3055"/>
      <c r="Q92" s="2185"/>
      <c r="R92" s="570" t="s">
        <v>493</v>
      </c>
      <c r="S92" s="571">
        <v>32040000</v>
      </c>
      <c r="T92" s="3066"/>
      <c r="U92" s="3066"/>
      <c r="V92" s="2809"/>
      <c r="W92" s="2809"/>
      <c r="X92" s="2504"/>
      <c r="Y92" s="3126"/>
      <c r="Z92" s="3126"/>
      <c r="AA92" s="3126"/>
      <c r="AB92" s="3126"/>
      <c r="AC92" s="3126"/>
      <c r="AD92" s="3126"/>
      <c r="AE92" s="3126"/>
      <c r="AF92" s="3126"/>
      <c r="AG92" s="3126"/>
      <c r="AH92" s="3126"/>
      <c r="AI92" s="3126"/>
      <c r="AJ92" s="3126"/>
      <c r="AK92" s="2809"/>
      <c r="AL92" s="2603"/>
      <c r="AM92" s="2603"/>
      <c r="AN92" s="2776"/>
    </row>
    <row r="93" spans="1:40" ht="71.25" customHeight="1" x14ac:dyDescent="0.2">
      <c r="A93" s="506"/>
      <c r="B93" s="507"/>
      <c r="C93" s="530"/>
      <c r="D93" s="531"/>
      <c r="E93" s="530"/>
      <c r="F93" s="531"/>
      <c r="G93" s="3122"/>
      <c r="H93" s="3097"/>
      <c r="I93" s="2056"/>
      <c r="J93" s="3123"/>
      <c r="K93" s="547"/>
      <c r="L93" s="3110"/>
      <c r="M93" s="3097"/>
      <c r="N93" s="2466"/>
      <c r="O93" s="3130"/>
      <c r="P93" s="3055"/>
      <c r="Q93" s="2185"/>
      <c r="R93" s="570" t="s">
        <v>494</v>
      </c>
      <c r="S93" s="571">
        <v>14360000</v>
      </c>
      <c r="T93" s="3066"/>
      <c r="U93" s="3066"/>
      <c r="V93" s="2809"/>
      <c r="W93" s="2809"/>
      <c r="X93" s="2504"/>
      <c r="Y93" s="3126"/>
      <c r="Z93" s="3126"/>
      <c r="AA93" s="3126"/>
      <c r="AB93" s="3126"/>
      <c r="AC93" s="3126"/>
      <c r="AD93" s="3126"/>
      <c r="AE93" s="3126"/>
      <c r="AF93" s="3126"/>
      <c r="AG93" s="3126"/>
      <c r="AH93" s="3126"/>
      <c r="AI93" s="3126"/>
      <c r="AJ93" s="3126"/>
      <c r="AK93" s="2809"/>
      <c r="AL93" s="2785"/>
      <c r="AM93" s="2785"/>
      <c r="AN93" s="2776"/>
    </row>
    <row r="94" spans="1:40" ht="66.75" customHeight="1" x14ac:dyDescent="0.2">
      <c r="A94" s="506"/>
      <c r="B94" s="507"/>
      <c r="C94" s="530"/>
      <c r="D94" s="531"/>
      <c r="E94" s="530"/>
      <c r="F94" s="531"/>
      <c r="G94" s="3122"/>
      <c r="H94" s="3097"/>
      <c r="I94" s="2056"/>
      <c r="J94" s="3123"/>
      <c r="K94" s="547"/>
      <c r="L94" s="3110"/>
      <c r="M94" s="3097"/>
      <c r="N94" s="2466"/>
      <c r="O94" s="3130"/>
      <c r="P94" s="3055"/>
      <c r="Q94" s="2185"/>
      <c r="R94" s="572" t="s">
        <v>495</v>
      </c>
      <c r="S94" s="571">
        <v>11040000</v>
      </c>
      <c r="T94" s="3066"/>
      <c r="U94" s="3066"/>
      <c r="V94" s="2809"/>
      <c r="W94" s="2809"/>
      <c r="X94" s="2504"/>
      <c r="Y94" s="3126"/>
      <c r="Z94" s="3126"/>
      <c r="AA94" s="3126"/>
      <c r="AB94" s="3126"/>
      <c r="AC94" s="3126"/>
      <c r="AD94" s="3126"/>
      <c r="AE94" s="3126"/>
      <c r="AF94" s="3126"/>
      <c r="AG94" s="3126"/>
      <c r="AH94" s="3126"/>
      <c r="AI94" s="3126"/>
      <c r="AJ94" s="3126"/>
      <c r="AK94" s="2809"/>
      <c r="AL94" s="2785"/>
      <c r="AM94" s="2785"/>
      <c r="AN94" s="2776"/>
    </row>
    <row r="95" spans="1:40" ht="73.5" customHeight="1" x14ac:dyDescent="0.2">
      <c r="A95" s="506"/>
      <c r="B95" s="507"/>
      <c r="C95" s="530"/>
      <c r="D95" s="531"/>
      <c r="E95" s="530"/>
      <c r="F95" s="531"/>
      <c r="G95" s="3122"/>
      <c r="H95" s="3097"/>
      <c r="I95" s="2056"/>
      <c r="J95" s="3123"/>
      <c r="K95" s="547"/>
      <c r="L95" s="3110"/>
      <c r="M95" s="3097"/>
      <c r="N95" s="2466"/>
      <c r="O95" s="3130"/>
      <c r="P95" s="3055"/>
      <c r="Q95" s="2185"/>
      <c r="R95" s="573" t="s">
        <v>496</v>
      </c>
      <c r="S95" s="571">
        <v>12000000</v>
      </c>
      <c r="T95" s="3066"/>
      <c r="U95" s="3066"/>
      <c r="V95" s="2809"/>
      <c r="W95" s="2809"/>
      <c r="X95" s="2504"/>
      <c r="Y95" s="3126"/>
      <c r="Z95" s="3126"/>
      <c r="AA95" s="3126"/>
      <c r="AB95" s="3126"/>
      <c r="AC95" s="3126"/>
      <c r="AD95" s="3126"/>
      <c r="AE95" s="3126"/>
      <c r="AF95" s="3126"/>
      <c r="AG95" s="3126"/>
      <c r="AH95" s="3126"/>
      <c r="AI95" s="3126"/>
      <c r="AJ95" s="3126"/>
      <c r="AK95" s="2809"/>
      <c r="AL95" s="2785"/>
      <c r="AM95" s="2785"/>
      <c r="AN95" s="2776"/>
    </row>
    <row r="96" spans="1:40" ht="83.25" customHeight="1" x14ac:dyDescent="0.2">
      <c r="A96" s="506"/>
      <c r="B96" s="507"/>
      <c r="C96" s="530"/>
      <c r="D96" s="531"/>
      <c r="E96" s="530"/>
      <c r="F96" s="531"/>
      <c r="G96" s="3122"/>
      <c r="H96" s="3097"/>
      <c r="I96" s="2056"/>
      <c r="J96" s="3123"/>
      <c r="K96" s="547"/>
      <c r="L96" s="3110"/>
      <c r="M96" s="3097"/>
      <c r="N96" s="2466"/>
      <c r="O96" s="3130"/>
      <c r="P96" s="3055"/>
      <c r="Q96" s="2185"/>
      <c r="R96" s="573" t="s">
        <v>497</v>
      </c>
      <c r="S96" s="571">
        <v>12000000</v>
      </c>
      <c r="T96" s="3066"/>
      <c r="U96" s="3066"/>
      <c r="V96" s="2809"/>
      <c r="W96" s="2809"/>
      <c r="X96" s="2504"/>
      <c r="Y96" s="3126"/>
      <c r="Z96" s="3126"/>
      <c r="AA96" s="3126"/>
      <c r="AB96" s="3126"/>
      <c r="AC96" s="3126"/>
      <c r="AD96" s="3126"/>
      <c r="AE96" s="3126"/>
      <c r="AF96" s="3126"/>
      <c r="AG96" s="3126"/>
      <c r="AH96" s="3126"/>
      <c r="AI96" s="3126"/>
      <c r="AJ96" s="3126"/>
      <c r="AK96" s="2809"/>
      <c r="AL96" s="2785"/>
      <c r="AM96" s="2785"/>
      <c r="AN96" s="2776"/>
    </row>
    <row r="97" spans="1:40" ht="53.25" customHeight="1" x14ac:dyDescent="0.2">
      <c r="A97" s="506"/>
      <c r="B97" s="507"/>
      <c r="C97" s="530"/>
      <c r="D97" s="531"/>
      <c r="E97" s="530"/>
      <c r="F97" s="531"/>
      <c r="G97" s="3122"/>
      <c r="H97" s="3097"/>
      <c r="I97" s="2056"/>
      <c r="J97" s="3123"/>
      <c r="K97" s="547"/>
      <c r="L97" s="3110"/>
      <c r="M97" s="3097"/>
      <c r="N97" s="2466"/>
      <c r="O97" s="3130"/>
      <c r="P97" s="3055"/>
      <c r="Q97" s="2089"/>
      <c r="R97" s="561" t="s">
        <v>498</v>
      </c>
      <c r="S97" s="571">
        <v>12000000</v>
      </c>
      <c r="T97" s="3066"/>
      <c r="U97" s="3066"/>
      <c r="V97" s="2809"/>
      <c r="W97" s="2809"/>
      <c r="X97" s="2504"/>
      <c r="Y97" s="3126"/>
      <c r="Z97" s="3126"/>
      <c r="AA97" s="3126"/>
      <c r="AB97" s="3126"/>
      <c r="AC97" s="3126"/>
      <c r="AD97" s="3126"/>
      <c r="AE97" s="3126"/>
      <c r="AF97" s="3126"/>
      <c r="AG97" s="3126"/>
      <c r="AH97" s="3126"/>
      <c r="AI97" s="3126"/>
      <c r="AJ97" s="3126"/>
      <c r="AK97" s="2809"/>
      <c r="AL97" s="2785"/>
      <c r="AM97" s="2785"/>
      <c r="AN97" s="2776"/>
    </row>
    <row r="98" spans="1:40" ht="93.75" customHeight="1" x14ac:dyDescent="0.2">
      <c r="A98" s="506"/>
      <c r="B98" s="507"/>
      <c r="C98" s="530"/>
      <c r="D98" s="531"/>
      <c r="E98" s="530"/>
      <c r="F98" s="531"/>
      <c r="G98" s="3122"/>
      <c r="H98" s="3097"/>
      <c r="I98" s="2056"/>
      <c r="J98" s="3123"/>
      <c r="K98" s="547"/>
      <c r="L98" s="3110"/>
      <c r="M98" s="3097"/>
      <c r="N98" s="2466"/>
      <c r="O98" s="3130"/>
      <c r="P98" s="3055"/>
      <c r="Q98" s="2088" t="s">
        <v>499</v>
      </c>
      <c r="R98" s="574" t="s">
        <v>500</v>
      </c>
      <c r="S98" s="575">
        <v>290060000</v>
      </c>
      <c r="T98" s="3066"/>
      <c r="U98" s="3066"/>
      <c r="V98" s="2809"/>
      <c r="W98" s="2809"/>
      <c r="X98" s="2504"/>
      <c r="Y98" s="3126"/>
      <c r="Z98" s="3126"/>
      <c r="AA98" s="3126"/>
      <c r="AB98" s="3126"/>
      <c r="AC98" s="3126"/>
      <c r="AD98" s="3126"/>
      <c r="AE98" s="3126"/>
      <c r="AF98" s="3126"/>
      <c r="AG98" s="3126"/>
      <c r="AH98" s="3126"/>
      <c r="AI98" s="3126"/>
      <c r="AJ98" s="3126"/>
      <c r="AK98" s="2809"/>
      <c r="AL98" s="2785"/>
      <c r="AM98" s="2785"/>
      <c r="AN98" s="2776"/>
    </row>
    <row r="99" spans="1:40" ht="101.25" customHeight="1" x14ac:dyDescent="0.2">
      <c r="A99" s="506"/>
      <c r="B99" s="507"/>
      <c r="C99" s="530"/>
      <c r="D99" s="531"/>
      <c r="E99" s="530"/>
      <c r="F99" s="531"/>
      <c r="G99" s="3122"/>
      <c r="H99" s="3097"/>
      <c r="I99" s="2056"/>
      <c r="J99" s="3123"/>
      <c r="K99" s="547"/>
      <c r="L99" s="3110"/>
      <c r="M99" s="3097"/>
      <c r="N99" s="2466"/>
      <c r="O99" s="3130"/>
      <c r="P99" s="3055"/>
      <c r="Q99" s="2185"/>
      <c r="R99" s="574" t="s">
        <v>501</v>
      </c>
      <c r="S99" s="575">
        <f>51000000+170000000</f>
        <v>221000000</v>
      </c>
      <c r="T99" s="3066"/>
      <c r="U99" s="3066"/>
      <c r="V99" s="2809"/>
      <c r="W99" s="2809"/>
      <c r="X99" s="2504"/>
      <c r="Y99" s="3126"/>
      <c r="Z99" s="3126"/>
      <c r="AA99" s="3126"/>
      <c r="AB99" s="3126"/>
      <c r="AC99" s="3126"/>
      <c r="AD99" s="3126"/>
      <c r="AE99" s="3126"/>
      <c r="AF99" s="3126"/>
      <c r="AG99" s="3126"/>
      <c r="AH99" s="3126"/>
      <c r="AI99" s="3126"/>
      <c r="AJ99" s="3126"/>
      <c r="AK99" s="2809"/>
      <c r="AL99" s="2785"/>
      <c r="AM99" s="2785"/>
      <c r="AN99" s="2776"/>
    </row>
    <row r="100" spans="1:40" ht="51.75" customHeight="1" x14ac:dyDescent="0.2">
      <c r="A100" s="506"/>
      <c r="B100" s="507"/>
      <c r="C100" s="530"/>
      <c r="D100" s="531"/>
      <c r="E100" s="530"/>
      <c r="F100" s="531"/>
      <c r="G100" s="3122"/>
      <c r="H100" s="3097"/>
      <c r="I100" s="2056"/>
      <c r="J100" s="3123"/>
      <c r="K100" s="547"/>
      <c r="L100" s="3110"/>
      <c r="M100" s="3097"/>
      <c r="N100" s="2466"/>
      <c r="O100" s="3130"/>
      <c r="P100" s="3055"/>
      <c r="Q100" s="2185"/>
      <c r="R100" s="574" t="s">
        <v>502</v>
      </c>
      <c r="S100" s="575">
        <v>30000000</v>
      </c>
      <c r="T100" s="3066"/>
      <c r="U100" s="3066"/>
      <c r="V100" s="2809"/>
      <c r="W100" s="2809"/>
      <c r="X100" s="2504"/>
      <c r="Y100" s="3126"/>
      <c r="Z100" s="3126"/>
      <c r="AA100" s="3126"/>
      <c r="AB100" s="3126"/>
      <c r="AC100" s="3126"/>
      <c r="AD100" s="3126"/>
      <c r="AE100" s="3126"/>
      <c r="AF100" s="3126"/>
      <c r="AG100" s="3126"/>
      <c r="AH100" s="3126"/>
      <c r="AI100" s="3126"/>
      <c r="AJ100" s="3126"/>
      <c r="AK100" s="2809"/>
      <c r="AL100" s="2785"/>
      <c r="AM100" s="2785"/>
      <c r="AN100" s="2776"/>
    </row>
    <row r="101" spans="1:40" ht="70.5" customHeight="1" x14ac:dyDescent="0.2">
      <c r="A101" s="506"/>
      <c r="B101" s="507"/>
      <c r="C101" s="530"/>
      <c r="D101" s="531"/>
      <c r="E101" s="530"/>
      <c r="F101" s="531"/>
      <c r="G101" s="3122"/>
      <c r="H101" s="3097"/>
      <c r="I101" s="2056"/>
      <c r="J101" s="3123"/>
      <c r="K101" s="547"/>
      <c r="L101" s="3110"/>
      <c r="M101" s="3097"/>
      <c r="N101" s="2466"/>
      <c r="O101" s="3130"/>
      <c r="P101" s="3055"/>
      <c r="Q101" s="2089"/>
      <c r="R101" s="574" t="s">
        <v>503</v>
      </c>
      <c r="S101" s="575">
        <v>20000000</v>
      </c>
      <c r="T101" s="3067"/>
      <c r="U101" s="3067"/>
      <c r="V101" s="2810"/>
      <c r="W101" s="2810"/>
      <c r="X101" s="2504"/>
      <c r="Y101" s="3126"/>
      <c r="Z101" s="3126"/>
      <c r="AA101" s="3126"/>
      <c r="AB101" s="3126"/>
      <c r="AC101" s="3126"/>
      <c r="AD101" s="3126"/>
      <c r="AE101" s="3126"/>
      <c r="AF101" s="3126"/>
      <c r="AG101" s="3126"/>
      <c r="AH101" s="3126"/>
      <c r="AI101" s="3126"/>
      <c r="AJ101" s="3126"/>
      <c r="AK101" s="2810"/>
      <c r="AL101" s="2785"/>
      <c r="AM101" s="2785"/>
      <c r="AN101" s="2776"/>
    </row>
    <row r="102" spans="1:40" ht="66" customHeight="1" x14ac:dyDescent="0.2">
      <c r="A102" s="506"/>
      <c r="B102" s="507"/>
      <c r="C102" s="530"/>
      <c r="D102" s="531"/>
      <c r="E102" s="530"/>
      <c r="F102" s="531"/>
      <c r="G102" s="3122">
        <v>192</v>
      </c>
      <c r="H102" s="3058" t="s">
        <v>504</v>
      </c>
      <c r="I102" s="2250" t="s">
        <v>505</v>
      </c>
      <c r="J102" s="3127">
        <v>1</v>
      </c>
      <c r="K102" s="3068" t="s">
        <v>506</v>
      </c>
      <c r="L102" s="3111" t="s">
        <v>507</v>
      </c>
      <c r="M102" s="3058" t="s">
        <v>508</v>
      </c>
      <c r="N102" s="2488">
        <f>SUM(S102:S105)/O102</f>
        <v>1</v>
      </c>
      <c r="O102" s="2489">
        <f>SUM(S102:S105)</f>
        <v>80000000</v>
      </c>
      <c r="P102" s="3097" t="s">
        <v>509</v>
      </c>
      <c r="Q102" s="2088" t="s">
        <v>510</v>
      </c>
      <c r="R102" s="573" t="s">
        <v>511</v>
      </c>
      <c r="S102" s="420">
        <v>15000000</v>
      </c>
      <c r="T102" s="3066" t="s">
        <v>427</v>
      </c>
      <c r="U102" s="3066" t="s">
        <v>268</v>
      </c>
      <c r="V102" s="3131">
        <v>877</v>
      </c>
      <c r="W102" s="3131">
        <v>701</v>
      </c>
      <c r="X102" s="2781"/>
      <c r="Y102" s="2781"/>
      <c r="Z102" s="2781"/>
      <c r="AA102" s="2781"/>
      <c r="AB102" s="2781"/>
      <c r="AC102" s="2781"/>
      <c r="AD102" s="2781"/>
      <c r="AE102" s="2781"/>
      <c r="AF102" s="2781"/>
      <c r="AG102" s="2781"/>
      <c r="AH102" s="2781"/>
      <c r="AI102" s="2781"/>
      <c r="AJ102" s="2781"/>
      <c r="AK102" s="2808">
        <f>V102+W102</f>
        <v>1578</v>
      </c>
      <c r="AL102" s="3102">
        <v>43102</v>
      </c>
      <c r="AM102" s="3102">
        <v>43465</v>
      </c>
      <c r="AN102" s="2776" t="s">
        <v>358</v>
      </c>
    </row>
    <row r="103" spans="1:40" ht="52.5" customHeight="1" x14ac:dyDescent="0.2">
      <c r="A103" s="506"/>
      <c r="B103" s="507"/>
      <c r="C103" s="530"/>
      <c r="D103" s="531"/>
      <c r="E103" s="530"/>
      <c r="F103" s="531"/>
      <c r="G103" s="3122"/>
      <c r="H103" s="3055"/>
      <c r="I103" s="3077"/>
      <c r="J103" s="3127"/>
      <c r="K103" s="3069"/>
      <c r="L103" s="3110"/>
      <c r="M103" s="3055"/>
      <c r="N103" s="2488"/>
      <c r="O103" s="2489"/>
      <c r="P103" s="3097"/>
      <c r="Q103" s="2185"/>
      <c r="R103" s="574" t="s">
        <v>512</v>
      </c>
      <c r="S103" s="420">
        <v>17000000</v>
      </c>
      <c r="T103" s="3066"/>
      <c r="U103" s="3066"/>
      <c r="V103" s="3131"/>
      <c r="W103" s="3131"/>
      <c r="X103" s="3126"/>
      <c r="Y103" s="3126"/>
      <c r="Z103" s="3126"/>
      <c r="AA103" s="3126"/>
      <c r="AB103" s="3126"/>
      <c r="AC103" s="3126"/>
      <c r="AD103" s="3126"/>
      <c r="AE103" s="3126"/>
      <c r="AF103" s="3126"/>
      <c r="AG103" s="3126"/>
      <c r="AH103" s="3126"/>
      <c r="AI103" s="3126"/>
      <c r="AJ103" s="3126"/>
      <c r="AK103" s="2809"/>
      <c r="AL103" s="3102"/>
      <c r="AM103" s="3102"/>
      <c r="AN103" s="2776"/>
    </row>
    <row r="104" spans="1:40" ht="53.25" customHeight="1" x14ac:dyDescent="0.2">
      <c r="A104" s="506"/>
      <c r="B104" s="507"/>
      <c r="C104" s="530"/>
      <c r="D104" s="531"/>
      <c r="E104" s="530"/>
      <c r="F104" s="531"/>
      <c r="G104" s="3122"/>
      <c r="H104" s="3055"/>
      <c r="I104" s="3077"/>
      <c r="J104" s="3127"/>
      <c r="K104" s="3069"/>
      <c r="L104" s="3110"/>
      <c r="M104" s="3055"/>
      <c r="N104" s="2488"/>
      <c r="O104" s="2489"/>
      <c r="P104" s="3097"/>
      <c r="Q104" s="2185"/>
      <c r="R104" s="561" t="s">
        <v>513</v>
      </c>
      <c r="S104" s="420">
        <v>10000000</v>
      </c>
      <c r="T104" s="3066"/>
      <c r="U104" s="3066"/>
      <c r="V104" s="3131"/>
      <c r="W104" s="3131"/>
      <c r="X104" s="3126"/>
      <c r="Y104" s="3126"/>
      <c r="Z104" s="3126"/>
      <c r="AA104" s="3126"/>
      <c r="AB104" s="3126"/>
      <c r="AC104" s="3126"/>
      <c r="AD104" s="3126"/>
      <c r="AE104" s="3126"/>
      <c r="AF104" s="3126"/>
      <c r="AG104" s="3126"/>
      <c r="AH104" s="3126"/>
      <c r="AI104" s="3126"/>
      <c r="AJ104" s="3126"/>
      <c r="AK104" s="2809"/>
      <c r="AL104" s="3102"/>
      <c r="AM104" s="3102"/>
      <c r="AN104" s="2776"/>
    </row>
    <row r="105" spans="1:40" ht="49.5" customHeight="1" x14ac:dyDescent="0.2">
      <c r="A105" s="506"/>
      <c r="B105" s="507"/>
      <c r="C105" s="530"/>
      <c r="D105" s="531"/>
      <c r="E105" s="576"/>
      <c r="F105" s="531"/>
      <c r="G105" s="3122"/>
      <c r="H105" s="3056"/>
      <c r="I105" s="3106"/>
      <c r="J105" s="3127"/>
      <c r="K105" s="3070"/>
      <c r="L105" s="3128"/>
      <c r="M105" s="3056"/>
      <c r="N105" s="2488"/>
      <c r="O105" s="2489"/>
      <c r="P105" s="3097"/>
      <c r="Q105" s="2089"/>
      <c r="R105" s="683" t="s">
        <v>514</v>
      </c>
      <c r="S105" s="420">
        <v>38000000</v>
      </c>
      <c r="T105" s="3067"/>
      <c r="U105" s="3067"/>
      <c r="V105" s="3132"/>
      <c r="W105" s="3132"/>
      <c r="X105" s="3126"/>
      <c r="Y105" s="3126"/>
      <c r="Z105" s="3126"/>
      <c r="AA105" s="3126"/>
      <c r="AB105" s="3126"/>
      <c r="AC105" s="3126"/>
      <c r="AD105" s="3126"/>
      <c r="AE105" s="3126"/>
      <c r="AF105" s="3126"/>
      <c r="AG105" s="3126"/>
      <c r="AH105" s="3126"/>
      <c r="AI105" s="3126"/>
      <c r="AJ105" s="3126"/>
      <c r="AK105" s="2810"/>
      <c r="AL105" s="2785"/>
      <c r="AM105" s="2785"/>
      <c r="AN105" s="2776"/>
    </row>
    <row r="106" spans="1:40" ht="15.75" x14ac:dyDescent="0.2">
      <c r="A106" s="506"/>
      <c r="B106" s="507"/>
      <c r="C106" s="530"/>
      <c r="D106" s="531"/>
      <c r="E106" s="577">
        <v>63</v>
      </c>
      <c r="F106" s="578" t="s">
        <v>515</v>
      </c>
      <c r="G106" s="579"/>
      <c r="H106" s="580"/>
      <c r="I106" s="580"/>
      <c r="J106" s="579"/>
      <c r="K106" s="579"/>
      <c r="L106" s="579"/>
      <c r="M106" s="580"/>
      <c r="N106" s="579"/>
      <c r="O106" s="581"/>
      <c r="P106" s="580"/>
      <c r="Q106" s="580"/>
      <c r="R106" s="580"/>
      <c r="S106" s="582"/>
      <c r="T106" s="583"/>
      <c r="U106" s="580"/>
      <c r="V106" s="579"/>
      <c r="W106" s="579"/>
      <c r="X106" s="579"/>
      <c r="Y106" s="579"/>
      <c r="Z106" s="579"/>
      <c r="AA106" s="579"/>
      <c r="AB106" s="579"/>
      <c r="AC106" s="579"/>
      <c r="AD106" s="579"/>
      <c r="AE106" s="579"/>
      <c r="AF106" s="579"/>
      <c r="AG106" s="579"/>
      <c r="AH106" s="579"/>
      <c r="AI106" s="579"/>
      <c r="AJ106" s="579"/>
      <c r="AK106" s="579"/>
      <c r="AL106" s="579"/>
      <c r="AM106" s="579"/>
      <c r="AN106" s="584"/>
    </row>
    <row r="107" spans="1:40" ht="72" customHeight="1" x14ac:dyDescent="0.2">
      <c r="A107" s="506"/>
      <c r="B107" s="507"/>
      <c r="C107" s="530"/>
      <c r="D107" s="531"/>
      <c r="E107" s="534"/>
      <c r="F107" s="531"/>
      <c r="G107" s="3133">
        <v>193</v>
      </c>
      <c r="H107" s="3077" t="s">
        <v>516</v>
      </c>
      <c r="I107" s="3077" t="s">
        <v>517</v>
      </c>
      <c r="J107" s="2375">
        <v>1</v>
      </c>
      <c r="K107" s="3068" t="s">
        <v>518</v>
      </c>
      <c r="L107" s="3110" t="s">
        <v>519</v>
      </c>
      <c r="M107" s="2309" t="s">
        <v>520</v>
      </c>
      <c r="N107" s="2488">
        <f>SUM(S107:S108)/O107</f>
        <v>1</v>
      </c>
      <c r="O107" s="3057">
        <f>SUM(S107:S108)</f>
        <v>30000000</v>
      </c>
      <c r="P107" s="3097" t="s">
        <v>521</v>
      </c>
      <c r="Q107" s="2049" t="s">
        <v>522</v>
      </c>
      <c r="R107" s="561" t="s">
        <v>523</v>
      </c>
      <c r="S107" s="585">
        <v>15000000</v>
      </c>
      <c r="T107" s="3125">
        <v>20</v>
      </c>
      <c r="U107" s="3125" t="s">
        <v>61</v>
      </c>
      <c r="V107" s="2786">
        <v>15</v>
      </c>
      <c r="W107" s="2786">
        <v>17</v>
      </c>
      <c r="X107" s="3135"/>
      <c r="Y107" s="3135"/>
      <c r="Z107" s="3135"/>
      <c r="AA107" s="3135"/>
      <c r="AB107" s="3141">
        <v>32</v>
      </c>
      <c r="AC107" s="3135"/>
      <c r="AD107" s="3137"/>
      <c r="AE107" s="3137"/>
      <c r="AF107" s="3137"/>
      <c r="AG107" s="3137"/>
      <c r="AH107" s="2781"/>
      <c r="AI107" s="2781"/>
      <c r="AJ107" s="2781"/>
      <c r="AK107" s="2786">
        <f>V107+W107</f>
        <v>32</v>
      </c>
      <c r="AL107" s="2601">
        <v>43102</v>
      </c>
      <c r="AM107" s="2601">
        <v>43465</v>
      </c>
      <c r="AN107" s="2776" t="s">
        <v>358</v>
      </c>
    </row>
    <row r="108" spans="1:40" ht="51.75" customHeight="1" x14ac:dyDescent="0.2">
      <c r="A108" s="506"/>
      <c r="B108" s="507"/>
      <c r="C108" s="530"/>
      <c r="D108" s="531"/>
      <c r="E108" s="530"/>
      <c r="F108" s="531"/>
      <c r="G108" s="3134"/>
      <c r="H108" s="3106"/>
      <c r="I108" s="3106"/>
      <c r="J108" s="3123"/>
      <c r="K108" s="3070"/>
      <c r="L108" s="3128"/>
      <c r="M108" s="2310"/>
      <c r="N108" s="2488"/>
      <c r="O108" s="2489"/>
      <c r="P108" s="3097"/>
      <c r="Q108" s="2049"/>
      <c r="R108" s="561" t="s">
        <v>524</v>
      </c>
      <c r="S108" s="411">
        <v>15000000</v>
      </c>
      <c r="T108" s="3125"/>
      <c r="U108" s="3125"/>
      <c r="V108" s="2810"/>
      <c r="W108" s="2810"/>
      <c r="X108" s="3136"/>
      <c r="Y108" s="3136"/>
      <c r="Z108" s="3136"/>
      <c r="AA108" s="3136"/>
      <c r="AB108" s="3142"/>
      <c r="AC108" s="3136"/>
      <c r="AD108" s="3138"/>
      <c r="AE108" s="3138"/>
      <c r="AF108" s="3138"/>
      <c r="AG108" s="3138"/>
      <c r="AH108" s="3126"/>
      <c r="AI108" s="3126"/>
      <c r="AJ108" s="3126"/>
      <c r="AK108" s="2810"/>
      <c r="AL108" s="2603"/>
      <c r="AM108" s="2603"/>
      <c r="AN108" s="2776"/>
    </row>
    <row r="109" spans="1:40" ht="60" customHeight="1" x14ac:dyDescent="0.2">
      <c r="A109" s="506"/>
      <c r="B109" s="507"/>
      <c r="C109" s="530"/>
      <c r="D109" s="531"/>
      <c r="E109" s="530"/>
      <c r="F109" s="531"/>
      <c r="G109" s="3139">
        <v>194</v>
      </c>
      <c r="H109" s="2250" t="s">
        <v>525</v>
      </c>
      <c r="I109" s="3140" t="s">
        <v>526</v>
      </c>
      <c r="J109" s="3123">
        <v>1</v>
      </c>
      <c r="K109" s="3068" t="s">
        <v>527</v>
      </c>
      <c r="L109" s="3111" t="s">
        <v>528</v>
      </c>
      <c r="M109" s="3058" t="s">
        <v>529</v>
      </c>
      <c r="N109" s="2488">
        <f>SUM(S109:S110)/O109</f>
        <v>1</v>
      </c>
      <c r="O109" s="2489">
        <f>SUM(S109:S110)</f>
        <v>70000000</v>
      </c>
      <c r="P109" s="3058" t="s">
        <v>530</v>
      </c>
      <c r="Q109" s="683" t="s">
        <v>531</v>
      </c>
      <c r="R109" s="263" t="s">
        <v>532</v>
      </c>
      <c r="S109" s="287">
        <v>45000000</v>
      </c>
      <c r="T109" s="3125" t="s">
        <v>427</v>
      </c>
      <c r="U109" s="3065" t="s">
        <v>268</v>
      </c>
      <c r="V109" s="2785">
        <v>433</v>
      </c>
      <c r="W109" s="2785">
        <v>476</v>
      </c>
      <c r="X109" s="2781"/>
      <c r="Y109" s="2781"/>
      <c r="Z109" s="2781"/>
      <c r="AA109" s="2781"/>
      <c r="AB109" s="2786">
        <v>909</v>
      </c>
      <c r="AC109" s="2781"/>
      <c r="AD109" s="2781"/>
      <c r="AE109" s="2781"/>
      <c r="AF109" s="2781"/>
      <c r="AG109" s="2781"/>
      <c r="AH109" s="2781"/>
      <c r="AI109" s="2781"/>
      <c r="AJ109" s="2781"/>
      <c r="AK109" s="2786">
        <f>V109+W109</f>
        <v>909</v>
      </c>
      <c r="AL109" s="2601">
        <v>43102</v>
      </c>
      <c r="AM109" s="2601">
        <v>43465</v>
      </c>
      <c r="AN109" s="2776" t="s">
        <v>358</v>
      </c>
    </row>
    <row r="110" spans="1:40" ht="51.75" customHeight="1" x14ac:dyDescent="0.2">
      <c r="A110" s="506"/>
      <c r="B110" s="507"/>
      <c r="C110" s="530"/>
      <c r="D110" s="531"/>
      <c r="E110" s="530"/>
      <c r="F110" s="531"/>
      <c r="G110" s="3133"/>
      <c r="H110" s="3077"/>
      <c r="I110" s="3140"/>
      <c r="J110" s="3123"/>
      <c r="K110" s="3070"/>
      <c r="L110" s="3110"/>
      <c r="M110" s="3055"/>
      <c r="N110" s="2488"/>
      <c r="O110" s="2489"/>
      <c r="P110" s="3056"/>
      <c r="Q110" s="682" t="s">
        <v>533</v>
      </c>
      <c r="R110" s="586" t="s">
        <v>534</v>
      </c>
      <c r="S110" s="420">
        <v>25000000</v>
      </c>
      <c r="T110" s="3125"/>
      <c r="U110" s="3067"/>
      <c r="V110" s="2785"/>
      <c r="W110" s="2785"/>
      <c r="X110" s="3126"/>
      <c r="Y110" s="3126"/>
      <c r="Z110" s="3126"/>
      <c r="AA110" s="3126"/>
      <c r="AB110" s="2809"/>
      <c r="AC110" s="3126"/>
      <c r="AD110" s="3126"/>
      <c r="AE110" s="3126"/>
      <c r="AF110" s="3126"/>
      <c r="AG110" s="3126"/>
      <c r="AH110" s="3126"/>
      <c r="AI110" s="3126"/>
      <c r="AJ110" s="3126"/>
      <c r="AK110" s="2810"/>
      <c r="AL110" s="2603"/>
      <c r="AM110" s="2602"/>
      <c r="AN110" s="2776"/>
    </row>
    <row r="111" spans="1:40" ht="15.75" x14ac:dyDescent="0.2">
      <c r="A111" s="506"/>
      <c r="B111" s="507"/>
      <c r="C111" s="530"/>
      <c r="D111" s="531"/>
      <c r="E111" s="515">
        <v>64</v>
      </c>
      <c r="F111" s="587" t="s">
        <v>535</v>
      </c>
      <c r="G111" s="588"/>
      <c r="H111" s="580"/>
      <c r="I111" s="580"/>
      <c r="J111" s="588"/>
      <c r="K111" s="588"/>
      <c r="L111" s="588"/>
      <c r="M111" s="580"/>
      <c r="N111" s="588"/>
      <c r="O111" s="589"/>
      <c r="P111" s="580"/>
      <c r="Q111" s="580"/>
      <c r="R111" s="580"/>
      <c r="S111" s="582"/>
      <c r="T111" s="583"/>
      <c r="U111" s="583"/>
      <c r="V111" s="588"/>
      <c r="W111" s="588"/>
      <c r="X111" s="588"/>
      <c r="Y111" s="588"/>
      <c r="Z111" s="588"/>
      <c r="AA111" s="588"/>
      <c r="AB111" s="588"/>
      <c r="AC111" s="588"/>
      <c r="AD111" s="588"/>
      <c r="AE111" s="588"/>
      <c r="AF111" s="588"/>
      <c r="AG111" s="588"/>
      <c r="AH111" s="588"/>
      <c r="AI111" s="588"/>
      <c r="AJ111" s="588"/>
      <c r="AK111" s="588"/>
      <c r="AL111" s="588"/>
      <c r="AM111" s="588"/>
      <c r="AN111" s="584"/>
    </row>
    <row r="112" spans="1:40" ht="49.5" customHeight="1" x14ac:dyDescent="0.2">
      <c r="A112" s="506"/>
      <c r="B112" s="507"/>
      <c r="C112" s="530"/>
      <c r="D112" s="531"/>
      <c r="E112" s="514"/>
      <c r="F112" s="507"/>
      <c r="G112" s="3139">
        <v>195</v>
      </c>
      <c r="H112" s="2250" t="s">
        <v>536</v>
      </c>
      <c r="I112" s="3146" t="s">
        <v>537</v>
      </c>
      <c r="J112" s="2242">
        <v>1</v>
      </c>
      <c r="K112" s="3068" t="s">
        <v>538</v>
      </c>
      <c r="L112" s="3111" t="s">
        <v>539</v>
      </c>
      <c r="M112" s="2308" t="s">
        <v>540</v>
      </c>
      <c r="N112" s="2488">
        <f>SUM(S112:S114)/O112</f>
        <v>1</v>
      </c>
      <c r="O112" s="2489">
        <f>SUM(S112:S114)</f>
        <v>90000000</v>
      </c>
      <c r="P112" s="3058" t="s">
        <v>541</v>
      </c>
      <c r="Q112" s="2088" t="s">
        <v>542</v>
      </c>
      <c r="R112" s="683" t="s">
        <v>543</v>
      </c>
      <c r="S112" s="420">
        <v>30200000</v>
      </c>
      <c r="T112" s="3065" t="s">
        <v>427</v>
      </c>
      <c r="U112" s="3065" t="s">
        <v>268</v>
      </c>
      <c r="V112" s="2786">
        <v>6364</v>
      </c>
      <c r="W112" s="2786">
        <v>6844</v>
      </c>
      <c r="X112" s="2781"/>
      <c r="Y112" s="2781"/>
      <c r="Z112" s="2781"/>
      <c r="AA112" s="2781"/>
      <c r="AB112" s="2781"/>
      <c r="AC112" s="2786">
        <v>13208</v>
      </c>
      <c r="AD112" s="2781"/>
      <c r="AE112" s="2781"/>
      <c r="AF112" s="2781"/>
      <c r="AG112" s="2781"/>
      <c r="AH112" s="2781"/>
      <c r="AI112" s="2781"/>
      <c r="AJ112" s="2781"/>
      <c r="AK112" s="2786">
        <f>V112+W112</f>
        <v>13208</v>
      </c>
      <c r="AL112" s="3143">
        <v>43102</v>
      </c>
      <c r="AM112" s="2601">
        <v>43465</v>
      </c>
      <c r="AN112" s="2776" t="s">
        <v>358</v>
      </c>
    </row>
    <row r="113" spans="1:256" ht="63.75" customHeight="1" x14ac:dyDescent="0.2">
      <c r="A113" s="506"/>
      <c r="B113" s="507"/>
      <c r="C113" s="530"/>
      <c r="D113" s="531"/>
      <c r="E113" s="514"/>
      <c r="F113" s="507"/>
      <c r="G113" s="3133"/>
      <c r="H113" s="3077"/>
      <c r="I113" s="3147"/>
      <c r="J113" s="2242"/>
      <c r="K113" s="3069"/>
      <c r="L113" s="3110"/>
      <c r="M113" s="2309"/>
      <c r="N113" s="2488"/>
      <c r="O113" s="2489"/>
      <c r="P113" s="3055"/>
      <c r="Q113" s="2185"/>
      <c r="R113" s="683" t="s">
        <v>544</v>
      </c>
      <c r="S113" s="420">
        <v>51000000</v>
      </c>
      <c r="T113" s="3066"/>
      <c r="U113" s="3066"/>
      <c r="V113" s="2809"/>
      <c r="W113" s="2809"/>
      <c r="X113" s="3126"/>
      <c r="Y113" s="3126"/>
      <c r="Z113" s="3126"/>
      <c r="AA113" s="3126"/>
      <c r="AB113" s="3126"/>
      <c r="AC113" s="2809"/>
      <c r="AD113" s="3126"/>
      <c r="AE113" s="3126"/>
      <c r="AF113" s="3126"/>
      <c r="AG113" s="3126"/>
      <c r="AH113" s="3126"/>
      <c r="AI113" s="3126"/>
      <c r="AJ113" s="3126"/>
      <c r="AK113" s="2809"/>
      <c r="AL113" s="3144"/>
      <c r="AM113" s="2602"/>
      <c r="AN113" s="2776"/>
    </row>
    <row r="114" spans="1:256" ht="33.75" customHeight="1" x14ac:dyDescent="0.2">
      <c r="A114" s="506"/>
      <c r="B114" s="507"/>
      <c r="C114" s="530"/>
      <c r="D114" s="531"/>
      <c r="E114" s="521"/>
      <c r="F114" s="522"/>
      <c r="G114" s="3134"/>
      <c r="H114" s="3106"/>
      <c r="I114" s="3148"/>
      <c r="J114" s="2242"/>
      <c r="K114" s="3070"/>
      <c r="L114" s="3128"/>
      <c r="M114" s="2310"/>
      <c r="N114" s="2488"/>
      <c r="O114" s="2489"/>
      <c r="P114" s="3056"/>
      <c r="Q114" s="2089"/>
      <c r="R114" s="683" t="s">
        <v>545</v>
      </c>
      <c r="S114" s="420">
        <v>8800000</v>
      </c>
      <c r="T114" s="3067"/>
      <c r="U114" s="3067"/>
      <c r="V114" s="2810"/>
      <c r="W114" s="2810"/>
      <c r="X114" s="3126"/>
      <c r="Y114" s="3126"/>
      <c r="Z114" s="3126"/>
      <c r="AA114" s="3126"/>
      <c r="AB114" s="3126"/>
      <c r="AC114" s="2809"/>
      <c r="AD114" s="3126"/>
      <c r="AE114" s="3126"/>
      <c r="AF114" s="3126"/>
      <c r="AG114" s="3126"/>
      <c r="AH114" s="3126"/>
      <c r="AI114" s="3126"/>
      <c r="AJ114" s="3126"/>
      <c r="AK114" s="2810"/>
      <c r="AL114" s="3145"/>
      <c r="AM114" s="2603"/>
      <c r="AN114" s="2776"/>
    </row>
    <row r="115" spans="1:256" ht="15.75" x14ac:dyDescent="0.2">
      <c r="A115" s="506"/>
      <c r="B115" s="507"/>
      <c r="C115" s="530"/>
      <c r="D115" s="531"/>
      <c r="E115" s="557">
        <v>65</v>
      </c>
      <c r="F115" s="578" t="s">
        <v>546</v>
      </c>
      <c r="G115" s="579"/>
      <c r="H115" s="580"/>
      <c r="I115" s="580"/>
      <c r="J115" s="579"/>
      <c r="K115" s="579"/>
      <c r="L115" s="579"/>
      <c r="M115" s="580"/>
      <c r="N115" s="579"/>
      <c r="O115" s="581"/>
      <c r="P115" s="580"/>
      <c r="Q115" s="580"/>
      <c r="R115" s="580"/>
      <c r="S115" s="582"/>
      <c r="T115" s="583"/>
      <c r="U115" s="580"/>
      <c r="V115" s="579"/>
      <c r="W115" s="579"/>
      <c r="X115" s="579"/>
      <c r="Y115" s="579"/>
      <c r="Z115" s="579"/>
      <c r="AA115" s="579"/>
      <c r="AB115" s="579"/>
      <c r="AC115" s="579"/>
      <c r="AD115" s="579"/>
      <c r="AE115" s="579"/>
      <c r="AF115" s="579"/>
      <c r="AG115" s="579"/>
      <c r="AH115" s="579"/>
      <c r="AI115" s="579"/>
      <c r="AJ115" s="579"/>
      <c r="AK115" s="579"/>
      <c r="AL115" s="579"/>
      <c r="AM115" s="579"/>
      <c r="AN115" s="584"/>
    </row>
    <row r="116" spans="1:256" ht="43.5" customHeight="1" x14ac:dyDescent="0.2">
      <c r="A116" s="506"/>
      <c r="B116" s="507"/>
      <c r="C116" s="530"/>
      <c r="D116" s="531"/>
      <c r="E116" s="534"/>
      <c r="F116" s="535"/>
      <c r="G116" s="3139">
        <v>196</v>
      </c>
      <c r="H116" s="2250" t="s">
        <v>547</v>
      </c>
      <c r="I116" s="2250" t="s">
        <v>548</v>
      </c>
      <c r="J116" s="3149">
        <v>1</v>
      </c>
      <c r="K116" s="3068" t="s">
        <v>549</v>
      </c>
      <c r="L116" s="3111" t="s">
        <v>550</v>
      </c>
      <c r="M116" s="3058" t="s">
        <v>551</v>
      </c>
      <c r="N116" s="2488">
        <f>SUM(S116:S118)/O116</f>
        <v>1</v>
      </c>
      <c r="O116" s="2489">
        <f>SUM(S116:S118)</f>
        <v>56400000</v>
      </c>
      <c r="P116" s="3058" t="s">
        <v>552</v>
      </c>
      <c r="Q116" s="2088" t="s">
        <v>553</v>
      </c>
      <c r="R116" s="520" t="s">
        <v>554</v>
      </c>
      <c r="S116" s="549">
        <f>15000000+20120000</f>
        <v>35120000</v>
      </c>
      <c r="T116" s="3098" t="s">
        <v>64</v>
      </c>
      <c r="U116" s="2250" t="s">
        <v>555</v>
      </c>
      <c r="V116" s="3153">
        <v>900</v>
      </c>
      <c r="W116" s="3153">
        <v>1480</v>
      </c>
      <c r="X116" s="3153">
        <v>0</v>
      </c>
      <c r="Y116" s="3153">
        <v>755</v>
      </c>
      <c r="Z116" s="3153">
        <v>1500</v>
      </c>
      <c r="AA116" s="3153">
        <v>95</v>
      </c>
      <c r="AB116" s="3156">
        <v>10</v>
      </c>
      <c r="AC116" s="3156">
        <v>20</v>
      </c>
      <c r="AD116" s="3150"/>
      <c r="AE116" s="3150"/>
      <c r="AF116" s="3150"/>
      <c r="AG116" s="3150"/>
      <c r="AH116" s="3002"/>
      <c r="AI116" s="3002"/>
      <c r="AJ116" s="3160"/>
      <c r="AK116" s="3160">
        <f>V116+W116</f>
        <v>2380</v>
      </c>
      <c r="AL116" s="2601">
        <v>43102</v>
      </c>
      <c r="AM116" s="2601">
        <v>43465</v>
      </c>
      <c r="AN116" s="2776" t="s">
        <v>358</v>
      </c>
    </row>
    <row r="117" spans="1:256" ht="59.25" customHeight="1" x14ac:dyDescent="0.2">
      <c r="A117" s="506"/>
      <c r="B117" s="507"/>
      <c r="C117" s="530"/>
      <c r="D117" s="531"/>
      <c r="E117" s="530"/>
      <c r="F117" s="531"/>
      <c r="G117" s="3133"/>
      <c r="H117" s="3077"/>
      <c r="I117" s="3077"/>
      <c r="J117" s="3149"/>
      <c r="K117" s="3069"/>
      <c r="L117" s="3110"/>
      <c r="M117" s="3055"/>
      <c r="N117" s="2488"/>
      <c r="O117" s="2489"/>
      <c r="P117" s="3055"/>
      <c r="Q117" s="2185"/>
      <c r="R117" s="520" t="s">
        <v>556</v>
      </c>
      <c r="S117" s="549">
        <f>10000000+11280000</f>
        <v>21280000</v>
      </c>
      <c r="T117" s="3099"/>
      <c r="U117" s="3077"/>
      <c r="V117" s="3154"/>
      <c r="W117" s="3154"/>
      <c r="X117" s="3154"/>
      <c r="Y117" s="3154"/>
      <c r="Z117" s="3154"/>
      <c r="AA117" s="3154"/>
      <c r="AB117" s="3157"/>
      <c r="AC117" s="3157"/>
      <c r="AD117" s="3151"/>
      <c r="AE117" s="3151"/>
      <c r="AF117" s="3151"/>
      <c r="AG117" s="3151"/>
      <c r="AH117" s="3159"/>
      <c r="AI117" s="3159"/>
      <c r="AJ117" s="3161"/>
      <c r="AK117" s="3161"/>
      <c r="AL117" s="2602"/>
      <c r="AM117" s="2602"/>
      <c r="AN117" s="2776"/>
    </row>
    <row r="118" spans="1:256" ht="34.5" customHeight="1" x14ac:dyDescent="0.2">
      <c r="A118" s="506"/>
      <c r="B118" s="507"/>
      <c r="C118" s="530"/>
      <c r="D118" s="531"/>
      <c r="E118" s="530"/>
      <c r="F118" s="531"/>
      <c r="G118" s="3133"/>
      <c r="H118" s="3077"/>
      <c r="I118" s="3077"/>
      <c r="J118" s="3149"/>
      <c r="K118" s="3070"/>
      <c r="L118" s="3110"/>
      <c r="M118" s="3055"/>
      <c r="N118" s="2488"/>
      <c r="O118" s="2489"/>
      <c r="P118" s="3055"/>
      <c r="Q118" s="2185"/>
      <c r="R118" s="520" t="s">
        <v>557</v>
      </c>
      <c r="S118" s="549">
        <f>1000000-1000000</f>
        <v>0</v>
      </c>
      <c r="T118" s="3099"/>
      <c r="U118" s="3106"/>
      <c r="V118" s="3155"/>
      <c r="W118" s="3155"/>
      <c r="X118" s="3155"/>
      <c r="Y118" s="3155"/>
      <c r="Z118" s="3155"/>
      <c r="AA118" s="3155"/>
      <c r="AB118" s="3158"/>
      <c r="AC118" s="3158"/>
      <c r="AD118" s="3152"/>
      <c r="AE118" s="3152"/>
      <c r="AF118" s="3152"/>
      <c r="AG118" s="3152"/>
      <c r="AH118" s="3003"/>
      <c r="AI118" s="3003"/>
      <c r="AJ118" s="3162"/>
      <c r="AK118" s="3162"/>
      <c r="AL118" s="2603"/>
      <c r="AM118" s="2603"/>
      <c r="AN118" s="2776"/>
    </row>
    <row r="119" spans="1:256" ht="15.75" x14ac:dyDescent="0.2">
      <c r="A119" s="506"/>
      <c r="B119" s="507"/>
      <c r="C119" s="530"/>
      <c r="D119" s="531"/>
      <c r="E119" s="590">
        <v>66</v>
      </c>
      <c r="F119" s="578" t="s">
        <v>558</v>
      </c>
      <c r="G119" s="579"/>
      <c r="H119" s="580"/>
      <c r="I119" s="580"/>
      <c r="J119" s="579"/>
      <c r="K119" s="579"/>
      <c r="L119" s="579"/>
      <c r="M119" s="580"/>
      <c r="N119" s="579"/>
      <c r="O119" s="581"/>
      <c r="P119" s="580"/>
      <c r="Q119" s="580"/>
      <c r="R119" s="580"/>
      <c r="S119" s="582"/>
      <c r="T119" s="583"/>
      <c r="U119" s="580"/>
      <c r="V119" s="579"/>
      <c r="W119" s="579"/>
      <c r="X119" s="579"/>
      <c r="Y119" s="579"/>
      <c r="Z119" s="579"/>
      <c r="AA119" s="579"/>
      <c r="AB119" s="579"/>
      <c r="AC119" s="579"/>
      <c r="AD119" s="579"/>
      <c r="AE119" s="579"/>
      <c r="AF119" s="579"/>
      <c r="AG119" s="579"/>
      <c r="AH119" s="579"/>
      <c r="AI119" s="579"/>
      <c r="AJ119" s="579"/>
      <c r="AK119" s="579"/>
      <c r="AL119" s="579"/>
      <c r="AM119" s="579"/>
      <c r="AN119" s="584"/>
    </row>
    <row r="120" spans="1:256" ht="45" customHeight="1" x14ac:dyDescent="0.2">
      <c r="A120" s="506"/>
      <c r="B120" s="507"/>
      <c r="C120" s="530"/>
      <c r="D120" s="531"/>
      <c r="E120" s="543"/>
      <c r="F120" s="553"/>
      <c r="G120" s="3139">
        <v>197</v>
      </c>
      <c r="H120" s="2098" t="s">
        <v>559</v>
      </c>
      <c r="I120" s="2250" t="s">
        <v>560</v>
      </c>
      <c r="J120" s="2242">
        <v>1</v>
      </c>
      <c r="K120" s="545"/>
      <c r="L120" s="3110" t="s">
        <v>561</v>
      </c>
      <c r="M120" s="3058" t="s">
        <v>562</v>
      </c>
      <c r="N120" s="2772">
        <f>SUM(S120:S125)/O120</f>
        <v>1</v>
      </c>
      <c r="O120" s="2489">
        <f>SUM(S120:S125)</f>
        <v>69300000</v>
      </c>
      <c r="P120" s="3058" t="s">
        <v>563</v>
      </c>
      <c r="Q120" s="2049" t="s">
        <v>564</v>
      </c>
      <c r="R120" s="683" t="s">
        <v>565</v>
      </c>
      <c r="S120" s="420">
        <v>5000000</v>
      </c>
      <c r="T120" s="591"/>
      <c r="U120" s="3065" t="s">
        <v>555</v>
      </c>
      <c r="V120" s="2786">
        <v>142909</v>
      </c>
      <c r="W120" s="2044"/>
      <c r="X120" s="2044">
        <v>43252</v>
      </c>
      <c r="Y120" s="2044">
        <v>46770</v>
      </c>
      <c r="Z120" s="2044">
        <v>69532</v>
      </c>
      <c r="AA120" s="2044">
        <v>103</v>
      </c>
      <c r="AB120" s="2786">
        <v>215</v>
      </c>
      <c r="AC120" s="2044"/>
      <c r="AD120" s="2044">
        <v>12</v>
      </c>
      <c r="AE120" s="2979"/>
      <c r="AF120" s="2044"/>
      <c r="AG120" s="2044"/>
      <c r="AH120" s="2044"/>
      <c r="AI120" s="2044"/>
      <c r="AJ120" s="2044"/>
      <c r="AK120" s="2786">
        <f>SUM(V120)</f>
        <v>142909</v>
      </c>
      <c r="AL120" s="3102">
        <v>43102</v>
      </c>
      <c r="AM120" s="3102">
        <v>43465</v>
      </c>
      <c r="AN120" s="2776" t="s">
        <v>358</v>
      </c>
    </row>
    <row r="121" spans="1:256" ht="51" customHeight="1" x14ac:dyDescent="0.2">
      <c r="A121" s="506"/>
      <c r="B121" s="507"/>
      <c r="C121" s="530"/>
      <c r="D121" s="531"/>
      <c r="E121" s="543"/>
      <c r="F121" s="553"/>
      <c r="G121" s="3133"/>
      <c r="H121" s="2327"/>
      <c r="I121" s="3077"/>
      <c r="J121" s="2242"/>
      <c r="K121" s="547"/>
      <c r="L121" s="3110"/>
      <c r="M121" s="3055"/>
      <c r="N121" s="2466"/>
      <c r="O121" s="2489"/>
      <c r="P121" s="3055"/>
      <c r="Q121" s="2049"/>
      <c r="R121" s="683" t="s">
        <v>566</v>
      </c>
      <c r="S121" s="420">
        <v>2000000</v>
      </c>
      <c r="T121" s="592"/>
      <c r="U121" s="3066"/>
      <c r="V121" s="2809"/>
      <c r="W121" s="2600"/>
      <c r="X121" s="2600"/>
      <c r="Y121" s="2600"/>
      <c r="Z121" s="2600"/>
      <c r="AA121" s="2600"/>
      <c r="AB121" s="2809"/>
      <c r="AC121" s="2600"/>
      <c r="AD121" s="2600"/>
      <c r="AE121" s="2980"/>
      <c r="AF121" s="2600"/>
      <c r="AG121" s="2600"/>
      <c r="AH121" s="2600"/>
      <c r="AI121" s="2600"/>
      <c r="AJ121" s="2600"/>
      <c r="AK121" s="2809"/>
      <c r="AL121" s="3102"/>
      <c r="AM121" s="3102"/>
      <c r="AN121" s="2776"/>
    </row>
    <row r="122" spans="1:256" ht="75" customHeight="1" x14ac:dyDescent="0.2">
      <c r="A122" s="506"/>
      <c r="B122" s="507"/>
      <c r="C122" s="530"/>
      <c r="D122" s="531"/>
      <c r="E122" s="543"/>
      <c r="F122" s="553"/>
      <c r="G122" s="3133"/>
      <c r="H122" s="2327"/>
      <c r="I122" s="3077"/>
      <c r="J122" s="2242"/>
      <c r="K122" s="547"/>
      <c r="L122" s="3110"/>
      <c r="M122" s="3055"/>
      <c r="N122" s="2466"/>
      <c r="O122" s="2489"/>
      <c r="P122" s="3055"/>
      <c r="Q122" s="2185" t="s">
        <v>567</v>
      </c>
      <c r="R122" s="593" t="s">
        <v>568</v>
      </c>
      <c r="S122" s="549">
        <v>880000</v>
      </c>
      <c r="T122" s="691">
        <v>20</v>
      </c>
      <c r="U122" s="3066"/>
      <c r="V122" s="2809"/>
      <c r="W122" s="2600"/>
      <c r="X122" s="2600"/>
      <c r="Y122" s="2600"/>
      <c r="Z122" s="2600"/>
      <c r="AA122" s="2600"/>
      <c r="AB122" s="2809"/>
      <c r="AC122" s="2600"/>
      <c r="AD122" s="2600"/>
      <c r="AE122" s="2980"/>
      <c r="AF122" s="2600"/>
      <c r="AG122" s="2600"/>
      <c r="AH122" s="2600"/>
      <c r="AI122" s="2600"/>
      <c r="AJ122" s="2600"/>
      <c r="AK122" s="2809"/>
      <c r="AL122" s="2785"/>
      <c r="AM122" s="2785"/>
      <c r="AN122" s="2776"/>
    </row>
    <row r="123" spans="1:256" ht="59.25" customHeight="1" x14ac:dyDescent="0.2">
      <c r="A123" s="506"/>
      <c r="B123" s="507"/>
      <c r="C123" s="530"/>
      <c r="D123" s="531"/>
      <c r="E123" s="543"/>
      <c r="F123" s="553"/>
      <c r="G123" s="3133"/>
      <c r="H123" s="2327"/>
      <c r="I123" s="3077"/>
      <c r="J123" s="2242"/>
      <c r="K123" s="547" t="s">
        <v>569</v>
      </c>
      <c r="L123" s="3110"/>
      <c r="M123" s="3055"/>
      <c r="N123" s="2466"/>
      <c r="O123" s="2489"/>
      <c r="P123" s="3055"/>
      <c r="Q123" s="2185"/>
      <c r="R123" s="561" t="s">
        <v>570</v>
      </c>
      <c r="S123" s="549">
        <v>32120000</v>
      </c>
      <c r="T123" s="691">
        <v>88</v>
      </c>
      <c r="U123" s="3066"/>
      <c r="V123" s="2809"/>
      <c r="W123" s="2600"/>
      <c r="X123" s="2600"/>
      <c r="Y123" s="2600"/>
      <c r="Z123" s="2600"/>
      <c r="AA123" s="2600"/>
      <c r="AB123" s="2809"/>
      <c r="AC123" s="2600"/>
      <c r="AD123" s="2600"/>
      <c r="AE123" s="2980"/>
      <c r="AF123" s="2600"/>
      <c r="AG123" s="2600"/>
      <c r="AH123" s="2600"/>
      <c r="AI123" s="2600"/>
      <c r="AJ123" s="2600"/>
      <c r="AK123" s="2809"/>
      <c r="AL123" s="2785"/>
      <c r="AM123" s="2785"/>
      <c r="AN123" s="2776"/>
    </row>
    <row r="124" spans="1:256" ht="72" customHeight="1" x14ac:dyDescent="0.2">
      <c r="A124" s="506"/>
      <c r="B124" s="507"/>
      <c r="C124" s="530"/>
      <c r="D124" s="531"/>
      <c r="E124" s="543"/>
      <c r="F124" s="553"/>
      <c r="G124" s="3133"/>
      <c r="H124" s="2327"/>
      <c r="I124" s="3077"/>
      <c r="J124" s="2242"/>
      <c r="K124" s="547" t="s">
        <v>571</v>
      </c>
      <c r="L124" s="3110"/>
      <c r="M124" s="3055"/>
      <c r="N124" s="2466"/>
      <c r="O124" s="2489"/>
      <c r="P124" s="3055"/>
      <c r="Q124" s="2185"/>
      <c r="R124" s="594" t="s">
        <v>572</v>
      </c>
      <c r="S124" s="549">
        <f>2500000+12300000</f>
        <v>14800000</v>
      </c>
      <c r="T124" s="592"/>
      <c r="U124" s="3066"/>
      <c r="V124" s="2809"/>
      <c r="W124" s="2600"/>
      <c r="X124" s="2600"/>
      <c r="Y124" s="2600"/>
      <c r="Z124" s="2600"/>
      <c r="AA124" s="2600"/>
      <c r="AB124" s="2809"/>
      <c r="AC124" s="2600"/>
      <c r="AD124" s="2600"/>
      <c r="AE124" s="2980"/>
      <c r="AF124" s="2600"/>
      <c r="AG124" s="2600"/>
      <c r="AH124" s="2600"/>
      <c r="AI124" s="2600"/>
      <c r="AJ124" s="2600"/>
      <c r="AK124" s="2809"/>
      <c r="AL124" s="2785"/>
      <c r="AM124" s="2785"/>
      <c r="AN124" s="2776"/>
    </row>
    <row r="125" spans="1:256" ht="72" customHeight="1" x14ac:dyDescent="0.2">
      <c r="A125" s="506"/>
      <c r="B125" s="507"/>
      <c r="C125" s="576"/>
      <c r="D125" s="595"/>
      <c r="E125" s="596"/>
      <c r="F125" s="597"/>
      <c r="G125" s="3134"/>
      <c r="H125" s="2099"/>
      <c r="I125" s="3106"/>
      <c r="J125" s="2242"/>
      <c r="K125" s="555"/>
      <c r="L125" s="3128"/>
      <c r="M125" s="3056"/>
      <c r="N125" s="2773"/>
      <c r="O125" s="2489"/>
      <c r="P125" s="3056"/>
      <c r="Q125" s="2089"/>
      <c r="R125" s="594" t="s">
        <v>573</v>
      </c>
      <c r="S125" s="549">
        <f>2500000+12000000</f>
        <v>14500000</v>
      </c>
      <c r="T125" s="598"/>
      <c r="U125" s="3067"/>
      <c r="V125" s="2810"/>
      <c r="W125" s="2068"/>
      <c r="X125" s="2068"/>
      <c r="Y125" s="2068"/>
      <c r="Z125" s="2068"/>
      <c r="AA125" s="2068"/>
      <c r="AB125" s="2810"/>
      <c r="AC125" s="2068"/>
      <c r="AD125" s="2068"/>
      <c r="AE125" s="2983"/>
      <c r="AF125" s="2068"/>
      <c r="AG125" s="2068"/>
      <c r="AH125" s="2068"/>
      <c r="AI125" s="2068"/>
      <c r="AJ125" s="2068"/>
      <c r="AK125" s="2810"/>
      <c r="AL125" s="2785"/>
      <c r="AM125" s="2785"/>
      <c r="AN125" s="2776"/>
    </row>
    <row r="126" spans="1:256" ht="15.75" x14ac:dyDescent="0.2">
      <c r="A126" s="506"/>
      <c r="B126" s="507"/>
      <c r="C126" s="599">
        <v>19</v>
      </c>
      <c r="D126" s="509" t="s">
        <v>574</v>
      </c>
      <c r="E126" s="565"/>
      <c r="F126" s="565"/>
      <c r="G126" s="565"/>
      <c r="H126" s="525"/>
      <c r="I126" s="525"/>
      <c r="J126" s="565"/>
      <c r="K126" s="565"/>
      <c r="L126" s="565"/>
      <c r="M126" s="525"/>
      <c r="N126" s="565"/>
      <c r="O126" s="566"/>
      <c r="P126" s="525"/>
      <c r="Q126" s="525"/>
      <c r="R126" s="525"/>
      <c r="S126" s="527"/>
      <c r="T126" s="528"/>
      <c r="U126" s="525"/>
      <c r="V126" s="565"/>
      <c r="W126" s="565"/>
      <c r="X126" s="565"/>
      <c r="Y126" s="565"/>
      <c r="Z126" s="565"/>
      <c r="AA126" s="565"/>
      <c r="AB126" s="565"/>
      <c r="AC126" s="565"/>
      <c r="AD126" s="565"/>
      <c r="AE126" s="565"/>
      <c r="AF126" s="565"/>
      <c r="AG126" s="565"/>
      <c r="AH126" s="565"/>
      <c r="AI126" s="565"/>
      <c r="AJ126" s="565"/>
      <c r="AK126" s="565"/>
      <c r="AL126" s="565"/>
      <c r="AM126" s="565"/>
      <c r="AN126" s="529"/>
    </row>
    <row r="127" spans="1:256" ht="15.75" x14ac:dyDescent="0.2">
      <c r="A127" s="506"/>
      <c r="B127" s="507"/>
      <c r="C127" s="3061"/>
      <c r="D127" s="3062"/>
      <c r="E127" s="515">
        <v>67</v>
      </c>
      <c r="F127" s="587" t="s">
        <v>575</v>
      </c>
      <c r="G127" s="588"/>
      <c r="H127" s="580"/>
      <c r="I127" s="580"/>
      <c r="J127" s="588"/>
      <c r="K127" s="600"/>
      <c r="L127" s="588"/>
      <c r="M127" s="580"/>
      <c r="N127" s="588"/>
      <c r="O127" s="589"/>
      <c r="P127" s="580"/>
      <c r="Q127" s="580"/>
      <c r="R127" s="580"/>
      <c r="S127" s="582"/>
      <c r="T127" s="601"/>
      <c r="U127" s="602"/>
      <c r="V127" s="588"/>
      <c r="W127" s="588"/>
      <c r="X127" s="588"/>
      <c r="Y127" s="588"/>
      <c r="Z127" s="588"/>
      <c r="AA127" s="588"/>
      <c r="AB127" s="588"/>
      <c r="AC127" s="588"/>
      <c r="AD127" s="588"/>
      <c r="AE127" s="588"/>
      <c r="AF127" s="588"/>
      <c r="AG127" s="588"/>
      <c r="AH127" s="588"/>
      <c r="AI127" s="588"/>
      <c r="AJ127" s="588"/>
      <c r="AK127" s="588"/>
      <c r="AL127" s="588"/>
      <c r="AM127" s="588"/>
      <c r="AN127" s="584"/>
    </row>
    <row r="128" spans="1:256" ht="72.75" customHeight="1" x14ac:dyDescent="0.2">
      <c r="A128" s="506"/>
      <c r="B128" s="507"/>
      <c r="C128" s="3061"/>
      <c r="D128" s="3062"/>
      <c r="E128" s="534"/>
      <c r="F128" s="535"/>
      <c r="G128" s="3065">
        <v>198</v>
      </c>
      <c r="H128" s="2250" t="s">
        <v>576</v>
      </c>
      <c r="I128" s="2088" t="s">
        <v>577</v>
      </c>
      <c r="J128" s="3174">
        <v>1</v>
      </c>
      <c r="K128" s="603"/>
      <c r="L128" s="3177" t="s">
        <v>578</v>
      </c>
      <c r="M128" s="3077" t="s">
        <v>579</v>
      </c>
      <c r="N128" s="3169">
        <f>SUM(S128:S135)/O128</f>
        <v>1.127387312198502E-2</v>
      </c>
      <c r="O128" s="2981">
        <f>SUM(S128:S138)</f>
        <v>3902829092</v>
      </c>
      <c r="P128" s="3077" t="s">
        <v>580</v>
      </c>
      <c r="Q128" s="2185" t="s">
        <v>581</v>
      </c>
      <c r="R128" s="561" t="s">
        <v>582</v>
      </c>
      <c r="S128" s="604">
        <v>2400000</v>
      </c>
      <c r="T128" s="591"/>
      <c r="U128" s="591"/>
      <c r="V128" s="3172">
        <v>43498</v>
      </c>
      <c r="W128" s="2786">
        <f>38184+200</f>
        <v>38384</v>
      </c>
      <c r="X128" s="2786"/>
      <c r="Y128" s="2786"/>
      <c r="Z128" s="2786"/>
      <c r="AA128" s="2786">
        <v>81882</v>
      </c>
      <c r="AB128" s="2781"/>
      <c r="AC128" s="2786"/>
      <c r="AD128" s="2786"/>
      <c r="AE128" s="3163"/>
      <c r="AF128" s="3163"/>
      <c r="AG128" s="3163"/>
      <c r="AH128" s="3163"/>
      <c r="AI128" s="3163"/>
      <c r="AJ128" s="3163"/>
      <c r="AK128" s="2206">
        <f>SUM(V128+W128)</f>
        <v>81882</v>
      </c>
      <c r="AL128" s="3102">
        <v>43102</v>
      </c>
      <c r="AM128" s="3102">
        <v>43465</v>
      </c>
      <c r="AN128" s="2065" t="s">
        <v>358</v>
      </c>
      <c r="AO128" s="504"/>
      <c r="AP128" s="504"/>
      <c r="AQ128" s="504"/>
      <c r="AR128" s="504"/>
      <c r="AS128" s="504"/>
      <c r="AT128" s="505"/>
      <c r="AU128" s="505"/>
      <c r="AV128" s="505"/>
      <c r="AW128" s="505"/>
      <c r="AX128" s="505"/>
      <c r="AY128" s="505"/>
      <c r="AZ128" s="505"/>
      <c r="BA128" s="505"/>
      <c r="BB128" s="505"/>
      <c r="BC128" s="505"/>
      <c r="BD128" s="505"/>
      <c r="BE128" s="505"/>
      <c r="BF128" s="505"/>
      <c r="BG128" s="505"/>
      <c r="BH128" s="505"/>
      <c r="BI128" s="505"/>
      <c r="BJ128" s="505"/>
      <c r="BK128" s="505"/>
      <c r="BL128" s="505"/>
      <c r="BM128" s="505"/>
      <c r="BN128" s="505"/>
      <c r="BO128" s="505"/>
      <c r="BP128" s="505"/>
      <c r="BQ128" s="505"/>
      <c r="BR128" s="505"/>
      <c r="BS128" s="505"/>
      <c r="BT128" s="505"/>
      <c r="BU128" s="505"/>
      <c r="BV128" s="505"/>
      <c r="BW128" s="505"/>
      <c r="BX128" s="505"/>
      <c r="BY128" s="505"/>
      <c r="BZ128" s="505"/>
      <c r="CA128" s="505"/>
      <c r="CB128" s="505"/>
      <c r="CC128" s="505"/>
      <c r="CD128" s="505"/>
      <c r="CE128" s="505"/>
      <c r="CF128" s="505"/>
      <c r="CG128" s="505"/>
      <c r="CH128" s="505"/>
      <c r="CI128" s="505"/>
      <c r="CJ128" s="505"/>
      <c r="CK128" s="505"/>
      <c r="CL128" s="505"/>
      <c r="CM128" s="505"/>
      <c r="CN128" s="505"/>
      <c r="CO128" s="505"/>
      <c r="CP128" s="505"/>
      <c r="CQ128" s="505"/>
      <c r="CR128" s="505"/>
      <c r="CS128" s="505"/>
      <c r="CT128" s="505"/>
      <c r="CU128" s="505"/>
      <c r="CV128" s="505"/>
      <c r="CW128" s="505"/>
      <c r="CX128" s="505"/>
      <c r="CY128" s="505"/>
      <c r="CZ128" s="505"/>
      <c r="DA128" s="505"/>
      <c r="DB128" s="505"/>
      <c r="DC128" s="505"/>
      <c r="DD128" s="505"/>
      <c r="DE128" s="505"/>
      <c r="DF128" s="505"/>
      <c r="DG128" s="505"/>
      <c r="DH128" s="505"/>
      <c r="DI128" s="505"/>
      <c r="DJ128" s="505"/>
      <c r="DK128" s="505"/>
      <c r="DL128" s="505"/>
      <c r="DM128" s="505"/>
      <c r="DN128" s="505"/>
      <c r="DO128" s="505"/>
      <c r="DP128" s="505"/>
      <c r="DQ128" s="505"/>
      <c r="DR128" s="505"/>
      <c r="DS128" s="505"/>
      <c r="DT128" s="505"/>
      <c r="DU128" s="505"/>
      <c r="DV128" s="505"/>
      <c r="DW128" s="505"/>
      <c r="DX128" s="505"/>
      <c r="DY128" s="505"/>
      <c r="DZ128" s="505"/>
      <c r="EA128" s="505"/>
      <c r="EB128" s="505"/>
      <c r="EC128" s="505"/>
      <c r="ED128" s="505"/>
      <c r="EE128" s="505"/>
      <c r="EF128" s="505"/>
      <c r="EG128" s="505"/>
      <c r="EH128" s="505"/>
      <c r="EI128" s="505"/>
      <c r="EJ128" s="505"/>
      <c r="EK128" s="505"/>
      <c r="EL128" s="505"/>
      <c r="EM128" s="505"/>
      <c r="EN128" s="505"/>
      <c r="EO128" s="505"/>
      <c r="EP128" s="505"/>
      <c r="EQ128" s="505"/>
      <c r="ER128" s="505"/>
      <c r="ES128" s="505"/>
      <c r="ET128" s="505"/>
      <c r="EU128" s="505"/>
      <c r="EV128" s="505"/>
      <c r="EW128" s="505"/>
      <c r="EX128" s="505"/>
      <c r="EY128" s="505"/>
      <c r="EZ128" s="505"/>
      <c r="FA128" s="505"/>
      <c r="FB128" s="505"/>
      <c r="FC128" s="505"/>
      <c r="FD128" s="505"/>
      <c r="FE128" s="505"/>
      <c r="FF128" s="505"/>
      <c r="FG128" s="505"/>
      <c r="FH128" s="505"/>
      <c r="FI128" s="505"/>
      <c r="FJ128" s="505"/>
      <c r="FK128" s="505"/>
      <c r="FL128" s="505"/>
      <c r="FM128" s="505"/>
      <c r="FN128" s="505"/>
      <c r="FO128" s="505"/>
      <c r="FP128" s="505"/>
      <c r="FQ128" s="505"/>
      <c r="FR128" s="505"/>
      <c r="FS128" s="505"/>
      <c r="FT128" s="505"/>
      <c r="FU128" s="505"/>
      <c r="FV128" s="505"/>
      <c r="FW128" s="505"/>
      <c r="FX128" s="505"/>
      <c r="FY128" s="505"/>
      <c r="FZ128" s="505"/>
      <c r="GA128" s="505"/>
      <c r="GB128" s="505"/>
      <c r="GC128" s="505"/>
      <c r="GD128" s="505"/>
      <c r="GE128" s="505"/>
      <c r="GF128" s="505"/>
      <c r="GG128" s="505"/>
      <c r="GH128" s="505"/>
      <c r="GI128" s="505"/>
      <c r="GJ128" s="505"/>
      <c r="GK128" s="505"/>
      <c r="GL128" s="505"/>
      <c r="GM128" s="505"/>
      <c r="GN128" s="505"/>
      <c r="GO128" s="505"/>
      <c r="GP128" s="505"/>
      <c r="GQ128" s="505"/>
      <c r="GR128" s="505"/>
      <c r="GS128" s="505"/>
      <c r="GT128" s="505"/>
      <c r="GU128" s="505"/>
      <c r="GV128" s="505"/>
      <c r="GW128" s="505"/>
      <c r="GX128" s="505"/>
      <c r="GY128" s="505"/>
      <c r="GZ128" s="505"/>
      <c r="HA128" s="505"/>
      <c r="HB128" s="505"/>
      <c r="HC128" s="505"/>
      <c r="HD128" s="505"/>
      <c r="HE128" s="505"/>
      <c r="HF128" s="505"/>
      <c r="HG128" s="505"/>
      <c r="HH128" s="505"/>
      <c r="HI128" s="505"/>
      <c r="HJ128" s="505"/>
      <c r="HK128" s="505"/>
      <c r="HL128" s="505"/>
      <c r="HM128" s="505"/>
      <c r="HN128" s="505"/>
      <c r="HO128" s="505"/>
      <c r="HP128" s="505"/>
      <c r="HQ128" s="505"/>
      <c r="HR128" s="505"/>
      <c r="HS128" s="505"/>
      <c r="HT128" s="505"/>
      <c r="HU128" s="505"/>
      <c r="HV128" s="505"/>
      <c r="HW128" s="505"/>
      <c r="HX128" s="505"/>
      <c r="HY128" s="505"/>
      <c r="HZ128" s="505"/>
      <c r="IA128" s="505"/>
      <c r="IB128" s="505"/>
      <c r="IC128" s="505"/>
      <c r="ID128" s="505"/>
      <c r="IE128" s="505"/>
      <c r="IF128" s="505"/>
      <c r="IG128" s="505"/>
      <c r="IH128" s="505"/>
      <c r="II128" s="505"/>
      <c r="IJ128" s="505"/>
      <c r="IK128" s="505"/>
      <c r="IL128" s="505"/>
      <c r="IM128" s="505"/>
      <c r="IN128" s="505"/>
      <c r="IO128" s="505"/>
      <c r="IP128" s="505"/>
      <c r="IQ128" s="505"/>
      <c r="IR128" s="505"/>
      <c r="IS128" s="505"/>
      <c r="IT128" s="505"/>
      <c r="IU128" s="505"/>
      <c r="IV128" s="505"/>
    </row>
    <row r="129" spans="1:497" ht="66.75" customHeight="1" x14ac:dyDescent="0.2">
      <c r="A129" s="506"/>
      <c r="B129" s="507"/>
      <c r="C129" s="3061"/>
      <c r="D129" s="3062"/>
      <c r="E129" s="530"/>
      <c r="F129" s="531"/>
      <c r="G129" s="3066"/>
      <c r="H129" s="3077"/>
      <c r="I129" s="2185"/>
      <c r="J129" s="3175"/>
      <c r="K129" s="605"/>
      <c r="L129" s="3177"/>
      <c r="M129" s="3077"/>
      <c r="N129" s="3170"/>
      <c r="O129" s="2982"/>
      <c r="P129" s="3077"/>
      <c r="Q129" s="2185"/>
      <c r="R129" s="561" t="s">
        <v>583</v>
      </c>
      <c r="S129" s="604">
        <v>7920000</v>
      </c>
      <c r="T129" s="592"/>
      <c r="U129" s="592"/>
      <c r="V129" s="3173"/>
      <c r="W129" s="2809"/>
      <c r="X129" s="2809"/>
      <c r="Y129" s="2809"/>
      <c r="Z129" s="2809"/>
      <c r="AA129" s="2809"/>
      <c r="AB129" s="3126"/>
      <c r="AC129" s="2809"/>
      <c r="AD129" s="2809"/>
      <c r="AE129" s="3163"/>
      <c r="AF129" s="3163"/>
      <c r="AG129" s="3163"/>
      <c r="AH129" s="3163"/>
      <c r="AI129" s="3163"/>
      <c r="AJ129" s="3163"/>
      <c r="AK129" s="3008"/>
      <c r="AL129" s="3102"/>
      <c r="AM129" s="3102"/>
      <c r="AN129" s="2065"/>
      <c r="AO129" s="504"/>
      <c r="AP129" s="504"/>
      <c r="AQ129" s="504"/>
      <c r="AR129" s="504"/>
      <c r="AS129" s="504"/>
      <c r="AT129" s="505"/>
      <c r="AU129" s="505"/>
      <c r="AV129" s="505"/>
      <c r="AW129" s="505"/>
      <c r="AX129" s="505"/>
      <c r="AY129" s="505"/>
      <c r="AZ129" s="505"/>
      <c r="BA129" s="505"/>
      <c r="BB129" s="505"/>
      <c r="BC129" s="505"/>
      <c r="BD129" s="505"/>
      <c r="BE129" s="505"/>
      <c r="BF129" s="505"/>
      <c r="BG129" s="505"/>
      <c r="BH129" s="505"/>
      <c r="BI129" s="505"/>
      <c r="BJ129" s="505"/>
      <c r="BK129" s="505"/>
      <c r="BL129" s="505"/>
      <c r="BM129" s="505"/>
      <c r="BN129" s="505"/>
      <c r="BO129" s="505"/>
      <c r="BP129" s="505"/>
      <c r="BQ129" s="505"/>
      <c r="BR129" s="505"/>
      <c r="BS129" s="505"/>
      <c r="BT129" s="505"/>
      <c r="BU129" s="505"/>
      <c r="BV129" s="505"/>
      <c r="BW129" s="505"/>
      <c r="BX129" s="505"/>
      <c r="BY129" s="505"/>
      <c r="BZ129" s="505"/>
      <c r="CA129" s="505"/>
      <c r="CB129" s="505"/>
      <c r="CC129" s="505"/>
      <c r="CD129" s="505"/>
      <c r="CE129" s="505"/>
      <c r="CF129" s="505"/>
      <c r="CG129" s="505"/>
      <c r="CH129" s="505"/>
      <c r="CI129" s="505"/>
      <c r="CJ129" s="505"/>
      <c r="CK129" s="505"/>
      <c r="CL129" s="505"/>
      <c r="CM129" s="505"/>
      <c r="CN129" s="505"/>
      <c r="CO129" s="505"/>
      <c r="CP129" s="505"/>
      <c r="CQ129" s="505"/>
      <c r="CR129" s="505"/>
      <c r="CS129" s="505"/>
      <c r="CT129" s="505"/>
      <c r="CU129" s="505"/>
      <c r="CV129" s="505"/>
      <c r="CW129" s="505"/>
      <c r="CX129" s="505"/>
      <c r="CY129" s="505"/>
      <c r="CZ129" s="505"/>
      <c r="DA129" s="505"/>
      <c r="DB129" s="505"/>
      <c r="DC129" s="505"/>
      <c r="DD129" s="505"/>
      <c r="DE129" s="505"/>
      <c r="DF129" s="505"/>
      <c r="DG129" s="505"/>
      <c r="DH129" s="505"/>
      <c r="DI129" s="505"/>
      <c r="DJ129" s="505"/>
      <c r="DK129" s="505"/>
      <c r="DL129" s="505"/>
      <c r="DM129" s="505"/>
      <c r="DN129" s="505"/>
      <c r="DO129" s="505"/>
      <c r="DP129" s="505"/>
      <c r="DQ129" s="505"/>
      <c r="DR129" s="505"/>
      <c r="DS129" s="505"/>
      <c r="DT129" s="505"/>
      <c r="DU129" s="505"/>
      <c r="DV129" s="505"/>
      <c r="DW129" s="505"/>
      <c r="DX129" s="505"/>
      <c r="DY129" s="505"/>
      <c r="DZ129" s="505"/>
      <c r="EA129" s="505"/>
      <c r="EB129" s="505"/>
      <c r="EC129" s="505"/>
      <c r="ED129" s="505"/>
      <c r="EE129" s="505"/>
      <c r="EF129" s="505"/>
      <c r="EG129" s="505"/>
      <c r="EH129" s="505"/>
      <c r="EI129" s="505"/>
      <c r="EJ129" s="505"/>
      <c r="EK129" s="505"/>
      <c r="EL129" s="505"/>
      <c r="EM129" s="505"/>
      <c r="EN129" s="505"/>
      <c r="EO129" s="505"/>
      <c r="EP129" s="505"/>
      <c r="EQ129" s="505"/>
      <c r="ER129" s="505"/>
      <c r="ES129" s="505"/>
      <c r="ET129" s="505"/>
      <c r="EU129" s="505"/>
      <c r="EV129" s="505"/>
      <c r="EW129" s="505"/>
      <c r="EX129" s="505"/>
      <c r="EY129" s="505"/>
      <c r="EZ129" s="505"/>
      <c r="FA129" s="505"/>
      <c r="FB129" s="505"/>
      <c r="FC129" s="505"/>
      <c r="FD129" s="505"/>
      <c r="FE129" s="505"/>
      <c r="FF129" s="505"/>
      <c r="FG129" s="505"/>
      <c r="FH129" s="505"/>
      <c r="FI129" s="505"/>
      <c r="FJ129" s="505"/>
      <c r="FK129" s="505"/>
      <c r="FL129" s="505"/>
      <c r="FM129" s="505"/>
      <c r="FN129" s="505"/>
      <c r="FO129" s="505"/>
      <c r="FP129" s="505"/>
      <c r="FQ129" s="505"/>
      <c r="FR129" s="505"/>
      <c r="FS129" s="505"/>
      <c r="FT129" s="505"/>
      <c r="FU129" s="505"/>
      <c r="FV129" s="505"/>
      <c r="FW129" s="505"/>
      <c r="FX129" s="505"/>
      <c r="FY129" s="505"/>
      <c r="FZ129" s="505"/>
      <c r="GA129" s="505"/>
      <c r="GB129" s="505"/>
      <c r="GC129" s="505"/>
      <c r="GD129" s="505"/>
      <c r="GE129" s="505"/>
      <c r="GF129" s="505"/>
      <c r="GG129" s="505"/>
      <c r="GH129" s="505"/>
      <c r="GI129" s="505"/>
      <c r="GJ129" s="505"/>
      <c r="GK129" s="505"/>
      <c r="GL129" s="505"/>
      <c r="GM129" s="505"/>
      <c r="GN129" s="505"/>
      <c r="GO129" s="505"/>
      <c r="GP129" s="505"/>
      <c r="GQ129" s="505"/>
      <c r="GR129" s="505"/>
      <c r="GS129" s="505"/>
      <c r="GT129" s="505"/>
      <c r="GU129" s="505"/>
      <c r="GV129" s="505"/>
      <c r="GW129" s="505"/>
      <c r="GX129" s="505"/>
      <c r="GY129" s="505"/>
      <c r="GZ129" s="505"/>
      <c r="HA129" s="505"/>
      <c r="HB129" s="505"/>
      <c r="HC129" s="505"/>
      <c r="HD129" s="505"/>
      <c r="HE129" s="505"/>
      <c r="HF129" s="505"/>
      <c r="HG129" s="505"/>
      <c r="HH129" s="505"/>
      <c r="HI129" s="505"/>
      <c r="HJ129" s="505"/>
      <c r="HK129" s="505"/>
      <c r="HL129" s="505"/>
      <c r="HM129" s="505"/>
      <c r="HN129" s="505"/>
      <c r="HO129" s="505"/>
      <c r="HP129" s="505"/>
      <c r="HQ129" s="505"/>
      <c r="HR129" s="505"/>
      <c r="HS129" s="505"/>
      <c r="HT129" s="505"/>
      <c r="HU129" s="505"/>
      <c r="HV129" s="505"/>
      <c r="HW129" s="505"/>
      <c r="HX129" s="505"/>
      <c r="HY129" s="505"/>
      <c r="HZ129" s="505"/>
      <c r="IA129" s="505"/>
      <c r="IB129" s="505"/>
      <c r="IC129" s="505"/>
      <c r="ID129" s="505"/>
      <c r="IE129" s="505"/>
      <c r="IF129" s="505"/>
      <c r="IG129" s="505"/>
      <c r="IH129" s="505"/>
      <c r="II129" s="505"/>
      <c r="IJ129" s="505"/>
      <c r="IK129" s="505"/>
      <c r="IL129" s="505"/>
      <c r="IM129" s="505"/>
      <c r="IN129" s="505"/>
      <c r="IO129" s="505"/>
      <c r="IP129" s="505"/>
      <c r="IQ129" s="505"/>
      <c r="IR129" s="505"/>
      <c r="IS129" s="505"/>
      <c r="IT129" s="505"/>
      <c r="IU129" s="505"/>
      <c r="IV129" s="505"/>
    </row>
    <row r="130" spans="1:497" ht="85.5" customHeight="1" x14ac:dyDescent="0.2">
      <c r="A130" s="506"/>
      <c r="B130" s="507"/>
      <c r="C130" s="3061"/>
      <c r="D130" s="3062"/>
      <c r="E130" s="530"/>
      <c r="F130" s="531"/>
      <c r="G130" s="3066"/>
      <c r="H130" s="3077"/>
      <c r="I130" s="2185"/>
      <c r="J130" s="3175"/>
      <c r="K130" s="605"/>
      <c r="L130" s="3177"/>
      <c r="M130" s="3077"/>
      <c r="N130" s="3170"/>
      <c r="O130" s="2982"/>
      <c r="P130" s="3077"/>
      <c r="Q130" s="2185"/>
      <c r="R130" s="561" t="s">
        <v>584</v>
      </c>
      <c r="S130" s="261">
        <v>4600000</v>
      </c>
      <c r="T130" s="592"/>
      <c r="U130" s="592"/>
      <c r="V130" s="3173"/>
      <c r="W130" s="2809"/>
      <c r="X130" s="2809"/>
      <c r="Y130" s="2809"/>
      <c r="Z130" s="2809"/>
      <c r="AA130" s="2809"/>
      <c r="AB130" s="3126"/>
      <c r="AC130" s="2809"/>
      <c r="AD130" s="2809"/>
      <c r="AE130" s="3163"/>
      <c r="AF130" s="3163"/>
      <c r="AG130" s="3163"/>
      <c r="AH130" s="3163"/>
      <c r="AI130" s="3163"/>
      <c r="AJ130" s="3163"/>
      <c r="AK130" s="3008"/>
      <c r="AL130" s="3102"/>
      <c r="AM130" s="3102"/>
      <c r="AN130" s="2065"/>
      <c r="AO130" s="504"/>
      <c r="AP130" s="504"/>
      <c r="AQ130" s="504"/>
      <c r="AR130" s="504"/>
      <c r="AS130" s="504"/>
      <c r="AT130" s="505"/>
      <c r="AU130" s="505"/>
      <c r="AV130" s="505"/>
      <c r="AW130" s="505"/>
      <c r="AX130" s="505"/>
      <c r="AY130" s="505"/>
      <c r="AZ130" s="505"/>
      <c r="BA130" s="505"/>
      <c r="BB130" s="505"/>
      <c r="BC130" s="505"/>
      <c r="BD130" s="505"/>
      <c r="BE130" s="505"/>
      <c r="BF130" s="505"/>
      <c r="BG130" s="505"/>
      <c r="BH130" s="505"/>
      <c r="BI130" s="505"/>
      <c r="BJ130" s="505"/>
      <c r="BK130" s="505"/>
      <c r="BL130" s="505"/>
      <c r="BM130" s="505"/>
      <c r="BN130" s="505"/>
      <c r="BO130" s="505"/>
      <c r="BP130" s="505"/>
      <c r="BQ130" s="505"/>
      <c r="BR130" s="505"/>
      <c r="BS130" s="505"/>
      <c r="BT130" s="505"/>
      <c r="BU130" s="505"/>
      <c r="BV130" s="505"/>
      <c r="BW130" s="505"/>
      <c r="BX130" s="505"/>
      <c r="BY130" s="505"/>
      <c r="BZ130" s="505"/>
      <c r="CA130" s="505"/>
      <c r="CB130" s="505"/>
      <c r="CC130" s="505"/>
      <c r="CD130" s="505"/>
      <c r="CE130" s="505"/>
      <c r="CF130" s="505"/>
      <c r="CG130" s="505"/>
      <c r="CH130" s="505"/>
      <c r="CI130" s="505"/>
      <c r="CJ130" s="505"/>
      <c r="CK130" s="505"/>
      <c r="CL130" s="505"/>
      <c r="CM130" s="505"/>
      <c r="CN130" s="505"/>
      <c r="CO130" s="505"/>
      <c r="CP130" s="505"/>
      <c r="CQ130" s="505"/>
      <c r="CR130" s="505"/>
      <c r="CS130" s="505"/>
      <c r="CT130" s="505"/>
      <c r="CU130" s="505"/>
      <c r="CV130" s="505"/>
      <c r="CW130" s="505"/>
      <c r="CX130" s="505"/>
      <c r="CY130" s="505"/>
      <c r="CZ130" s="505"/>
      <c r="DA130" s="505"/>
      <c r="DB130" s="505"/>
      <c r="DC130" s="505"/>
      <c r="DD130" s="505"/>
      <c r="DE130" s="505"/>
      <c r="DF130" s="505"/>
      <c r="DG130" s="505"/>
      <c r="DH130" s="505"/>
      <c r="DI130" s="505"/>
      <c r="DJ130" s="505"/>
      <c r="DK130" s="505"/>
      <c r="DL130" s="505"/>
      <c r="DM130" s="505"/>
      <c r="DN130" s="505"/>
      <c r="DO130" s="505"/>
      <c r="DP130" s="505"/>
      <c r="DQ130" s="505"/>
      <c r="DR130" s="505"/>
      <c r="DS130" s="505"/>
      <c r="DT130" s="505"/>
      <c r="DU130" s="505"/>
      <c r="DV130" s="505"/>
      <c r="DW130" s="505"/>
      <c r="DX130" s="505"/>
      <c r="DY130" s="505"/>
      <c r="DZ130" s="505"/>
      <c r="EA130" s="505"/>
      <c r="EB130" s="505"/>
      <c r="EC130" s="505"/>
      <c r="ED130" s="505"/>
      <c r="EE130" s="505"/>
      <c r="EF130" s="505"/>
      <c r="EG130" s="505"/>
      <c r="EH130" s="505"/>
      <c r="EI130" s="505"/>
      <c r="EJ130" s="505"/>
      <c r="EK130" s="505"/>
      <c r="EL130" s="505"/>
      <c r="EM130" s="505"/>
      <c r="EN130" s="505"/>
      <c r="EO130" s="505"/>
      <c r="EP130" s="505"/>
      <c r="EQ130" s="505"/>
      <c r="ER130" s="505"/>
      <c r="ES130" s="505"/>
      <c r="ET130" s="505"/>
      <c r="EU130" s="505"/>
      <c r="EV130" s="505"/>
      <c r="EW130" s="505"/>
      <c r="EX130" s="505"/>
      <c r="EY130" s="505"/>
      <c r="EZ130" s="505"/>
      <c r="FA130" s="505"/>
      <c r="FB130" s="505"/>
      <c r="FC130" s="505"/>
      <c r="FD130" s="505"/>
      <c r="FE130" s="505"/>
      <c r="FF130" s="505"/>
      <c r="FG130" s="505"/>
      <c r="FH130" s="505"/>
      <c r="FI130" s="505"/>
      <c r="FJ130" s="505"/>
      <c r="FK130" s="505"/>
      <c r="FL130" s="505"/>
      <c r="FM130" s="505"/>
      <c r="FN130" s="505"/>
      <c r="FO130" s="505"/>
      <c r="FP130" s="505"/>
      <c r="FQ130" s="505"/>
      <c r="FR130" s="505"/>
      <c r="FS130" s="505"/>
      <c r="FT130" s="505"/>
      <c r="FU130" s="505"/>
      <c r="FV130" s="505"/>
      <c r="FW130" s="505"/>
      <c r="FX130" s="505"/>
      <c r="FY130" s="505"/>
      <c r="FZ130" s="505"/>
      <c r="GA130" s="505"/>
      <c r="GB130" s="505"/>
      <c r="GC130" s="505"/>
      <c r="GD130" s="505"/>
      <c r="GE130" s="505"/>
      <c r="GF130" s="505"/>
      <c r="GG130" s="505"/>
      <c r="GH130" s="505"/>
      <c r="GI130" s="505"/>
      <c r="GJ130" s="505"/>
      <c r="GK130" s="505"/>
      <c r="GL130" s="505"/>
      <c r="GM130" s="505"/>
      <c r="GN130" s="505"/>
      <c r="GO130" s="505"/>
      <c r="GP130" s="505"/>
      <c r="GQ130" s="505"/>
      <c r="GR130" s="505"/>
      <c r="GS130" s="505"/>
      <c r="GT130" s="505"/>
      <c r="GU130" s="505"/>
      <c r="GV130" s="505"/>
      <c r="GW130" s="505"/>
      <c r="GX130" s="505"/>
      <c r="GY130" s="505"/>
      <c r="GZ130" s="505"/>
      <c r="HA130" s="505"/>
      <c r="HB130" s="505"/>
      <c r="HC130" s="505"/>
      <c r="HD130" s="505"/>
      <c r="HE130" s="505"/>
      <c r="HF130" s="505"/>
      <c r="HG130" s="505"/>
      <c r="HH130" s="505"/>
      <c r="HI130" s="505"/>
      <c r="HJ130" s="505"/>
      <c r="HK130" s="505"/>
      <c r="HL130" s="505"/>
      <c r="HM130" s="505"/>
      <c r="HN130" s="505"/>
      <c r="HO130" s="505"/>
      <c r="HP130" s="505"/>
      <c r="HQ130" s="505"/>
      <c r="HR130" s="505"/>
      <c r="HS130" s="505"/>
      <c r="HT130" s="505"/>
      <c r="HU130" s="505"/>
      <c r="HV130" s="505"/>
      <c r="HW130" s="505"/>
      <c r="HX130" s="505"/>
      <c r="HY130" s="505"/>
      <c r="HZ130" s="505"/>
      <c r="IA130" s="505"/>
      <c r="IB130" s="505"/>
      <c r="IC130" s="505"/>
      <c r="ID130" s="505"/>
      <c r="IE130" s="505"/>
      <c r="IF130" s="505"/>
      <c r="IG130" s="505"/>
      <c r="IH130" s="505"/>
      <c r="II130" s="505"/>
      <c r="IJ130" s="505"/>
      <c r="IK130" s="505"/>
      <c r="IL130" s="505"/>
      <c r="IM130" s="505"/>
      <c r="IN130" s="505"/>
      <c r="IO130" s="505"/>
      <c r="IP130" s="505"/>
      <c r="IQ130" s="505"/>
      <c r="IR130" s="505"/>
      <c r="IS130" s="505"/>
      <c r="IT130" s="505"/>
      <c r="IU130" s="505"/>
      <c r="IV130" s="505"/>
    </row>
    <row r="131" spans="1:497" ht="75" customHeight="1" x14ac:dyDescent="0.2">
      <c r="A131" s="506"/>
      <c r="B131" s="507"/>
      <c r="C131" s="3061"/>
      <c r="D131" s="3062"/>
      <c r="E131" s="530"/>
      <c r="F131" s="531"/>
      <c r="G131" s="3066"/>
      <c r="H131" s="3077"/>
      <c r="I131" s="2185"/>
      <c r="J131" s="3175"/>
      <c r="K131" s="606" t="s">
        <v>585</v>
      </c>
      <c r="L131" s="3177"/>
      <c r="M131" s="3077"/>
      <c r="N131" s="3170"/>
      <c r="O131" s="2982"/>
      <c r="P131" s="3077"/>
      <c r="Q131" s="2185"/>
      <c r="R131" s="561" t="s">
        <v>586</v>
      </c>
      <c r="S131" s="261">
        <v>6000000</v>
      </c>
      <c r="T131" s="691">
        <v>20</v>
      </c>
      <c r="U131" s="691" t="s">
        <v>61</v>
      </c>
      <c r="V131" s="3173"/>
      <c r="W131" s="2809"/>
      <c r="X131" s="2809"/>
      <c r="Y131" s="2809"/>
      <c r="Z131" s="2809"/>
      <c r="AA131" s="2809"/>
      <c r="AB131" s="3126"/>
      <c r="AC131" s="2809"/>
      <c r="AD131" s="2809"/>
      <c r="AE131" s="3163"/>
      <c r="AF131" s="3163"/>
      <c r="AG131" s="3163"/>
      <c r="AH131" s="3163"/>
      <c r="AI131" s="3163"/>
      <c r="AJ131" s="3163"/>
      <c r="AK131" s="3008"/>
      <c r="AL131" s="3102"/>
      <c r="AM131" s="3102"/>
      <c r="AN131" s="2065"/>
      <c r="AO131" s="504"/>
      <c r="AP131" s="504"/>
      <c r="AQ131" s="504"/>
      <c r="AR131" s="504"/>
      <c r="AS131" s="504"/>
      <c r="AT131" s="505"/>
      <c r="AU131" s="505"/>
      <c r="AV131" s="505"/>
      <c r="AW131" s="505"/>
      <c r="AX131" s="505"/>
      <c r="AY131" s="505"/>
      <c r="AZ131" s="505"/>
      <c r="BA131" s="505"/>
      <c r="BB131" s="505"/>
      <c r="BC131" s="505"/>
      <c r="BD131" s="505"/>
      <c r="BE131" s="505"/>
      <c r="BF131" s="505"/>
      <c r="BG131" s="505"/>
      <c r="BH131" s="505"/>
      <c r="BI131" s="505"/>
      <c r="BJ131" s="505"/>
      <c r="BK131" s="505"/>
      <c r="BL131" s="505"/>
      <c r="BM131" s="505"/>
      <c r="BN131" s="505"/>
      <c r="BO131" s="505"/>
      <c r="BP131" s="505"/>
      <c r="BQ131" s="505"/>
      <c r="BR131" s="505"/>
      <c r="BS131" s="505"/>
      <c r="BT131" s="505"/>
      <c r="BU131" s="505"/>
      <c r="BV131" s="505"/>
      <c r="BW131" s="505"/>
      <c r="BX131" s="505"/>
      <c r="BY131" s="505"/>
      <c r="BZ131" s="505"/>
      <c r="CA131" s="505"/>
      <c r="CB131" s="505"/>
      <c r="CC131" s="505"/>
      <c r="CD131" s="505"/>
      <c r="CE131" s="505"/>
      <c r="CF131" s="505"/>
      <c r="CG131" s="505"/>
      <c r="CH131" s="505"/>
      <c r="CI131" s="505"/>
      <c r="CJ131" s="505"/>
      <c r="CK131" s="505"/>
      <c r="CL131" s="505"/>
      <c r="CM131" s="505"/>
      <c r="CN131" s="505"/>
      <c r="CO131" s="505"/>
      <c r="CP131" s="505"/>
      <c r="CQ131" s="505"/>
      <c r="CR131" s="505"/>
      <c r="CS131" s="505"/>
      <c r="CT131" s="505"/>
      <c r="CU131" s="505"/>
      <c r="CV131" s="505"/>
      <c r="CW131" s="505"/>
      <c r="CX131" s="505"/>
      <c r="CY131" s="505"/>
      <c r="CZ131" s="505"/>
      <c r="DA131" s="505"/>
      <c r="DB131" s="505"/>
      <c r="DC131" s="505"/>
      <c r="DD131" s="505"/>
      <c r="DE131" s="505"/>
      <c r="DF131" s="505"/>
      <c r="DG131" s="505"/>
      <c r="DH131" s="505"/>
      <c r="DI131" s="505"/>
      <c r="DJ131" s="505"/>
      <c r="DK131" s="505"/>
      <c r="DL131" s="505"/>
      <c r="DM131" s="505"/>
      <c r="DN131" s="505"/>
      <c r="DO131" s="505"/>
      <c r="DP131" s="505"/>
      <c r="DQ131" s="505"/>
      <c r="DR131" s="505"/>
      <c r="DS131" s="505"/>
      <c r="DT131" s="505"/>
      <c r="DU131" s="505"/>
      <c r="DV131" s="505"/>
      <c r="DW131" s="505"/>
      <c r="DX131" s="505"/>
      <c r="DY131" s="505"/>
      <c r="DZ131" s="505"/>
      <c r="EA131" s="505"/>
      <c r="EB131" s="505"/>
      <c r="EC131" s="505"/>
      <c r="ED131" s="505"/>
      <c r="EE131" s="505"/>
      <c r="EF131" s="505"/>
      <c r="EG131" s="505"/>
      <c r="EH131" s="505"/>
      <c r="EI131" s="505"/>
      <c r="EJ131" s="505"/>
      <c r="EK131" s="505"/>
      <c r="EL131" s="505"/>
      <c r="EM131" s="505"/>
      <c r="EN131" s="505"/>
      <c r="EO131" s="505"/>
      <c r="EP131" s="505"/>
      <c r="EQ131" s="505"/>
      <c r="ER131" s="505"/>
      <c r="ES131" s="505"/>
      <c r="ET131" s="505"/>
      <c r="EU131" s="505"/>
      <c r="EV131" s="505"/>
      <c r="EW131" s="505"/>
      <c r="EX131" s="505"/>
      <c r="EY131" s="505"/>
      <c r="EZ131" s="505"/>
      <c r="FA131" s="505"/>
      <c r="FB131" s="505"/>
      <c r="FC131" s="505"/>
      <c r="FD131" s="505"/>
      <c r="FE131" s="505"/>
      <c r="FF131" s="505"/>
      <c r="FG131" s="505"/>
      <c r="FH131" s="505"/>
      <c r="FI131" s="505"/>
      <c r="FJ131" s="505"/>
      <c r="FK131" s="505"/>
      <c r="FL131" s="505"/>
      <c r="FM131" s="505"/>
      <c r="FN131" s="505"/>
      <c r="FO131" s="505"/>
      <c r="FP131" s="505"/>
      <c r="FQ131" s="505"/>
      <c r="FR131" s="505"/>
      <c r="FS131" s="505"/>
      <c r="FT131" s="505"/>
      <c r="FU131" s="505"/>
      <c r="FV131" s="505"/>
      <c r="FW131" s="505"/>
      <c r="FX131" s="505"/>
      <c r="FY131" s="505"/>
      <c r="FZ131" s="505"/>
      <c r="GA131" s="505"/>
      <c r="GB131" s="505"/>
      <c r="GC131" s="505"/>
      <c r="GD131" s="505"/>
      <c r="GE131" s="505"/>
      <c r="GF131" s="505"/>
      <c r="GG131" s="505"/>
      <c r="GH131" s="505"/>
      <c r="GI131" s="505"/>
      <c r="GJ131" s="505"/>
      <c r="GK131" s="505"/>
      <c r="GL131" s="505"/>
      <c r="GM131" s="505"/>
      <c r="GN131" s="505"/>
      <c r="GO131" s="505"/>
      <c r="GP131" s="505"/>
      <c r="GQ131" s="505"/>
      <c r="GR131" s="505"/>
      <c r="GS131" s="505"/>
      <c r="GT131" s="505"/>
      <c r="GU131" s="505"/>
      <c r="GV131" s="505"/>
      <c r="GW131" s="505"/>
      <c r="GX131" s="505"/>
      <c r="GY131" s="505"/>
      <c r="GZ131" s="505"/>
      <c r="HA131" s="505"/>
      <c r="HB131" s="505"/>
      <c r="HC131" s="505"/>
      <c r="HD131" s="505"/>
      <c r="HE131" s="505"/>
      <c r="HF131" s="505"/>
      <c r="HG131" s="505"/>
      <c r="HH131" s="505"/>
      <c r="HI131" s="505"/>
      <c r="HJ131" s="505"/>
      <c r="HK131" s="505"/>
      <c r="HL131" s="505"/>
      <c r="HM131" s="505"/>
      <c r="HN131" s="505"/>
      <c r="HO131" s="505"/>
      <c r="HP131" s="505"/>
      <c r="HQ131" s="505"/>
      <c r="HR131" s="505"/>
      <c r="HS131" s="505"/>
      <c r="HT131" s="505"/>
      <c r="HU131" s="505"/>
      <c r="HV131" s="505"/>
      <c r="HW131" s="505"/>
      <c r="HX131" s="505"/>
      <c r="HY131" s="505"/>
      <c r="HZ131" s="505"/>
      <c r="IA131" s="505"/>
      <c r="IB131" s="505"/>
      <c r="IC131" s="505"/>
      <c r="ID131" s="505"/>
      <c r="IE131" s="505"/>
      <c r="IF131" s="505"/>
      <c r="IG131" s="505"/>
      <c r="IH131" s="505"/>
      <c r="II131" s="505"/>
      <c r="IJ131" s="505"/>
      <c r="IK131" s="505"/>
      <c r="IL131" s="505"/>
      <c r="IM131" s="505"/>
      <c r="IN131" s="505"/>
      <c r="IO131" s="505"/>
      <c r="IP131" s="505"/>
      <c r="IQ131" s="505"/>
      <c r="IR131" s="505"/>
      <c r="IS131" s="505"/>
      <c r="IT131" s="505"/>
      <c r="IU131" s="505"/>
      <c r="IV131" s="505"/>
    </row>
    <row r="132" spans="1:497" ht="58.5" customHeight="1" x14ac:dyDescent="0.2">
      <c r="A132" s="506"/>
      <c r="B132" s="507"/>
      <c r="C132" s="3061"/>
      <c r="D132" s="3062"/>
      <c r="E132" s="530"/>
      <c r="F132" s="531"/>
      <c r="G132" s="3066"/>
      <c r="H132" s="3077"/>
      <c r="I132" s="2185"/>
      <c r="J132" s="3175"/>
      <c r="K132" s="606"/>
      <c r="L132" s="3177"/>
      <c r="M132" s="3077"/>
      <c r="N132" s="3170"/>
      <c r="O132" s="2982"/>
      <c r="P132" s="3077"/>
      <c r="Q132" s="2185"/>
      <c r="R132" s="561" t="s">
        <v>587</v>
      </c>
      <c r="S132" s="261">
        <v>7920000</v>
      </c>
      <c r="T132" s="691">
        <v>88</v>
      </c>
      <c r="U132" s="691" t="s">
        <v>588</v>
      </c>
      <c r="V132" s="3173"/>
      <c r="W132" s="2809"/>
      <c r="X132" s="2809"/>
      <c r="Y132" s="2809"/>
      <c r="Z132" s="2809"/>
      <c r="AA132" s="2809"/>
      <c r="AB132" s="3126"/>
      <c r="AC132" s="2809"/>
      <c r="AD132" s="2809"/>
      <c r="AE132" s="3163"/>
      <c r="AF132" s="3163"/>
      <c r="AG132" s="3163"/>
      <c r="AH132" s="3163"/>
      <c r="AI132" s="3163"/>
      <c r="AJ132" s="3163"/>
      <c r="AK132" s="3008"/>
      <c r="AL132" s="3102"/>
      <c r="AM132" s="3102"/>
      <c r="AN132" s="2065"/>
      <c r="AO132" s="504"/>
      <c r="AP132" s="504"/>
      <c r="AQ132" s="504"/>
      <c r="AR132" s="504"/>
      <c r="AS132" s="504"/>
      <c r="AT132" s="505"/>
      <c r="AU132" s="505"/>
      <c r="AV132" s="505"/>
      <c r="AW132" s="505"/>
      <c r="AX132" s="505"/>
      <c r="AY132" s="505"/>
      <c r="AZ132" s="505"/>
      <c r="BA132" s="505"/>
      <c r="BB132" s="505"/>
      <c r="BC132" s="505"/>
      <c r="BD132" s="505"/>
      <c r="BE132" s="505"/>
      <c r="BF132" s="505"/>
      <c r="BG132" s="505"/>
      <c r="BH132" s="505"/>
      <c r="BI132" s="505"/>
      <c r="BJ132" s="505"/>
      <c r="BK132" s="505"/>
      <c r="BL132" s="505"/>
      <c r="BM132" s="505"/>
      <c r="BN132" s="505"/>
      <c r="BO132" s="505"/>
      <c r="BP132" s="505"/>
      <c r="BQ132" s="505"/>
      <c r="BR132" s="505"/>
      <c r="BS132" s="505"/>
      <c r="BT132" s="505"/>
      <c r="BU132" s="505"/>
      <c r="BV132" s="505"/>
      <c r="BW132" s="505"/>
      <c r="BX132" s="505"/>
      <c r="BY132" s="505"/>
      <c r="BZ132" s="505"/>
      <c r="CA132" s="505"/>
      <c r="CB132" s="505"/>
      <c r="CC132" s="505"/>
      <c r="CD132" s="505"/>
      <c r="CE132" s="505"/>
      <c r="CF132" s="505"/>
      <c r="CG132" s="505"/>
      <c r="CH132" s="505"/>
      <c r="CI132" s="505"/>
      <c r="CJ132" s="505"/>
      <c r="CK132" s="505"/>
      <c r="CL132" s="505"/>
      <c r="CM132" s="505"/>
      <c r="CN132" s="505"/>
      <c r="CO132" s="505"/>
      <c r="CP132" s="505"/>
      <c r="CQ132" s="505"/>
      <c r="CR132" s="505"/>
      <c r="CS132" s="505"/>
      <c r="CT132" s="505"/>
      <c r="CU132" s="505"/>
      <c r="CV132" s="505"/>
      <c r="CW132" s="505"/>
      <c r="CX132" s="505"/>
      <c r="CY132" s="505"/>
      <c r="CZ132" s="505"/>
      <c r="DA132" s="505"/>
      <c r="DB132" s="505"/>
      <c r="DC132" s="505"/>
      <c r="DD132" s="505"/>
      <c r="DE132" s="505"/>
      <c r="DF132" s="505"/>
      <c r="DG132" s="505"/>
      <c r="DH132" s="505"/>
      <c r="DI132" s="505"/>
      <c r="DJ132" s="505"/>
      <c r="DK132" s="505"/>
      <c r="DL132" s="505"/>
      <c r="DM132" s="505"/>
      <c r="DN132" s="505"/>
      <c r="DO132" s="505"/>
      <c r="DP132" s="505"/>
      <c r="DQ132" s="505"/>
      <c r="DR132" s="505"/>
      <c r="DS132" s="505"/>
      <c r="DT132" s="505"/>
      <c r="DU132" s="505"/>
      <c r="DV132" s="505"/>
      <c r="DW132" s="505"/>
      <c r="DX132" s="505"/>
      <c r="DY132" s="505"/>
      <c r="DZ132" s="505"/>
      <c r="EA132" s="505"/>
      <c r="EB132" s="505"/>
      <c r="EC132" s="505"/>
      <c r="ED132" s="505"/>
      <c r="EE132" s="505"/>
      <c r="EF132" s="505"/>
      <c r="EG132" s="505"/>
      <c r="EH132" s="505"/>
      <c r="EI132" s="505"/>
      <c r="EJ132" s="505"/>
      <c r="EK132" s="505"/>
      <c r="EL132" s="505"/>
      <c r="EM132" s="505"/>
      <c r="EN132" s="505"/>
      <c r="EO132" s="505"/>
      <c r="EP132" s="505"/>
      <c r="EQ132" s="505"/>
      <c r="ER132" s="505"/>
      <c r="ES132" s="505"/>
      <c r="ET132" s="505"/>
      <c r="EU132" s="505"/>
      <c r="EV132" s="505"/>
      <c r="EW132" s="505"/>
      <c r="EX132" s="505"/>
      <c r="EY132" s="505"/>
      <c r="EZ132" s="505"/>
      <c r="FA132" s="505"/>
      <c r="FB132" s="505"/>
      <c r="FC132" s="505"/>
      <c r="FD132" s="505"/>
      <c r="FE132" s="505"/>
      <c r="FF132" s="505"/>
      <c r="FG132" s="505"/>
      <c r="FH132" s="505"/>
      <c r="FI132" s="505"/>
      <c r="FJ132" s="505"/>
      <c r="FK132" s="505"/>
      <c r="FL132" s="505"/>
      <c r="FM132" s="505"/>
      <c r="FN132" s="505"/>
      <c r="FO132" s="505"/>
      <c r="FP132" s="505"/>
      <c r="FQ132" s="505"/>
      <c r="FR132" s="505"/>
      <c r="FS132" s="505"/>
      <c r="FT132" s="505"/>
      <c r="FU132" s="505"/>
      <c r="FV132" s="505"/>
      <c r="FW132" s="505"/>
      <c r="FX132" s="505"/>
      <c r="FY132" s="505"/>
      <c r="FZ132" s="505"/>
      <c r="GA132" s="505"/>
      <c r="GB132" s="505"/>
      <c r="GC132" s="505"/>
      <c r="GD132" s="505"/>
      <c r="GE132" s="505"/>
      <c r="GF132" s="505"/>
      <c r="GG132" s="505"/>
      <c r="GH132" s="505"/>
      <c r="GI132" s="505"/>
      <c r="GJ132" s="505"/>
      <c r="GK132" s="505"/>
      <c r="GL132" s="505"/>
      <c r="GM132" s="505"/>
      <c r="GN132" s="505"/>
      <c r="GO132" s="505"/>
      <c r="GP132" s="505"/>
      <c r="GQ132" s="505"/>
      <c r="GR132" s="505"/>
      <c r="GS132" s="505"/>
      <c r="GT132" s="505"/>
      <c r="GU132" s="505"/>
      <c r="GV132" s="505"/>
      <c r="GW132" s="505"/>
      <c r="GX132" s="505"/>
      <c r="GY132" s="505"/>
      <c r="GZ132" s="505"/>
      <c r="HA132" s="505"/>
      <c r="HB132" s="505"/>
      <c r="HC132" s="505"/>
      <c r="HD132" s="505"/>
      <c r="HE132" s="505"/>
      <c r="HF132" s="505"/>
      <c r="HG132" s="505"/>
      <c r="HH132" s="505"/>
      <c r="HI132" s="505"/>
      <c r="HJ132" s="505"/>
      <c r="HK132" s="505"/>
      <c r="HL132" s="505"/>
      <c r="HM132" s="505"/>
      <c r="HN132" s="505"/>
      <c r="HO132" s="505"/>
      <c r="HP132" s="505"/>
      <c r="HQ132" s="505"/>
      <c r="HR132" s="505"/>
      <c r="HS132" s="505"/>
      <c r="HT132" s="505"/>
      <c r="HU132" s="505"/>
      <c r="HV132" s="505"/>
      <c r="HW132" s="505"/>
      <c r="HX132" s="505"/>
      <c r="HY132" s="505"/>
      <c r="HZ132" s="505"/>
      <c r="IA132" s="505"/>
      <c r="IB132" s="505"/>
      <c r="IC132" s="505"/>
      <c r="ID132" s="505"/>
      <c r="IE132" s="505"/>
      <c r="IF132" s="505"/>
      <c r="IG132" s="505"/>
      <c r="IH132" s="505"/>
      <c r="II132" s="505"/>
      <c r="IJ132" s="505"/>
      <c r="IK132" s="505"/>
      <c r="IL132" s="505"/>
      <c r="IM132" s="505"/>
      <c r="IN132" s="505"/>
      <c r="IO132" s="505"/>
      <c r="IP132" s="505"/>
      <c r="IQ132" s="505"/>
      <c r="IR132" s="505"/>
      <c r="IS132" s="505"/>
      <c r="IT132" s="505"/>
      <c r="IU132" s="505"/>
      <c r="IV132" s="505"/>
    </row>
    <row r="133" spans="1:497" ht="60" customHeight="1" x14ac:dyDescent="0.2">
      <c r="A133" s="506"/>
      <c r="B133" s="507"/>
      <c r="C133" s="3061"/>
      <c r="D133" s="3062"/>
      <c r="E133" s="530"/>
      <c r="F133" s="531"/>
      <c r="G133" s="3066"/>
      <c r="H133" s="3077"/>
      <c r="I133" s="2185"/>
      <c r="J133" s="3175"/>
      <c r="K133" s="606" t="s">
        <v>589</v>
      </c>
      <c r="L133" s="3177"/>
      <c r="M133" s="3077"/>
      <c r="N133" s="3170"/>
      <c r="O133" s="2982"/>
      <c r="P133" s="3077"/>
      <c r="Q133" s="2185"/>
      <c r="R133" s="594" t="s">
        <v>590</v>
      </c>
      <c r="S133" s="261">
        <v>7200000</v>
      </c>
      <c r="T133" s="691">
        <v>6</v>
      </c>
      <c r="U133" s="691" t="s">
        <v>591</v>
      </c>
      <c r="V133" s="3173"/>
      <c r="W133" s="2809"/>
      <c r="X133" s="2809"/>
      <c r="Y133" s="2809"/>
      <c r="Z133" s="2809"/>
      <c r="AA133" s="2809"/>
      <c r="AB133" s="3126"/>
      <c r="AC133" s="2809"/>
      <c r="AD133" s="2809"/>
      <c r="AE133" s="3163"/>
      <c r="AF133" s="3163"/>
      <c r="AG133" s="3163"/>
      <c r="AH133" s="3163"/>
      <c r="AI133" s="3163"/>
      <c r="AJ133" s="3163"/>
      <c r="AK133" s="3008"/>
      <c r="AL133" s="3102"/>
      <c r="AM133" s="3102"/>
      <c r="AN133" s="2065"/>
      <c r="AO133" s="504"/>
      <c r="AP133" s="504"/>
      <c r="AQ133" s="504"/>
      <c r="AR133" s="504"/>
      <c r="AS133" s="504"/>
      <c r="AT133" s="505"/>
      <c r="AU133" s="505"/>
      <c r="AV133" s="505"/>
      <c r="AW133" s="505"/>
      <c r="AX133" s="505"/>
      <c r="AY133" s="505"/>
      <c r="AZ133" s="505"/>
      <c r="BA133" s="505"/>
      <c r="BB133" s="505"/>
      <c r="BC133" s="505"/>
      <c r="BD133" s="505"/>
      <c r="BE133" s="505"/>
      <c r="BF133" s="505"/>
      <c r="BG133" s="505"/>
      <c r="BH133" s="505"/>
      <c r="BI133" s="505"/>
      <c r="BJ133" s="505"/>
      <c r="BK133" s="505"/>
      <c r="BL133" s="505"/>
      <c r="BM133" s="505"/>
      <c r="BN133" s="505"/>
      <c r="BO133" s="505"/>
      <c r="BP133" s="505"/>
      <c r="BQ133" s="505"/>
      <c r="BR133" s="505"/>
      <c r="BS133" s="505"/>
      <c r="BT133" s="505"/>
      <c r="BU133" s="505"/>
      <c r="BV133" s="505"/>
      <c r="BW133" s="505"/>
      <c r="BX133" s="505"/>
      <c r="BY133" s="505"/>
      <c r="BZ133" s="505"/>
      <c r="CA133" s="505"/>
      <c r="CB133" s="505"/>
      <c r="CC133" s="505"/>
      <c r="CD133" s="505"/>
      <c r="CE133" s="505"/>
      <c r="CF133" s="505"/>
      <c r="CG133" s="505"/>
      <c r="CH133" s="505"/>
      <c r="CI133" s="505"/>
      <c r="CJ133" s="505"/>
      <c r="CK133" s="505"/>
      <c r="CL133" s="505"/>
      <c r="CM133" s="505"/>
      <c r="CN133" s="505"/>
      <c r="CO133" s="505"/>
      <c r="CP133" s="505"/>
      <c r="CQ133" s="505"/>
      <c r="CR133" s="505"/>
      <c r="CS133" s="505"/>
      <c r="CT133" s="505"/>
      <c r="CU133" s="505"/>
      <c r="CV133" s="505"/>
      <c r="CW133" s="505"/>
      <c r="CX133" s="505"/>
      <c r="CY133" s="505"/>
      <c r="CZ133" s="505"/>
      <c r="DA133" s="505"/>
      <c r="DB133" s="505"/>
      <c r="DC133" s="505"/>
      <c r="DD133" s="505"/>
      <c r="DE133" s="505"/>
      <c r="DF133" s="505"/>
      <c r="DG133" s="505"/>
      <c r="DH133" s="505"/>
      <c r="DI133" s="505"/>
      <c r="DJ133" s="505"/>
      <c r="DK133" s="505"/>
      <c r="DL133" s="505"/>
      <c r="DM133" s="505"/>
      <c r="DN133" s="505"/>
      <c r="DO133" s="505"/>
      <c r="DP133" s="505"/>
      <c r="DQ133" s="505"/>
      <c r="DR133" s="505"/>
      <c r="DS133" s="505"/>
      <c r="DT133" s="505"/>
      <c r="DU133" s="505"/>
      <c r="DV133" s="505"/>
      <c r="DW133" s="505"/>
      <c r="DX133" s="505"/>
      <c r="DY133" s="505"/>
      <c r="DZ133" s="505"/>
      <c r="EA133" s="505"/>
      <c r="EB133" s="505"/>
      <c r="EC133" s="505"/>
      <c r="ED133" s="505"/>
      <c r="EE133" s="505"/>
      <c r="EF133" s="505"/>
      <c r="EG133" s="505"/>
      <c r="EH133" s="505"/>
      <c r="EI133" s="505"/>
      <c r="EJ133" s="505"/>
      <c r="EK133" s="505"/>
      <c r="EL133" s="505"/>
      <c r="EM133" s="505"/>
      <c r="EN133" s="505"/>
      <c r="EO133" s="505"/>
      <c r="EP133" s="505"/>
      <c r="EQ133" s="505"/>
      <c r="ER133" s="505"/>
      <c r="ES133" s="505"/>
      <c r="ET133" s="505"/>
      <c r="EU133" s="505"/>
      <c r="EV133" s="505"/>
      <c r="EW133" s="505"/>
      <c r="EX133" s="505"/>
      <c r="EY133" s="505"/>
      <c r="EZ133" s="505"/>
      <c r="FA133" s="505"/>
      <c r="FB133" s="505"/>
      <c r="FC133" s="505"/>
      <c r="FD133" s="505"/>
      <c r="FE133" s="505"/>
      <c r="FF133" s="505"/>
      <c r="FG133" s="505"/>
      <c r="FH133" s="505"/>
      <c r="FI133" s="505"/>
      <c r="FJ133" s="505"/>
      <c r="FK133" s="505"/>
      <c r="FL133" s="505"/>
      <c r="FM133" s="505"/>
      <c r="FN133" s="505"/>
      <c r="FO133" s="505"/>
      <c r="FP133" s="505"/>
      <c r="FQ133" s="505"/>
      <c r="FR133" s="505"/>
      <c r="FS133" s="505"/>
      <c r="FT133" s="505"/>
      <c r="FU133" s="505"/>
      <c r="FV133" s="505"/>
      <c r="FW133" s="505"/>
      <c r="FX133" s="505"/>
      <c r="FY133" s="505"/>
      <c r="FZ133" s="505"/>
      <c r="GA133" s="505"/>
      <c r="GB133" s="505"/>
      <c r="GC133" s="505"/>
      <c r="GD133" s="505"/>
      <c r="GE133" s="505"/>
      <c r="GF133" s="505"/>
      <c r="GG133" s="505"/>
      <c r="GH133" s="505"/>
      <c r="GI133" s="505"/>
      <c r="GJ133" s="505"/>
      <c r="GK133" s="505"/>
      <c r="GL133" s="505"/>
      <c r="GM133" s="505"/>
      <c r="GN133" s="505"/>
      <c r="GO133" s="505"/>
      <c r="GP133" s="505"/>
      <c r="GQ133" s="505"/>
      <c r="GR133" s="505"/>
      <c r="GS133" s="505"/>
      <c r="GT133" s="505"/>
      <c r="GU133" s="505"/>
      <c r="GV133" s="505"/>
      <c r="GW133" s="505"/>
      <c r="GX133" s="505"/>
      <c r="GY133" s="505"/>
      <c r="GZ133" s="505"/>
      <c r="HA133" s="505"/>
      <c r="HB133" s="505"/>
      <c r="HC133" s="505"/>
      <c r="HD133" s="505"/>
      <c r="HE133" s="505"/>
      <c r="HF133" s="505"/>
      <c r="HG133" s="505"/>
      <c r="HH133" s="505"/>
      <c r="HI133" s="505"/>
      <c r="HJ133" s="505"/>
      <c r="HK133" s="505"/>
      <c r="HL133" s="505"/>
      <c r="HM133" s="505"/>
      <c r="HN133" s="505"/>
      <c r="HO133" s="505"/>
      <c r="HP133" s="505"/>
      <c r="HQ133" s="505"/>
      <c r="HR133" s="505"/>
      <c r="HS133" s="505"/>
      <c r="HT133" s="505"/>
      <c r="HU133" s="505"/>
      <c r="HV133" s="505"/>
      <c r="HW133" s="505"/>
      <c r="HX133" s="505"/>
      <c r="HY133" s="505"/>
      <c r="HZ133" s="505"/>
      <c r="IA133" s="505"/>
      <c r="IB133" s="505"/>
      <c r="IC133" s="505"/>
      <c r="ID133" s="505"/>
      <c r="IE133" s="505"/>
      <c r="IF133" s="505"/>
      <c r="IG133" s="505"/>
      <c r="IH133" s="505"/>
      <c r="II133" s="505"/>
      <c r="IJ133" s="505"/>
      <c r="IK133" s="505"/>
      <c r="IL133" s="505"/>
      <c r="IM133" s="505"/>
      <c r="IN133" s="505"/>
      <c r="IO133" s="505"/>
      <c r="IP133" s="505"/>
      <c r="IQ133" s="505"/>
      <c r="IR133" s="505"/>
      <c r="IS133" s="505"/>
      <c r="IT133" s="505"/>
      <c r="IU133" s="505"/>
      <c r="IV133" s="505"/>
    </row>
    <row r="134" spans="1:497" ht="66.75" customHeight="1" x14ac:dyDescent="0.2">
      <c r="A134" s="506"/>
      <c r="B134" s="507"/>
      <c r="C134" s="3061"/>
      <c r="D134" s="3062"/>
      <c r="E134" s="530"/>
      <c r="F134" s="531"/>
      <c r="G134" s="3066"/>
      <c r="H134" s="3077"/>
      <c r="I134" s="2185"/>
      <c r="J134" s="3175"/>
      <c r="K134" s="606"/>
      <c r="L134" s="3177"/>
      <c r="M134" s="3077"/>
      <c r="N134" s="3170"/>
      <c r="O134" s="2982"/>
      <c r="P134" s="3077"/>
      <c r="Q134" s="2185"/>
      <c r="R134" s="563" t="s">
        <v>592</v>
      </c>
      <c r="S134" s="261">
        <v>2000000</v>
      </c>
      <c r="T134" s="691">
        <v>84</v>
      </c>
      <c r="U134" s="691" t="s">
        <v>593</v>
      </c>
      <c r="V134" s="3173"/>
      <c r="W134" s="2809"/>
      <c r="X134" s="2809"/>
      <c r="Y134" s="2809"/>
      <c r="Z134" s="2809"/>
      <c r="AA134" s="2809"/>
      <c r="AB134" s="3126"/>
      <c r="AC134" s="2809"/>
      <c r="AD134" s="2809"/>
      <c r="AE134" s="3163"/>
      <c r="AF134" s="3163"/>
      <c r="AG134" s="3163"/>
      <c r="AH134" s="3163"/>
      <c r="AI134" s="3163"/>
      <c r="AJ134" s="3163"/>
      <c r="AK134" s="3008"/>
      <c r="AL134" s="3102"/>
      <c r="AM134" s="3102"/>
      <c r="AN134" s="2065"/>
      <c r="AO134" s="504"/>
      <c r="AP134" s="504"/>
      <c r="AQ134" s="504"/>
      <c r="AR134" s="504"/>
      <c r="AS134" s="504"/>
      <c r="AT134" s="505"/>
      <c r="AU134" s="505"/>
      <c r="AV134" s="505"/>
      <c r="AW134" s="505"/>
      <c r="AX134" s="505"/>
      <c r="AY134" s="505"/>
      <c r="AZ134" s="505"/>
      <c r="BA134" s="505"/>
      <c r="BB134" s="505"/>
      <c r="BC134" s="505"/>
      <c r="BD134" s="505"/>
      <c r="BE134" s="505"/>
      <c r="BF134" s="505"/>
      <c r="BG134" s="505"/>
      <c r="BH134" s="505"/>
      <c r="BI134" s="505"/>
      <c r="BJ134" s="505"/>
      <c r="BK134" s="505"/>
      <c r="BL134" s="505"/>
      <c r="BM134" s="505"/>
      <c r="BN134" s="505"/>
      <c r="BO134" s="505"/>
      <c r="BP134" s="505"/>
      <c r="BQ134" s="505"/>
      <c r="BR134" s="505"/>
      <c r="BS134" s="505"/>
      <c r="BT134" s="505"/>
      <c r="BU134" s="505"/>
      <c r="BV134" s="505"/>
      <c r="BW134" s="505"/>
      <c r="BX134" s="505"/>
      <c r="BY134" s="505"/>
      <c r="BZ134" s="505"/>
      <c r="CA134" s="505"/>
      <c r="CB134" s="505"/>
      <c r="CC134" s="505"/>
      <c r="CD134" s="505"/>
      <c r="CE134" s="505"/>
      <c r="CF134" s="505"/>
      <c r="CG134" s="505"/>
      <c r="CH134" s="505"/>
      <c r="CI134" s="505"/>
      <c r="CJ134" s="505"/>
      <c r="CK134" s="505"/>
      <c r="CL134" s="505"/>
      <c r="CM134" s="505"/>
      <c r="CN134" s="505"/>
      <c r="CO134" s="505"/>
      <c r="CP134" s="505"/>
      <c r="CQ134" s="505"/>
      <c r="CR134" s="505"/>
      <c r="CS134" s="505"/>
      <c r="CT134" s="505"/>
      <c r="CU134" s="505"/>
      <c r="CV134" s="505"/>
      <c r="CW134" s="505"/>
      <c r="CX134" s="505"/>
      <c r="CY134" s="505"/>
      <c r="CZ134" s="505"/>
      <c r="DA134" s="505"/>
      <c r="DB134" s="505"/>
      <c r="DC134" s="505"/>
      <c r="DD134" s="505"/>
      <c r="DE134" s="505"/>
      <c r="DF134" s="505"/>
      <c r="DG134" s="505"/>
      <c r="DH134" s="505"/>
      <c r="DI134" s="505"/>
      <c r="DJ134" s="505"/>
      <c r="DK134" s="505"/>
      <c r="DL134" s="505"/>
      <c r="DM134" s="505"/>
      <c r="DN134" s="505"/>
      <c r="DO134" s="505"/>
      <c r="DP134" s="505"/>
      <c r="DQ134" s="505"/>
      <c r="DR134" s="505"/>
      <c r="DS134" s="505"/>
      <c r="DT134" s="505"/>
      <c r="DU134" s="505"/>
      <c r="DV134" s="505"/>
      <c r="DW134" s="505"/>
      <c r="DX134" s="505"/>
      <c r="DY134" s="505"/>
      <c r="DZ134" s="505"/>
      <c r="EA134" s="505"/>
      <c r="EB134" s="505"/>
      <c r="EC134" s="505"/>
      <c r="ED134" s="505"/>
      <c r="EE134" s="505"/>
      <c r="EF134" s="505"/>
      <c r="EG134" s="505"/>
      <c r="EH134" s="505"/>
      <c r="EI134" s="505"/>
      <c r="EJ134" s="505"/>
      <c r="EK134" s="505"/>
      <c r="EL134" s="505"/>
      <c r="EM134" s="505"/>
      <c r="EN134" s="505"/>
      <c r="EO134" s="505"/>
      <c r="EP134" s="505"/>
      <c r="EQ134" s="505"/>
      <c r="ER134" s="505"/>
      <c r="ES134" s="505"/>
      <c r="ET134" s="505"/>
      <c r="EU134" s="505"/>
      <c r="EV134" s="505"/>
      <c r="EW134" s="505"/>
      <c r="EX134" s="505"/>
      <c r="EY134" s="505"/>
      <c r="EZ134" s="505"/>
      <c r="FA134" s="505"/>
      <c r="FB134" s="505"/>
      <c r="FC134" s="505"/>
      <c r="FD134" s="505"/>
      <c r="FE134" s="505"/>
      <c r="FF134" s="505"/>
      <c r="FG134" s="505"/>
      <c r="FH134" s="505"/>
      <c r="FI134" s="505"/>
      <c r="FJ134" s="505"/>
      <c r="FK134" s="505"/>
      <c r="FL134" s="505"/>
      <c r="FM134" s="505"/>
      <c r="FN134" s="505"/>
      <c r="FO134" s="505"/>
      <c r="FP134" s="505"/>
      <c r="FQ134" s="505"/>
      <c r="FR134" s="505"/>
      <c r="FS134" s="505"/>
      <c r="FT134" s="505"/>
      <c r="FU134" s="505"/>
      <c r="FV134" s="505"/>
      <c r="FW134" s="505"/>
      <c r="FX134" s="505"/>
      <c r="FY134" s="505"/>
      <c r="FZ134" s="505"/>
      <c r="GA134" s="505"/>
      <c r="GB134" s="505"/>
      <c r="GC134" s="505"/>
      <c r="GD134" s="505"/>
      <c r="GE134" s="505"/>
      <c r="GF134" s="505"/>
      <c r="GG134" s="505"/>
      <c r="GH134" s="505"/>
      <c r="GI134" s="505"/>
      <c r="GJ134" s="505"/>
      <c r="GK134" s="505"/>
      <c r="GL134" s="505"/>
      <c r="GM134" s="505"/>
      <c r="GN134" s="505"/>
      <c r="GO134" s="505"/>
      <c r="GP134" s="505"/>
      <c r="GQ134" s="505"/>
      <c r="GR134" s="505"/>
      <c r="GS134" s="505"/>
      <c r="GT134" s="505"/>
      <c r="GU134" s="505"/>
      <c r="GV134" s="505"/>
      <c r="GW134" s="505"/>
      <c r="GX134" s="505"/>
      <c r="GY134" s="505"/>
      <c r="GZ134" s="505"/>
      <c r="HA134" s="505"/>
      <c r="HB134" s="505"/>
      <c r="HC134" s="505"/>
      <c r="HD134" s="505"/>
      <c r="HE134" s="505"/>
      <c r="HF134" s="505"/>
      <c r="HG134" s="505"/>
      <c r="HH134" s="505"/>
      <c r="HI134" s="505"/>
      <c r="HJ134" s="505"/>
      <c r="HK134" s="505"/>
      <c r="HL134" s="505"/>
      <c r="HM134" s="505"/>
      <c r="HN134" s="505"/>
      <c r="HO134" s="505"/>
      <c r="HP134" s="505"/>
      <c r="HQ134" s="505"/>
      <c r="HR134" s="505"/>
      <c r="HS134" s="505"/>
      <c r="HT134" s="505"/>
      <c r="HU134" s="505"/>
      <c r="HV134" s="505"/>
      <c r="HW134" s="505"/>
      <c r="HX134" s="505"/>
      <c r="HY134" s="505"/>
      <c r="HZ134" s="505"/>
      <c r="IA134" s="505"/>
      <c r="IB134" s="505"/>
      <c r="IC134" s="505"/>
      <c r="ID134" s="505"/>
      <c r="IE134" s="505"/>
      <c r="IF134" s="505"/>
      <c r="IG134" s="505"/>
      <c r="IH134" s="505"/>
      <c r="II134" s="505"/>
      <c r="IJ134" s="505"/>
      <c r="IK134" s="505"/>
      <c r="IL134" s="505"/>
      <c r="IM134" s="505"/>
      <c r="IN134" s="505"/>
      <c r="IO134" s="505"/>
      <c r="IP134" s="505"/>
      <c r="IQ134" s="505"/>
      <c r="IR134" s="505"/>
      <c r="IS134" s="505"/>
      <c r="IT134" s="505"/>
      <c r="IU134" s="505"/>
      <c r="IV134" s="505"/>
    </row>
    <row r="135" spans="1:497" ht="63.75" customHeight="1" x14ac:dyDescent="0.2">
      <c r="A135" s="506"/>
      <c r="B135" s="507"/>
      <c r="C135" s="3061"/>
      <c r="D135" s="3062"/>
      <c r="E135" s="530"/>
      <c r="F135" s="531"/>
      <c r="G135" s="3067"/>
      <c r="H135" s="3106"/>
      <c r="I135" s="2089"/>
      <c r="J135" s="3176"/>
      <c r="K135" s="606" t="s">
        <v>594</v>
      </c>
      <c r="L135" s="3177"/>
      <c r="M135" s="3077"/>
      <c r="N135" s="3171"/>
      <c r="O135" s="2982"/>
      <c r="P135" s="3077"/>
      <c r="Q135" s="2185"/>
      <c r="R135" s="563" t="s">
        <v>595</v>
      </c>
      <c r="S135" s="265">
        <v>5960000</v>
      </c>
      <c r="T135" s="592"/>
      <c r="U135" s="592"/>
      <c r="V135" s="3173"/>
      <c r="W135" s="2809"/>
      <c r="X135" s="2809"/>
      <c r="Y135" s="2809"/>
      <c r="Z135" s="2809"/>
      <c r="AA135" s="2809"/>
      <c r="AB135" s="3126"/>
      <c r="AC135" s="2809"/>
      <c r="AD135" s="2809"/>
      <c r="AE135" s="3163"/>
      <c r="AF135" s="3163"/>
      <c r="AG135" s="3163"/>
      <c r="AH135" s="3163"/>
      <c r="AI135" s="3163"/>
      <c r="AJ135" s="3163"/>
      <c r="AK135" s="3008"/>
      <c r="AL135" s="3102"/>
      <c r="AM135" s="3102"/>
      <c r="AN135" s="2065"/>
      <c r="AO135" s="504"/>
      <c r="AP135" s="504"/>
      <c r="AQ135" s="504"/>
      <c r="AR135" s="504"/>
      <c r="AS135" s="504"/>
      <c r="AT135" s="505"/>
      <c r="AU135" s="505"/>
      <c r="AV135" s="505"/>
      <c r="AW135" s="505"/>
      <c r="AX135" s="505"/>
      <c r="AY135" s="505"/>
      <c r="AZ135" s="505"/>
      <c r="BA135" s="505"/>
      <c r="BB135" s="505"/>
      <c r="BC135" s="505"/>
      <c r="BD135" s="505"/>
      <c r="BE135" s="505"/>
      <c r="BF135" s="505"/>
      <c r="BG135" s="505"/>
      <c r="BH135" s="505"/>
      <c r="BI135" s="505"/>
      <c r="BJ135" s="505"/>
      <c r="BK135" s="505"/>
      <c r="BL135" s="505"/>
      <c r="BM135" s="505"/>
      <c r="BN135" s="505"/>
      <c r="BO135" s="505"/>
      <c r="BP135" s="505"/>
      <c r="BQ135" s="505"/>
      <c r="BR135" s="505"/>
      <c r="BS135" s="505"/>
      <c r="BT135" s="505"/>
      <c r="BU135" s="505"/>
      <c r="BV135" s="505"/>
      <c r="BW135" s="505"/>
      <c r="BX135" s="505"/>
      <c r="BY135" s="505"/>
      <c r="BZ135" s="505"/>
      <c r="CA135" s="505"/>
      <c r="CB135" s="505"/>
      <c r="CC135" s="505"/>
      <c r="CD135" s="505"/>
      <c r="CE135" s="505"/>
      <c r="CF135" s="505"/>
      <c r="CG135" s="505"/>
      <c r="CH135" s="505"/>
      <c r="CI135" s="505"/>
      <c r="CJ135" s="505"/>
      <c r="CK135" s="505"/>
      <c r="CL135" s="505"/>
      <c r="CM135" s="505"/>
      <c r="CN135" s="505"/>
      <c r="CO135" s="505"/>
      <c r="CP135" s="505"/>
      <c r="CQ135" s="505"/>
      <c r="CR135" s="505"/>
      <c r="CS135" s="505"/>
      <c r="CT135" s="505"/>
      <c r="CU135" s="505"/>
      <c r="CV135" s="505"/>
      <c r="CW135" s="505"/>
      <c r="CX135" s="505"/>
      <c r="CY135" s="505"/>
      <c r="CZ135" s="505"/>
      <c r="DA135" s="505"/>
      <c r="DB135" s="505"/>
      <c r="DC135" s="505"/>
      <c r="DD135" s="505"/>
      <c r="DE135" s="505"/>
      <c r="DF135" s="505"/>
      <c r="DG135" s="505"/>
      <c r="DH135" s="505"/>
      <c r="DI135" s="505"/>
      <c r="DJ135" s="505"/>
      <c r="DK135" s="505"/>
      <c r="DL135" s="505"/>
      <c r="DM135" s="505"/>
      <c r="DN135" s="505"/>
      <c r="DO135" s="505"/>
      <c r="DP135" s="505"/>
      <c r="DQ135" s="505"/>
      <c r="DR135" s="505"/>
      <c r="DS135" s="505"/>
      <c r="DT135" s="505"/>
      <c r="DU135" s="505"/>
      <c r="DV135" s="505"/>
      <c r="DW135" s="505"/>
      <c r="DX135" s="505"/>
      <c r="DY135" s="505"/>
      <c r="DZ135" s="505"/>
      <c r="EA135" s="505"/>
      <c r="EB135" s="505"/>
      <c r="EC135" s="505"/>
      <c r="ED135" s="505"/>
      <c r="EE135" s="505"/>
      <c r="EF135" s="505"/>
      <c r="EG135" s="505"/>
      <c r="EH135" s="505"/>
      <c r="EI135" s="505"/>
      <c r="EJ135" s="505"/>
      <c r="EK135" s="505"/>
      <c r="EL135" s="505"/>
      <c r="EM135" s="505"/>
      <c r="EN135" s="505"/>
      <c r="EO135" s="505"/>
      <c r="EP135" s="505"/>
      <c r="EQ135" s="505"/>
      <c r="ER135" s="505"/>
      <c r="ES135" s="505"/>
      <c r="ET135" s="505"/>
      <c r="EU135" s="505"/>
      <c r="EV135" s="505"/>
      <c r="EW135" s="505"/>
      <c r="EX135" s="505"/>
      <c r="EY135" s="505"/>
      <c r="EZ135" s="505"/>
      <c r="FA135" s="505"/>
      <c r="FB135" s="505"/>
      <c r="FC135" s="505"/>
      <c r="FD135" s="505"/>
      <c r="FE135" s="505"/>
      <c r="FF135" s="505"/>
      <c r="FG135" s="505"/>
      <c r="FH135" s="505"/>
      <c r="FI135" s="505"/>
      <c r="FJ135" s="505"/>
      <c r="FK135" s="505"/>
      <c r="FL135" s="505"/>
      <c r="FM135" s="505"/>
      <c r="FN135" s="505"/>
      <c r="FO135" s="505"/>
      <c r="FP135" s="505"/>
      <c r="FQ135" s="505"/>
      <c r="FR135" s="505"/>
      <c r="FS135" s="505"/>
      <c r="FT135" s="505"/>
      <c r="FU135" s="505"/>
      <c r="FV135" s="505"/>
      <c r="FW135" s="505"/>
      <c r="FX135" s="505"/>
      <c r="FY135" s="505"/>
      <c r="FZ135" s="505"/>
      <c r="GA135" s="505"/>
      <c r="GB135" s="505"/>
      <c r="GC135" s="505"/>
      <c r="GD135" s="505"/>
      <c r="GE135" s="505"/>
      <c r="GF135" s="505"/>
      <c r="GG135" s="505"/>
      <c r="GH135" s="505"/>
      <c r="GI135" s="505"/>
      <c r="GJ135" s="505"/>
      <c r="GK135" s="505"/>
      <c r="GL135" s="505"/>
      <c r="GM135" s="505"/>
      <c r="GN135" s="505"/>
      <c r="GO135" s="505"/>
      <c r="GP135" s="505"/>
      <c r="GQ135" s="505"/>
      <c r="GR135" s="505"/>
      <c r="GS135" s="505"/>
      <c r="GT135" s="505"/>
      <c r="GU135" s="505"/>
      <c r="GV135" s="505"/>
      <c r="GW135" s="505"/>
      <c r="GX135" s="505"/>
      <c r="GY135" s="505"/>
      <c r="GZ135" s="505"/>
      <c r="HA135" s="505"/>
      <c r="HB135" s="505"/>
      <c r="HC135" s="505"/>
      <c r="HD135" s="505"/>
      <c r="HE135" s="505"/>
      <c r="HF135" s="505"/>
      <c r="HG135" s="505"/>
      <c r="HH135" s="505"/>
      <c r="HI135" s="505"/>
      <c r="HJ135" s="505"/>
      <c r="HK135" s="505"/>
      <c r="HL135" s="505"/>
      <c r="HM135" s="505"/>
      <c r="HN135" s="505"/>
      <c r="HO135" s="505"/>
      <c r="HP135" s="505"/>
      <c r="HQ135" s="505"/>
      <c r="HR135" s="505"/>
      <c r="HS135" s="505"/>
      <c r="HT135" s="505"/>
      <c r="HU135" s="505"/>
      <c r="HV135" s="505"/>
      <c r="HW135" s="505"/>
      <c r="HX135" s="505"/>
      <c r="HY135" s="505"/>
      <c r="HZ135" s="505"/>
      <c r="IA135" s="505"/>
      <c r="IB135" s="505"/>
      <c r="IC135" s="505"/>
      <c r="ID135" s="505"/>
      <c r="IE135" s="505"/>
      <c r="IF135" s="505"/>
      <c r="IG135" s="505"/>
      <c r="IH135" s="505"/>
      <c r="II135" s="505"/>
      <c r="IJ135" s="505"/>
      <c r="IK135" s="505"/>
      <c r="IL135" s="505"/>
      <c r="IM135" s="505"/>
      <c r="IN135" s="505"/>
      <c r="IO135" s="505"/>
      <c r="IP135" s="505"/>
      <c r="IQ135" s="505"/>
      <c r="IR135" s="505"/>
      <c r="IS135" s="505"/>
      <c r="IT135" s="505"/>
      <c r="IU135" s="505"/>
      <c r="IV135" s="505"/>
    </row>
    <row r="136" spans="1:497" ht="86.25" customHeight="1" x14ac:dyDescent="0.2">
      <c r="A136" s="506"/>
      <c r="B136" s="507"/>
      <c r="C136" s="3061"/>
      <c r="D136" s="3062"/>
      <c r="E136" s="530"/>
      <c r="F136" s="531"/>
      <c r="G136" s="692">
        <v>199</v>
      </c>
      <c r="H136" s="698" t="s">
        <v>596</v>
      </c>
      <c r="I136" s="683" t="s">
        <v>597</v>
      </c>
      <c r="J136" s="607">
        <v>4</v>
      </c>
      <c r="K136" s="605" t="s">
        <v>598</v>
      </c>
      <c r="L136" s="3177"/>
      <c r="M136" s="3077"/>
      <c r="N136" s="608">
        <f>+S136/O128</f>
        <v>1.5706555054038222E-2</v>
      </c>
      <c r="O136" s="2982"/>
      <c r="P136" s="3077"/>
      <c r="Q136" s="2185"/>
      <c r="R136" s="559" t="s">
        <v>599</v>
      </c>
      <c r="S136" s="265">
        <f>37000000+24300000</f>
        <v>61300000</v>
      </c>
      <c r="T136" s="691"/>
      <c r="U136" s="694"/>
      <c r="V136" s="3173"/>
      <c r="W136" s="2809"/>
      <c r="X136" s="2809"/>
      <c r="Y136" s="2809"/>
      <c r="Z136" s="2809"/>
      <c r="AA136" s="2809"/>
      <c r="AB136" s="3126"/>
      <c r="AC136" s="2809"/>
      <c r="AD136" s="2809"/>
      <c r="AE136" s="3163"/>
      <c r="AF136" s="3163"/>
      <c r="AG136" s="3163"/>
      <c r="AH136" s="3163"/>
      <c r="AI136" s="3163"/>
      <c r="AJ136" s="3163"/>
      <c r="AK136" s="3008"/>
      <c r="AL136" s="3102"/>
      <c r="AM136" s="3102"/>
      <c r="AN136" s="2065"/>
      <c r="AO136" s="609"/>
      <c r="AP136" s="609"/>
      <c r="AQ136" s="609"/>
      <c r="AR136" s="609"/>
      <c r="AS136" s="609"/>
      <c r="AT136" s="610"/>
      <c r="AU136" s="610"/>
      <c r="AV136" s="610"/>
      <c r="AW136" s="610"/>
      <c r="AX136" s="610"/>
      <c r="AY136" s="610"/>
      <c r="AZ136" s="610"/>
      <c r="BA136" s="610"/>
      <c r="BB136" s="610"/>
      <c r="BC136" s="610"/>
      <c r="BD136" s="610"/>
      <c r="BE136" s="610"/>
      <c r="BF136" s="610"/>
      <c r="BG136" s="610"/>
      <c r="BH136" s="610"/>
      <c r="BI136" s="610"/>
      <c r="BJ136" s="610"/>
      <c r="BK136" s="610"/>
      <c r="BL136" s="610"/>
      <c r="BM136" s="610"/>
      <c r="BN136" s="610"/>
      <c r="BO136" s="610"/>
      <c r="BP136" s="610"/>
      <c r="BQ136" s="610"/>
      <c r="BR136" s="610"/>
      <c r="BS136" s="610"/>
      <c r="BT136" s="610"/>
      <c r="BU136" s="610"/>
      <c r="BV136" s="610"/>
      <c r="BW136" s="610"/>
      <c r="BX136" s="610"/>
      <c r="BY136" s="610"/>
      <c r="BZ136" s="610"/>
      <c r="CA136" s="610"/>
      <c r="CB136" s="610"/>
      <c r="CC136" s="610"/>
      <c r="CD136" s="610"/>
      <c r="CE136" s="610"/>
      <c r="CF136" s="610"/>
      <c r="CG136" s="610"/>
      <c r="CH136" s="610"/>
      <c r="CI136" s="610"/>
      <c r="CJ136" s="610"/>
      <c r="CK136" s="610"/>
      <c r="CL136" s="610"/>
      <c r="CM136" s="610"/>
      <c r="CN136" s="610"/>
      <c r="CO136" s="610"/>
      <c r="CP136" s="610"/>
      <c r="CQ136" s="610"/>
      <c r="CR136" s="610"/>
      <c r="CS136" s="610"/>
      <c r="CT136" s="610"/>
      <c r="CU136" s="610"/>
      <c r="CV136" s="610"/>
      <c r="CW136" s="610"/>
      <c r="CX136" s="610"/>
      <c r="CY136" s="610"/>
      <c r="CZ136" s="610"/>
      <c r="DA136" s="610"/>
      <c r="DB136" s="610"/>
      <c r="DC136" s="610"/>
      <c r="DD136" s="610"/>
      <c r="DE136" s="610"/>
      <c r="DF136" s="610"/>
      <c r="DG136" s="610"/>
      <c r="DH136" s="610"/>
      <c r="DI136" s="610"/>
      <c r="DJ136" s="610"/>
      <c r="DK136" s="610"/>
      <c r="DL136" s="610"/>
      <c r="DM136" s="610"/>
      <c r="DN136" s="610"/>
      <c r="DO136" s="610"/>
      <c r="DP136" s="610"/>
      <c r="DQ136" s="610"/>
      <c r="DR136" s="610"/>
      <c r="DS136" s="610"/>
      <c r="DT136" s="610"/>
      <c r="DU136" s="610"/>
      <c r="DV136" s="610"/>
      <c r="DW136" s="610"/>
      <c r="DX136" s="610"/>
      <c r="DY136" s="610"/>
      <c r="DZ136" s="610"/>
      <c r="EA136" s="610"/>
      <c r="EB136" s="610"/>
      <c r="EC136" s="610"/>
      <c r="ED136" s="610"/>
      <c r="EE136" s="610"/>
      <c r="EF136" s="610"/>
      <c r="EG136" s="610"/>
      <c r="EH136" s="610"/>
      <c r="EI136" s="610"/>
      <c r="EJ136" s="610"/>
      <c r="EK136" s="610"/>
      <c r="EL136" s="610"/>
      <c r="EM136" s="610"/>
      <c r="EN136" s="610"/>
      <c r="EO136" s="610"/>
      <c r="EP136" s="610"/>
      <c r="EQ136" s="610"/>
      <c r="ER136" s="610"/>
      <c r="ES136" s="610"/>
      <c r="ET136" s="610"/>
      <c r="EU136" s="610"/>
      <c r="EV136" s="610"/>
      <c r="EW136" s="610"/>
      <c r="EX136" s="610"/>
      <c r="EY136" s="610"/>
      <c r="EZ136" s="610"/>
      <c r="FA136" s="610"/>
      <c r="FB136" s="610"/>
      <c r="FC136" s="610"/>
      <c r="FD136" s="610"/>
      <c r="FE136" s="610"/>
      <c r="FF136" s="610"/>
      <c r="FG136" s="610"/>
      <c r="FH136" s="610"/>
      <c r="FI136" s="610"/>
      <c r="FJ136" s="610"/>
      <c r="FK136" s="610"/>
      <c r="FL136" s="610"/>
      <c r="FM136" s="610"/>
      <c r="FN136" s="610"/>
      <c r="FO136" s="610"/>
      <c r="FP136" s="610"/>
      <c r="FQ136" s="610"/>
      <c r="FR136" s="610"/>
      <c r="FS136" s="610"/>
      <c r="FT136" s="610"/>
      <c r="FU136" s="610"/>
      <c r="FV136" s="610"/>
      <c r="FW136" s="610"/>
      <c r="FX136" s="610"/>
      <c r="FY136" s="610"/>
      <c r="FZ136" s="610"/>
      <c r="GA136" s="610"/>
      <c r="GB136" s="610"/>
      <c r="GC136" s="610"/>
      <c r="GD136" s="610"/>
      <c r="GE136" s="610"/>
      <c r="GF136" s="610"/>
      <c r="GG136" s="610"/>
      <c r="GH136" s="610"/>
      <c r="GI136" s="610"/>
      <c r="GJ136" s="610"/>
      <c r="GK136" s="610"/>
      <c r="GL136" s="610"/>
      <c r="GM136" s="610"/>
      <c r="GN136" s="610"/>
      <c r="GO136" s="610"/>
      <c r="GP136" s="610"/>
      <c r="GQ136" s="610"/>
      <c r="GR136" s="610"/>
      <c r="GS136" s="610"/>
      <c r="GT136" s="610"/>
      <c r="GU136" s="610"/>
      <c r="GV136" s="610"/>
      <c r="GW136" s="610"/>
      <c r="GX136" s="610"/>
      <c r="GY136" s="610"/>
      <c r="GZ136" s="610"/>
      <c r="HA136" s="610"/>
      <c r="HB136" s="610"/>
      <c r="HC136" s="610"/>
      <c r="HD136" s="610"/>
      <c r="HE136" s="610"/>
      <c r="HF136" s="610"/>
      <c r="HG136" s="610"/>
      <c r="HH136" s="610"/>
      <c r="HI136" s="610"/>
      <c r="HJ136" s="610"/>
      <c r="HK136" s="610"/>
      <c r="HL136" s="610"/>
      <c r="HM136" s="610"/>
      <c r="HN136" s="610"/>
      <c r="HO136" s="610"/>
      <c r="HP136" s="610"/>
      <c r="HQ136" s="610"/>
      <c r="HR136" s="610"/>
      <c r="HS136" s="610"/>
      <c r="HT136" s="610"/>
      <c r="HU136" s="610"/>
      <c r="HV136" s="610"/>
      <c r="HW136" s="610"/>
      <c r="HX136" s="610"/>
      <c r="HY136" s="610"/>
      <c r="HZ136" s="610"/>
      <c r="IA136" s="610"/>
      <c r="IB136" s="610"/>
      <c r="IC136" s="610"/>
      <c r="ID136" s="610"/>
      <c r="IE136" s="610"/>
      <c r="IF136" s="610"/>
      <c r="IG136" s="610"/>
      <c r="IH136" s="610"/>
      <c r="II136" s="610"/>
      <c r="IJ136" s="610"/>
      <c r="IK136" s="610"/>
      <c r="IL136" s="610"/>
      <c r="IM136" s="610"/>
      <c r="IN136" s="610"/>
      <c r="IO136" s="610"/>
      <c r="IP136" s="610"/>
      <c r="IQ136" s="610"/>
      <c r="IR136" s="610"/>
      <c r="IS136" s="610"/>
      <c r="IT136" s="610"/>
      <c r="IU136" s="610"/>
      <c r="IV136" s="610"/>
      <c r="IW136" s="611"/>
      <c r="IX136" s="611"/>
      <c r="IY136" s="611"/>
      <c r="IZ136" s="611"/>
      <c r="JA136" s="611"/>
      <c r="JB136" s="611"/>
      <c r="JC136" s="611"/>
      <c r="JD136" s="611"/>
      <c r="JE136" s="611"/>
      <c r="JF136" s="611"/>
      <c r="JG136" s="611"/>
      <c r="JH136" s="611"/>
      <c r="JI136" s="611"/>
      <c r="JJ136" s="611"/>
      <c r="JK136" s="611"/>
      <c r="JL136" s="611"/>
      <c r="JM136" s="611"/>
      <c r="JN136" s="611"/>
      <c r="JO136" s="611"/>
      <c r="JP136" s="611"/>
      <c r="JQ136" s="611"/>
      <c r="JR136" s="611"/>
      <c r="JS136" s="611"/>
      <c r="JT136" s="611"/>
      <c r="JU136" s="611"/>
      <c r="JV136" s="611"/>
      <c r="JW136" s="611"/>
      <c r="JX136" s="611"/>
      <c r="JY136" s="611"/>
      <c r="JZ136" s="611"/>
      <c r="KA136" s="611"/>
      <c r="KB136" s="611"/>
      <c r="KC136" s="611"/>
      <c r="KD136" s="611"/>
      <c r="KE136" s="611"/>
      <c r="KF136" s="611"/>
      <c r="KG136" s="611"/>
      <c r="KH136" s="611"/>
      <c r="KI136" s="611"/>
      <c r="KJ136" s="611"/>
      <c r="KK136" s="611"/>
      <c r="KL136" s="611"/>
      <c r="KM136" s="611"/>
      <c r="KN136" s="611"/>
      <c r="KO136" s="611"/>
      <c r="KP136" s="611"/>
      <c r="KQ136" s="611"/>
      <c r="KR136" s="611"/>
      <c r="KS136" s="611"/>
      <c r="KT136" s="611"/>
      <c r="KU136" s="611"/>
      <c r="KV136" s="611"/>
      <c r="KW136" s="611"/>
      <c r="KX136" s="611"/>
      <c r="KY136" s="611"/>
      <c r="KZ136" s="611"/>
      <c r="LA136" s="611"/>
      <c r="LB136" s="611"/>
      <c r="LC136" s="611"/>
      <c r="LD136" s="611"/>
      <c r="LE136" s="611"/>
      <c r="LF136" s="611"/>
      <c r="LG136" s="611"/>
      <c r="LH136" s="611"/>
      <c r="LI136" s="611"/>
      <c r="LJ136" s="611"/>
      <c r="LK136" s="611"/>
      <c r="LL136" s="611"/>
      <c r="LM136" s="611"/>
      <c r="LN136" s="611"/>
      <c r="LO136" s="611"/>
      <c r="LP136" s="611"/>
      <c r="LQ136" s="611"/>
      <c r="LR136" s="611"/>
      <c r="LS136" s="611"/>
      <c r="LT136" s="611"/>
      <c r="LU136" s="611"/>
      <c r="LV136" s="611"/>
      <c r="LW136" s="611"/>
      <c r="LX136" s="611"/>
      <c r="LY136" s="611"/>
      <c r="LZ136" s="611"/>
      <c r="MA136" s="611"/>
      <c r="MB136" s="611"/>
      <c r="MC136" s="611"/>
      <c r="MD136" s="611"/>
      <c r="ME136" s="611"/>
      <c r="MF136" s="611"/>
      <c r="MG136" s="611"/>
      <c r="MH136" s="611"/>
      <c r="MI136" s="611"/>
      <c r="MJ136" s="611"/>
      <c r="MK136" s="611"/>
      <c r="ML136" s="611"/>
      <c r="MM136" s="611"/>
      <c r="MN136" s="611"/>
      <c r="MO136" s="611"/>
      <c r="MP136" s="611"/>
      <c r="MQ136" s="611"/>
      <c r="MR136" s="611"/>
      <c r="MS136" s="611"/>
      <c r="MT136" s="611"/>
      <c r="MU136" s="611"/>
      <c r="MV136" s="611"/>
      <c r="MW136" s="611"/>
      <c r="MX136" s="611"/>
      <c r="MY136" s="611"/>
      <c r="MZ136" s="611"/>
      <c r="NA136" s="611"/>
      <c r="NB136" s="611"/>
      <c r="NC136" s="611"/>
      <c r="ND136" s="611"/>
      <c r="NE136" s="611"/>
      <c r="NF136" s="611"/>
      <c r="NG136" s="611"/>
      <c r="NH136" s="611"/>
      <c r="NI136" s="611"/>
      <c r="NJ136" s="611"/>
      <c r="NK136" s="611"/>
      <c r="NL136" s="611"/>
      <c r="NM136" s="611"/>
      <c r="NN136" s="611"/>
      <c r="NO136" s="611"/>
      <c r="NP136" s="611"/>
      <c r="NQ136" s="611"/>
      <c r="NR136" s="611"/>
      <c r="NS136" s="611"/>
      <c r="NT136" s="611"/>
      <c r="NU136" s="611"/>
      <c r="NV136" s="611"/>
      <c r="NW136" s="611"/>
      <c r="NX136" s="611"/>
      <c r="NY136" s="611"/>
      <c r="NZ136" s="611"/>
      <c r="OA136" s="611"/>
      <c r="OB136" s="611"/>
      <c r="OC136" s="611"/>
      <c r="OD136" s="611"/>
      <c r="OE136" s="611"/>
      <c r="OF136" s="611"/>
      <c r="OG136" s="611"/>
      <c r="OH136" s="611"/>
      <c r="OI136" s="611"/>
      <c r="OJ136" s="611"/>
      <c r="OK136" s="611"/>
      <c r="OL136" s="611"/>
      <c r="OM136" s="611"/>
      <c r="ON136" s="611"/>
      <c r="OO136" s="611"/>
      <c r="OP136" s="611"/>
      <c r="OQ136" s="611"/>
      <c r="OR136" s="611"/>
      <c r="OS136" s="611"/>
      <c r="OT136" s="611"/>
      <c r="OU136" s="611"/>
      <c r="OV136" s="611"/>
      <c r="OW136" s="611"/>
      <c r="OX136" s="611"/>
      <c r="OY136" s="611"/>
      <c r="OZ136" s="611"/>
      <c r="PA136" s="611"/>
      <c r="PB136" s="611"/>
      <c r="PC136" s="611"/>
      <c r="PD136" s="611"/>
      <c r="PE136" s="611"/>
      <c r="PF136" s="611"/>
      <c r="PG136" s="611"/>
      <c r="PH136" s="611"/>
      <c r="PI136" s="611"/>
      <c r="PJ136" s="611"/>
      <c r="PK136" s="611"/>
      <c r="PL136" s="611"/>
      <c r="PM136" s="611"/>
      <c r="PN136" s="611"/>
      <c r="PO136" s="611"/>
      <c r="PP136" s="611"/>
      <c r="PQ136" s="611"/>
      <c r="PR136" s="611"/>
      <c r="PS136" s="611"/>
      <c r="PT136" s="611"/>
      <c r="PU136" s="611"/>
      <c r="PV136" s="611"/>
      <c r="PW136" s="611"/>
      <c r="PX136" s="611"/>
      <c r="PY136" s="611"/>
      <c r="PZ136" s="611"/>
      <c r="QA136" s="611"/>
      <c r="QB136" s="611"/>
      <c r="QC136" s="611"/>
      <c r="QD136" s="611"/>
      <c r="QE136" s="611"/>
      <c r="QF136" s="611"/>
      <c r="QG136" s="611"/>
      <c r="QH136" s="611"/>
      <c r="QI136" s="611"/>
      <c r="QJ136" s="611"/>
      <c r="QK136" s="611"/>
      <c r="QL136" s="611"/>
      <c r="QM136" s="611"/>
      <c r="QN136" s="611"/>
      <c r="QO136" s="611"/>
      <c r="QP136" s="611"/>
      <c r="QQ136" s="611"/>
      <c r="QR136" s="611"/>
      <c r="QS136" s="611"/>
      <c r="QT136" s="611"/>
      <c r="QU136" s="611"/>
      <c r="QV136" s="611"/>
      <c r="QW136" s="611"/>
      <c r="QX136" s="611"/>
      <c r="QY136" s="611"/>
      <c r="QZ136" s="611"/>
      <c r="RA136" s="611"/>
      <c r="RB136" s="611"/>
      <c r="RC136" s="611"/>
      <c r="RD136" s="611"/>
      <c r="RE136" s="611"/>
      <c r="RF136" s="611"/>
      <c r="RG136" s="611"/>
      <c r="RH136" s="611"/>
      <c r="RI136" s="611"/>
      <c r="RJ136" s="611"/>
      <c r="RK136" s="611"/>
      <c r="RL136" s="611"/>
      <c r="RM136" s="611"/>
      <c r="RN136" s="611"/>
      <c r="RO136" s="611"/>
      <c r="RP136" s="611"/>
      <c r="RQ136" s="611"/>
      <c r="RR136" s="611"/>
      <c r="RS136" s="611"/>
      <c r="RT136" s="611"/>
      <c r="RU136" s="611"/>
      <c r="RV136" s="611"/>
      <c r="RW136" s="611"/>
      <c r="RX136" s="611"/>
      <c r="RY136" s="611"/>
      <c r="RZ136" s="611"/>
      <c r="SA136" s="611"/>
      <c r="SB136" s="611"/>
      <c r="SC136" s="611"/>
    </row>
    <row r="137" spans="1:497" ht="55.5" customHeight="1" x14ac:dyDescent="0.2">
      <c r="A137" s="506"/>
      <c r="B137" s="507"/>
      <c r="C137" s="3061"/>
      <c r="D137" s="3062"/>
      <c r="E137" s="530"/>
      <c r="F137" s="531"/>
      <c r="G137" s="697">
        <v>200</v>
      </c>
      <c r="H137" s="698" t="s">
        <v>600</v>
      </c>
      <c r="I137" s="683" t="s">
        <v>601</v>
      </c>
      <c r="J137" s="686">
        <v>12</v>
      </c>
      <c r="K137" s="3066"/>
      <c r="L137" s="3177"/>
      <c r="M137" s="3077"/>
      <c r="N137" s="608">
        <f>+S137/O128</f>
        <v>0.291905871547193</v>
      </c>
      <c r="O137" s="2982"/>
      <c r="P137" s="3077"/>
      <c r="Q137" s="2185"/>
      <c r="R137" s="688" t="s">
        <v>602</v>
      </c>
      <c r="S137" s="560">
        <f>1059360000+79898727.6</f>
        <v>1139258727.5999999</v>
      </c>
      <c r="T137" s="612"/>
      <c r="U137" s="691"/>
      <c r="V137" s="3173"/>
      <c r="W137" s="2809"/>
      <c r="X137" s="2809"/>
      <c r="Y137" s="2809"/>
      <c r="Z137" s="2809"/>
      <c r="AA137" s="2809"/>
      <c r="AB137" s="3126"/>
      <c r="AC137" s="2809"/>
      <c r="AD137" s="2809"/>
      <c r="AE137" s="3163"/>
      <c r="AF137" s="3163"/>
      <c r="AG137" s="3163"/>
      <c r="AH137" s="3163"/>
      <c r="AI137" s="3163"/>
      <c r="AJ137" s="3163"/>
      <c r="AK137" s="3008"/>
      <c r="AL137" s="3102"/>
      <c r="AM137" s="3102"/>
      <c r="AN137" s="2065"/>
      <c r="AO137" s="609"/>
      <c r="AP137" s="609"/>
      <c r="AQ137" s="609"/>
      <c r="AR137" s="609"/>
      <c r="AS137" s="609"/>
      <c r="AT137" s="610"/>
      <c r="AU137" s="610"/>
      <c r="AV137" s="610"/>
      <c r="AW137" s="610"/>
      <c r="AX137" s="610"/>
      <c r="AY137" s="610"/>
      <c r="AZ137" s="610"/>
      <c r="BA137" s="610"/>
      <c r="BB137" s="610"/>
      <c r="BC137" s="610"/>
      <c r="BD137" s="610"/>
      <c r="BE137" s="610"/>
      <c r="BF137" s="610"/>
      <c r="BG137" s="610"/>
      <c r="BH137" s="610"/>
      <c r="BI137" s="610"/>
      <c r="BJ137" s="610"/>
      <c r="BK137" s="610"/>
      <c r="BL137" s="610"/>
      <c r="BM137" s="610"/>
      <c r="BN137" s="610"/>
      <c r="BO137" s="610"/>
      <c r="BP137" s="610"/>
      <c r="BQ137" s="610"/>
      <c r="BR137" s="610"/>
      <c r="BS137" s="610"/>
      <c r="BT137" s="610"/>
      <c r="BU137" s="610"/>
      <c r="BV137" s="610"/>
      <c r="BW137" s="610"/>
      <c r="BX137" s="610"/>
      <c r="BY137" s="610"/>
      <c r="BZ137" s="610"/>
      <c r="CA137" s="610"/>
      <c r="CB137" s="610"/>
      <c r="CC137" s="610"/>
      <c r="CD137" s="610"/>
      <c r="CE137" s="610"/>
      <c r="CF137" s="610"/>
      <c r="CG137" s="610"/>
      <c r="CH137" s="610"/>
      <c r="CI137" s="610"/>
      <c r="CJ137" s="610"/>
      <c r="CK137" s="610"/>
      <c r="CL137" s="610"/>
      <c r="CM137" s="610"/>
      <c r="CN137" s="610"/>
      <c r="CO137" s="610"/>
      <c r="CP137" s="610"/>
      <c r="CQ137" s="610"/>
      <c r="CR137" s="610"/>
      <c r="CS137" s="610"/>
      <c r="CT137" s="610"/>
      <c r="CU137" s="610"/>
      <c r="CV137" s="610"/>
      <c r="CW137" s="610"/>
      <c r="CX137" s="610"/>
      <c r="CY137" s="610"/>
      <c r="CZ137" s="610"/>
      <c r="DA137" s="610"/>
      <c r="DB137" s="610"/>
      <c r="DC137" s="610"/>
      <c r="DD137" s="610"/>
      <c r="DE137" s="610"/>
      <c r="DF137" s="610"/>
      <c r="DG137" s="610"/>
      <c r="DH137" s="610"/>
      <c r="DI137" s="610"/>
      <c r="DJ137" s="610"/>
      <c r="DK137" s="610"/>
      <c r="DL137" s="610"/>
      <c r="DM137" s="610"/>
      <c r="DN137" s="610"/>
      <c r="DO137" s="610"/>
      <c r="DP137" s="610"/>
      <c r="DQ137" s="610"/>
      <c r="DR137" s="610"/>
      <c r="DS137" s="610"/>
      <c r="DT137" s="610"/>
      <c r="DU137" s="610"/>
      <c r="DV137" s="610"/>
      <c r="DW137" s="610"/>
      <c r="DX137" s="610"/>
      <c r="DY137" s="610"/>
      <c r="DZ137" s="610"/>
      <c r="EA137" s="610"/>
      <c r="EB137" s="610"/>
      <c r="EC137" s="610"/>
      <c r="ED137" s="610"/>
      <c r="EE137" s="610"/>
      <c r="EF137" s="610"/>
      <c r="EG137" s="610"/>
      <c r="EH137" s="610"/>
      <c r="EI137" s="610"/>
      <c r="EJ137" s="610"/>
      <c r="EK137" s="610"/>
      <c r="EL137" s="610"/>
      <c r="EM137" s="610"/>
      <c r="EN137" s="610"/>
      <c r="EO137" s="610"/>
      <c r="EP137" s="610"/>
      <c r="EQ137" s="610"/>
      <c r="ER137" s="610"/>
      <c r="ES137" s="610"/>
      <c r="ET137" s="610"/>
      <c r="EU137" s="610"/>
      <c r="EV137" s="610"/>
      <c r="EW137" s="610"/>
      <c r="EX137" s="610"/>
      <c r="EY137" s="610"/>
      <c r="EZ137" s="610"/>
      <c r="FA137" s="610"/>
      <c r="FB137" s="610"/>
      <c r="FC137" s="610"/>
      <c r="FD137" s="610"/>
      <c r="FE137" s="610"/>
      <c r="FF137" s="610"/>
      <c r="FG137" s="610"/>
      <c r="FH137" s="610"/>
      <c r="FI137" s="610"/>
      <c r="FJ137" s="610"/>
      <c r="FK137" s="610"/>
      <c r="FL137" s="610"/>
      <c r="FM137" s="610"/>
      <c r="FN137" s="610"/>
      <c r="FO137" s="610"/>
      <c r="FP137" s="610"/>
      <c r="FQ137" s="610"/>
      <c r="FR137" s="610"/>
      <c r="FS137" s="610"/>
      <c r="FT137" s="610"/>
      <c r="FU137" s="610"/>
      <c r="FV137" s="610"/>
      <c r="FW137" s="610"/>
      <c r="FX137" s="610"/>
      <c r="FY137" s="610"/>
      <c r="FZ137" s="610"/>
      <c r="GA137" s="610"/>
      <c r="GB137" s="610"/>
      <c r="GC137" s="610"/>
      <c r="GD137" s="610"/>
      <c r="GE137" s="610"/>
      <c r="GF137" s="610"/>
      <c r="GG137" s="610"/>
      <c r="GH137" s="610"/>
      <c r="GI137" s="610"/>
      <c r="GJ137" s="610"/>
      <c r="GK137" s="610"/>
      <c r="GL137" s="610"/>
      <c r="GM137" s="610"/>
      <c r="GN137" s="610"/>
      <c r="GO137" s="610"/>
      <c r="GP137" s="610"/>
      <c r="GQ137" s="610"/>
      <c r="GR137" s="610"/>
      <c r="GS137" s="610"/>
      <c r="GT137" s="610"/>
      <c r="GU137" s="610"/>
      <c r="GV137" s="610"/>
      <c r="GW137" s="610"/>
      <c r="GX137" s="610"/>
      <c r="GY137" s="610"/>
      <c r="GZ137" s="610"/>
      <c r="HA137" s="610"/>
      <c r="HB137" s="610"/>
      <c r="HC137" s="610"/>
      <c r="HD137" s="610"/>
      <c r="HE137" s="610"/>
      <c r="HF137" s="610"/>
      <c r="HG137" s="610"/>
      <c r="HH137" s="610"/>
      <c r="HI137" s="610"/>
      <c r="HJ137" s="610"/>
      <c r="HK137" s="610"/>
      <c r="HL137" s="610"/>
      <c r="HM137" s="610"/>
      <c r="HN137" s="610"/>
      <c r="HO137" s="610"/>
      <c r="HP137" s="610"/>
      <c r="HQ137" s="610"/>
      <c r="HR137" s="610"/>
      <c r="HS137" s="610"/>
      <c r="HT137" s="610"/>
      <c r="HU137" s="610"/>
      <c r="HV137" s="610"/>
      <c r="HW137" s="610"/>
      <c r="HX137" s="610"/>
      <c r="HY137" s="610"/>
      <c r="HZ137" s="610"/>
      <c r="IA137" s="610"/>
      <c r="IB137" s="610"/>
      <c r="IC137" s="610"/>
      <c r="ID137" s="610"/>
      <c r="IE137" s="610"/>
      <c r="IF137" s="610"/>
      <c r="IG137" s="610"/>
      <c r="IH137" s="610"/>
      <c r="II137" s="610"/>
      <c r="IJ137" s="610"/>
      <c r="IK137" s="610"/>
      <c r="IL137" s="610"/>
      <c r="IM137" s="610"/>
      <c r="IN137" s="610"/>
      <c r="IO137" s="610"/>
      <c r="IP137" s="610"/>
      <c r="IQ137" s="610"/>
      <c r="IR137" s="610"/>
      <c r="IS137" s="610"/>
      <c r="IT137" s="610"/>
      <c r="IU137" s="610"/>
      <c r="IV137" s="610"/>
      <c r="IW137" s="611"/>
      <c r="IX137" s="611"/>
      <c r="IY137" s="611"/>
      <c r="IZ137" s="611"/>
      <c r="JA137" s="611"/>
      <c r="JB137" s="611"/>
      <c r="JC137" s="611"/>
      <c r="JD137" s="611"/>
      <c r="JE137" s="611"/>
      <c r="JF137" s="611"/>
      <c r="JG137" s="611"/>
      <c r="JH137" s="611"/>
      <c r="JI137" s="611"/>
      <c r="JJ137" s="611"/>
      <c r="JK137" s="611"/>
      <c r="JL137" s="611"/>
      <c r="JM137" s="611"/>
      <c r="JN137" s="611"/>
      <c r="JO137" s="611"/>
      <c r="JP137" s="611"/>
      <c r="JQ137" s="611"/>
      <c r="JR137" s="611"/>
      <c r="JS137" s="611"/>
      <c r="JT137" s="611"/>
      <c r="JU137" s="611"/>
      <c r="JV137" s="611"/>
      <c r="JW137" s="611"/>
      <c r="JX137" s="611"/>
      <c r="JY137" s="611"/>
      <c r="JZ137" s="611"/>
      <c r="KA137" s="611"/>
      <c r="KB137" s="611"/>
      <c r="KC137" s="611"/>
      <c r="KD137" s="611"/>
      <c r="KE137" s="611"/>
      <c r="KF137" s="611"/>
      <c r="KG137" s="611"/>
      <c r="KH137" s="611"/>
      <c r="KI137" s="611"/>
      <c r="KJ137" s="611"/>
      <c r="KK137" s="611"/>
      <c r="KL137" s="611"/>
      <c r="KM137" s="611"/>
      <c r="KN137" s="611"/>
      <c r="KO137" s="611"/>
      <c r="KP137" s="611"/>
      <c r="KQ137" s="611"/>
      <c r="KR137" s="611"/>
      <c r="KS137" s="611"/>
      <c r="KT137" s="611"/>
      <c r="KU137" s="611"/>
      <c r="KV137" s="611"/>
      <c r="KW137" s="611"/>
      <c r="KX137" s="611"/>
      <c r="KY137" s="611"/>
      <c r="KZ137" s="611"/>
      <c r="LA137" s="611"/>
      <c r="LB137" s="611"/>
      <c r="LC137" s="611"/>
      <c r="LD137" s="611"/>
      <c r="LE137" s="611"/>
      <c r="LF137" s="611"/>
      <c r="LG137" s="611"/>
      <c r="LH137" s="611"/>
      <c r="LI137" s="611"/>
      <c r="LJ137" s="611"/>
      <c r="LK137" s="611"/>
      <c r="LL137" s="611"/>
      <c r="LM137" s="611"/>
      <c r="LN137" s="611"/>
      <c r="LO137" s="611"/>
      <c r="LP137" s="611"/>
      <c r="LQ137" s="611"/>
      <c r="LR137" s="611"/>
      <c r="LS137" s="611"/>
      <c r="LT137" s="611"/>
      <c r="LU137" s="611"/>
      <c r="LV137" s="611"/>
      <c r="LW137" s="611"/>
      <c r="LX137" s="611"/>
      <c r="LY137" s="611"/>
      <c r="LZ137" s="611"/>
      <c r="MA137" s="611"/>
      <c r="MB137" s="611"/>
      <c r="MC137" s="611"/>
      <c r="MD137" s="611"/>
      <c r="ME137" s="611"/>
      <c r="MF137" s="611"/>
      <c r="MG137" s="611"/>
      <c r="MH137" s="611"/>
      <c r="MI137" s="611"/>
      <c r="MJ137" s="611"/>
      <c r="MK137" s="611"/>
      <c r="ML137" s="611"/>
      <c r="MM137" s="611"/>
      <c r="MN137" s="611"/>
      <c r="MO137" s="611"/>
      <c r="MP137" s="611"/>
      <c r="MQ137" s="611"/>
      <c r="MR137" s="611"/>
      <c r="MS137" s="611"/>
      <c r="MT137" s="611"/>
      <c r="MU137" s="611"/>
      <c r="MV137" s="611"/>
      <c r="MW137" s="611"/>
      <c r="MX137" s="611"/>
      <c r="MY137" s="611"/>
      <c r="MZ137" s="611"/>
      <c r="NA137" s="611"/>
      <c r="NB137" s="611"/>
      <c r="NC137" s="611"/>
      <c r="ND137" s="611"/>
      <c r="NE137" s="611"/>
      <c r="NF137" s="611"/>
      <c r="NG137" s="611"/>
      <c r="NH137" s="611"/>
      <c r="NI137" s="611"/>
      <c r="NJ137" s="611"/>
      <c r="NK137" s="611"/>
      <c r="NL137" s="611"/>
      <c r="NM137" s="611"/>
      <c r="NN137" s="611"/>
      <c r="NO137" s="611"/>
      <c r="NP137" s="611"/>
      <c r="NQ137" s="611"/>
      <c r="NR137" s="611"/>
      <c r="NS137" s="611"/>
      <c r="NT137" s="611"/>
      <c r="NU137" s="611"/>
      <c r="NV137" s="611"/>
      <c r="NW137" s="611"/>
      <c r="NX137" s="611"/>
      <c r="NY137" s="611"/>
      <c r="NZ137" s="611"/>
      <c r="OA137" s="611"/>
      <c r="OB137" s="611"/>
      <c r="OC137" s="611"/>
      <c r="OD137" s="611"/>
      <c r="OE137" s="611"/>
      <c r="OF137" s="611"/>
      <c r="OG137" s="611"/>
      <c r="OH137" s="611"/>
      <c r="OI137" s="611"/>
      <c r="OJ137" s="611"/>
      <c r="OK137" s="611"/>
      <c r="OL137" s="611"/>
      <c r="OM137" s="611"/>
      <c r="ON137" s="611"/>
      <c r="OO137" s="611"/>
      <c r="OP137" s="611"/>
      <c r="OQ137" s="611"/>
      <c r="OR137" s="611"/>
      <c r="OS137" s="611"/>
      <c r="OT137" s="611"/>
      <c r="OU137" s="611"/>
      <c r="OV137" s="611"/>
      <c r="OW137" s="611"/>
      <c r="OX137" s="611"/>
      <c r="OY137" s="611"/>
      <c r="OZ137" s="611"/>
      <c r="PA137" s="611"/>
      <c r="PB137" s="611"/>
      <c r="PC137" s="611"/>
      <c r="PD137" s="611"/>
      <c r="PE137" s="611"/>
      <c r="PF137" s="611"/>
      <c r="PG137" s="611"/>
      <c r="PH137" s="611"/>
      <c r="PI137" s="611"/>
      <c r="PJ137" s="611"/>
      <c r="PK137" s="611"/>
      <c r="PL137" s="611"/>
      <c r="PM137" s="611"/>
      <c r="PN137" s="611"/>
      <c r="PO137" s="611"/>
      <c r="PP137" s="611"/>
      <c r="PQ137" s="611"/>
      <c r="PR137" s="611"/>
      <c r="PS137" s="611"/>
      <c r="PT137" s="611"/>
      <c r="PU137" s="611"/>
      <c r="PV137" s="611"/>
      <c r="PW137" s="611"/>
      <c r="PX137" s="611"/>
      <c r="PY137" s="611"/>
      <c r="PZ137" s="611"/>
      <c r="QA137" s="611"/>
      <c r="QB137" s="611"/>
      <c r="QC137" s="611"/>
      <c r="QD137" s="611"/>
      <c r="QE137" s="611"/>
      <c r="QF137" s="611"/>
      <c r="QG137" s="611"/>
      <c r="QH137" s="611"/>
      <c r="QI137" s="611"/>
      <c r="QJ137" s="611"/>
      <c r="QK137" s="611"/>
      <c r="QL137" s="611"/>
      <c r="QM137" s="611"/>
      <c r="QN137" s="611"/>
      <c r="QO137" s="611"/>
      <c r="QP137" s="611"/>
      <c r="QQ137" s="611"/>
      <c r="QR137" s="611"/>
      <c r="QS137" s="611"/>
      <c r="QT137" s="611"/>
      <c r="QU137" s="611"/>
      <c r="QV137" s="611"/>
      <c r="QW137" s="611"/>
      <c r="QX137" s="611"/>
      <c r="QY137" s="611"/>
      <c r="QZ137" s="611"/>
      <c r="RA137" s="611"/>
      <c r="RB137" s="611"/>
      <c r="RC137" s="611"/>
      <c r="RD137" s="611"/>
      <c r="RE137" s="611"/>
      <c r="RF137" s="611"/>
      <c r="RG137" s="611"/>
      <c r="RH137" s="611"/>
      <c r="RI137" s="611"/>
      <c r="RJ137" s="611"/>
      <c r="RK137" s="611"/>
      <c r="RL137" s="611"/>
      <c r="RM137" s="611"/>
      <c r="RN137" s="611"/>
      <c r="RO137" s="611"/>
      <c r="RP137" s="611"/>
      <c r="RQ137" s="611"/>
      <c r="RR137" s="611"/>
      <c r="RS137" s="611"/>
      <c r="RT137" s="611"/>
      <c r="RU137" s="611"/>
      <c r="RV137" s="611"/>
      <c r="RW137" s="611"/>
      <c r="RX137" s="611"/>
      <c r="RY137" s="611"/>
      <c r="RZ137" s="611"/>
      <c r="SA137" s="611"/>
      <c r="SB137" s="611"/>
      <c r="SC137" s="611"/>
    </row>
    <row r="138" spans="1:497" ht="60.75" customHeight="1" thickBot="1" x14ac:dyDescent="0.25">
      <c r="A138" s="506"/>
      <c r="B138" s="507"/>
      <c r="C138" s="3061"/>
      <c r="D138" s="3062"/>
      <c r="E138" s="530"/>
      <c r="F138" s="531"/>
      <c r="G138" s="693">
        <v>201</v>
      </c>
      <c r="H138" s="680" t="s">
        <v>603</v>
      </c>
      <c r="I138" s="680" t="s">
        <v>604</v>
      </c>
      <c r="J138" s="613">
        <v>14</v>
      </c>
      <c r="K138" s="3066"/>
      <c r="L138" s="3177"/>
      <c r="M138" s="3077"/>
      <c r="N138" s="690">
        <f>+S138/O128</f>
        <v>0.68111370027678375</v>
      </c>
      <c r="O138" s="2982"/>
      <c r="P138" s="3077"/>
      <c r="Q138" s="2185"/>
      <c r="R138" s="687" t="s">
        <v>605</v>
      </c>
      <c r="S138" s="614">
        <f>2471840000+186430364.4</f>
        <v>2658270364.4000001</v>
      </c>
      <c r="T138" s="612"/>
      <c r="U138" s="691"/>
      <c r="V138" s="3173"/>
      <c r="W138" s="2809"/>
      <c r="X138" s="2809"/>
      <c r="Y138" s="2809"/>
      <c r="Z138" s="2809"/>
      <c r="AA138" s="2809"/>
      <c r="AB138" s="3126"/>
      <c r="AC138" s="2809"/>
      <c r="AD138" s="2809"/>
      <c r="AE138" s="3163"/>
      <c r="AF138" s="3163"/>
      <c r="AG138" s="3163"/>
      <c r="AH138" s="3163"/>
      <c r="AI138" s="3163"/>
      <c r="AJ138" s="3163"/>
      <c r="AK138" s="3008"/>
      <c r="AL138" s="2601"/>
      <c r="AM138" s="2601"/>
      <c r="AN138" s="2086"/>
      <c r="AO138" s="609"/>
      <c r="AP138" s="609"/>
      <c r="AQ138" s="609"/>
      <c r="AR138" s="609"/>
      <c r="AS138" s="609"/>
      <c r="AT138" s="610"/>
      <c r="AU138" s="610"/>
      <c r="AV138" s="610"/>
      <c r="AW138" s="610"/>
      <c r="AX138" s="610"/>
      <c r="AY138" s="610"/>
      <c r="AZ138" s="610"/>
      <c r="BA138" s="610"/>
      <c r="BB138" s="610"/>
      <c r="BC138" s="610"/>
      <c r="BD138" s="610"/>
      <c r="BE138" s="610"/>
      <c r="BF138" s="610"/>
      <c r="BG138" s="610"/>
      <c r="BH138" s="610"/>
      <c r="BI138" s="610"/>
      <c r="BJ138" s="610"/>
      <c r="BK138" s="610"/>
      <c r="BL138" s="610"/>
      <c r="BM138" s="610"/>
      <c r="BN138" s="610"/>
      <c r="BO138" s="610"/>
      <c r="BP138" s="610"/>
      <c r="BQ138" s="610"/>
      <c r="BR138" s="610"/>
      <c r="BS138" s="610"/>
      <c r="BT138" s="610"/>
      <c r="BU138" s="610"/>
      <c r="BV138" s="610"/>
      <c r="BW138" s="610"/>
      <c r="BX138" s="610"/>
      <c r="BY138" s="610"/>
      <c r="BZ138" s="610"/>
      <c r="CA138" s="610"/>
      <c r="CB138" s="610"/>
      <c r="CC138" s="610"/>
      <c r="CD138" s="610"/>
      <c r="CE138" s="610"/>
      <c r="CF138" s="610"/>
      <c r="CG138" s="610"/>
      <c r="CH138" s="610"/>
      <c r="CI138" s="610"/>
      <c r="CJ138" s="610"/>
      <c r="CK138" s="610"/>
      <c r="CL138" s="610"/>
      <c r="CM138" s="610"/>
      <c r="CN138" s="610"/>
      <c r="CO138" s="610"/>
      <c r="CP138" s="610"/>
      <c r="CQ138" s="610"/>
      <c r="CR138" s="610"/>
      <c r="CS138" s="610"/>
      <c r="CT138" s="610"/>
      <c r="CU138" s="610"/>
      <c r="CV138" s="610"/>
      <c r="CW138" s="610"/>
      <c r="CX138" s="610"/>
      <c r="CY138" s="610"/>
      <c r="CZ138" s="610"/>
      <c r="DA138" s="610"/>
      <c r="DB138" s="610"/>
      <c r="DC138" s="610"/>
      <c r="DD138" s="610"/>
      <c r="DE138" s="610"/>
      <c r="DF138" s="610"/>
      <c r="DG138" s="610"/>
      <c r="DH138" s="610"/>
      <c r="DI138" s="610"/>
      <c r="DJ138" s="610"/>
      <c r="DK138" s="610"/>
      <c r="DL138" s="610"/>
      <c r="DM138" s="610"/>
      <c r="DN138" s="610"/>
      <c r="DO138" s="610"/>
      <c r="DP138" s="610"/>
      <c r="DQ138" s="610"/>
      <c r="DR138" s="610"/>
      <c r="DS138" s="610"/>
      <c r="DT138" s="610"/>
      <c r="DU138" s="610"/>
      <c r="DV138" s="610"/>
      <c r="DW138" s="610"/>
      <c r="DX138" s="610"/>
      <c r="DY138" s="610"/>
      <c r="DZ138" s="610"/>
      <c r="EA138" s="610"/>
      <c r="EB138" s="610"/>
      <c r="EC138" s="610"/>
      <c r="ED138" s="610"/>
      <c r="EE138" s="610"/>
      <c r="EF138" s="610"/>
      <c r="EG138" s="610"/>
      <c r="EH138" s="610"/>
      <c r="EI138" s="610"/>
      <c r="EJ138" s="610"/>
      <c r="EK138" s="610"/>
      <c r="EL138" s="610"/>
      <c r="EM138" s="610"/>
      <c r="EN138" s="610"/>
      <c r="EO138" s="610"/>
      <c r="EP138" s="610"/>
      <c r="EQ138" s="610"/>
      <c r="ER138" s="610"/>
      <c r="ES138" s="610"/>
      <c r="ET138" s="610"/>
      <c r="EU138" s="610"/>
      <c r="EV138" s="610"/>
      <c r="EW138" s="610"/>
      <c r="EX138" s="610"/>
      <c r="EY138" s="610"/>
      <c r="EZ138" s="610"/>
      <c r="FA138" s="610"/>
      <c r="FB138" s="610"/>
      <c r="FC138" s="610"/>
      <c r="FD138" s="610"/>
      <c r="FE138" s="610"/>
      <c r="FF138" s="610"/>
      <c r="FG138" s="610"/>
      <c r="FH138" s="610"/>
      <c r="FI138" s="610"/>
      <c r="FJ138" s="610"/>
      <c r="FK138" s="610"/>
      <c r="FL138" s="610"/>
      <c r="FM138" s="610"/>
      <c r="FN138" s="610"/>
      <c r="FO138" s="610"/>
      <c r="FP138" s="610"/>
      <c r="FQ138" s="610"/>
      <c r="FR138" s="610"/>
      <c r="FS138" s="610"/>
      <c r="FT138" s="610"/>
      <c r="FU138" s="610"/>
      <c r="FV138" s="610"/>
      <c r="FW138" s="610"/>
      <c r="FX138" s="610"/>
      <c r="FY138" s="610"/>
      <c r="FZ138" s="610"/>
      <c r="GA138" s="610"/>
      <c r="GB138" s="610"/>
      <c r="GC138" s="610"/>
      <c r="GD138" s="610"/>
      <c r="GE138" s="610"/>
      <c r="GF138" s="610"/>
      <c r="GG138" s="610"/>
      <c r="GH138" s="610"/>
      <c r="GI138" s="610"/>
      <c r="GJ138" s="610"/>
      <c r="GK138" s="610"/>
      <c r="GL138" s="610"/>
      <c r="GM138" s="610"/>
      <c r="GN138" s="610"/>
      <c r="GO138" s="610"/>
      <c r="GP138" s="610"/>
      <c r="GQ138" s="610"/>
      <c r="GR138" s="610"/>
      <c r="GS138" s="610"/>
      <c r="GT138" s="610"/>
      <c r="GU138" s="610"/>
      <c r="GV138" s="610"/>
      <c r="GW138" s="610"/>
      <c r="GX138" s="610"/>
      <c r="GY138" s="610"/>
      <c r="GZ138" s="610"/>
      <c r="HA138" s="610"/>
      <c r="HB138" s="610"/>
      <c r="HC138" s="610"/>
      <c r="HD138" s="610"/>
      <c r="HE138" s="610"/>
      <c r="HF138" s="610"/>
      <c r="HG138" s="610"/>
      <c r="HH138" s="610"/>
      <c r="HI138" s="610"/>
      <c r="HJ138" s="610"/>
      <c r="HK138" s="610"/>
      <c r="HL138" s="610"/>
      <c r="HM138" s="610"/>
      <c r="HN138" s="610"/>
      <c r="HO138" s="610"/>
      <c r="HP138" s="610"/>
      <c r="HQ138" s="610"/>
      <c r="HR138" s="610"/>
      <c r="HS138" s="610"/>
      <c r="HT138" s="610"/>
      <c r="HU138" s="610"/>
      <c r="HV138" s="610"/>
      <c r="HW138" s="610"/>
      <c r="HX138" s="610"/>
      <c r="HY138" s="610"/>
      <c r="HZ138" s="610"/>
      <c r="IA138" s="610"/>
      <c r="IB138" s="610"/>
      <c r="IC138" s="610"/>
      <c r="ID138" s="610"/>
      <c r="IE138" s="610"/>
      <c r="IF138" s="610"/>
      <c r="IG138" s="610"/>
      <c r="IH138" s="610"/>
      <c r="II138" s="610"/>
      <c r="IJ138" s="610"/>
      <c r="IK138" s="610"/>
      <c r="IL138" s="610"/>
      <c r="IM138" s="610"/>
      <c r="IN138" s="610"/>
      <c r="IO138" s="610"/>
      <c r="IP138" s="610"/>
      <c r="IQ138" s="610"/>
      <c r="IR138" s="610"/>
      <c r="IS138" s="610"/>
      <c r="IT138" s="610"/>
      <c r="IU138" s="610"/>
      <c r="IV138" s="610"/>
      <c r="IW138" s="611"/>
      <c r="IX138" s="611"/>
      <c r="IY138" s="611"/>
      <c r="IZ138" s="611"/>
      <c r="JA138" s="611"/>
      <c r="JB138" s="611"/>
      <c r="JC138" s="611"/>
      <c r="JD138" s="611"/>
      <c r="JE138" s="611"/>
      <c r="JF138" s="611"/>
      <c r="JG138" s="611"/>
      <c r="JH138" s="611"/>
      <c r="JI138" s="611"/>
      <c r="JJ138" s="611"/>
      <c r="JK138" s="611"/>
      <c r="JL138" s="611"/>
      <c r="JM138" s="611"/>
      <c r="JN138" s="611"/>
      <c r="JO138" s="611"/>
      <c r="JP138" s="611"/>
      <c r="JQ138" s="611"/>
      <c r="JR138" s="611"/>
      <c r="JS138" s="611"/>
      <c r="JT138" s="611"/>
      <c r="JU138" s="611"/>
      <c r="JV138" s="611"/>
      <c r="JW138" s="611"/>
      <c r="JX138" s="611"/>
      <c r="JY138" s="611"/>
      <c r="JZ138" s="611"/>
      <c r="KA138" s="611"/>
      <c r="KB138" s="611"/>
      <c r="KC138" s="611"/>
      <c r="KD138" s="611"/>
      <c r="KE138" s="611"/>
      <c r="KF138" s="611"/>
      <c r="KG138" s="611"/>
      <c r="KH138" s="611"/>
      <c r="KI138" s="611"/>
      <c r="KJ138" s="611"/>
      <c r="KK138" s="611"/>
      <c r="KL138" s="611"/>
      <c r="KM138" s="611"/>
      <c r="KN138" s="611"/>
      <c r="KO138" s="611"/>
      <c r="KP138" s="611"/>
      <c r="KQ138" s="611"/>
      <c r="KR138" s="611"/>
      <c r="KS138" s="611"/>
      <c r="KT138" s="611"/>
      <c r="KU138" s="611"/>
      <c r="KV138" s="611"/>
      <c r="KW138" s="611"/>
      <c r="KX138" s="611"/>
      <c r="KY138" s="611"/>
      <c r="KZ138" s="611"/>
      <c r="LA138" s="611"/>
      <c r="LB138" s="611"/>
      <c r="LC138" s="611"/>
      <c r="LD138" s="611"/>
      <c r="LE138" s="611"/>
      <c r="LF138" s="611"/>
      <c r="LG138" s="611"/>
      <c r="LH138" s="611"/>
      <c r="LI138" s="611"/>
      <c r="LJ138" s="611"/>
      <c r="LK138" s="611"/>
      <c r="LL138" s="611"/>
      <c r="LM138" s="611"/>
      <c r="LN138" s="611"/>
      <c r="LO138" s="611"/>
      <c r="LP138" s="611"/>
      <c r="LQ138" s="611"/>
      <c r="LR138" s="611"/>
      <c r="LS138" s="611"/>
      <c r="LT138" s="611"/>
      <c r="LU138" s="611"/>
      <c r="LV138" s="611"/>
      <c r="LW138" s="611"/>
      <c r="LX138" s="611"/>
      <c r="LY138" s="611"/>
      <c r="LZ138" s="611"/>
      <c r="MA138" s="611"/>
      <c r="MB138" s="611"/>
      <c r="MC138" s="611"/>
      <c r="MD138" s="611"/>
      <c r="ME138" s="611"/>
      <c r="MF138" s="611"/>
      <c r="MG138" s="611"/>
      <c r="MH138" s="611"/>
      <c r="MI138" s="611"/>
      <c r="MJ138" s="611"/>
      <c r="MK138" s="611"/>
      <c r="ML138" s="611"/>
      <c r="MM138" s="611"/>
      <c r="MN138" s="611"/>
      <c r="MO138" s="611"/>
      <c r="MP138" s="611"/>
      <c r="MQ138" s="611"/>
      <c r="MR138" s="611"/>
      <c r="MS138" s="611"/>
      <c r="MT138" s="611"/>
      <c r="MU138" s="611"/>
      <c r="MV138" s="611"/>
      <c r="MW138" s="611"/>
      <c r="MX138" s="611"/>
      <c r="MY138" s="611"/>
      <c r="MZ138" s="611"/>
      <c r="NA138" s="611"/>
      <c r="NB138" s="611"/>
      <c r="NC138" s="611"/>
      <c r="ND138" s="611"/>
      <c r="NE138" s="611"/>
      <c r="NF138" s="611"/>
      <c r="NG138" s="611"/>
      <c r="NH138" s="611"/>
      <c r="NI138" s="611"/>
      <c r="NJ138" s="611"/>
      <c r="NK138" s="611"/>
      <c r="NL138" s="611"/>
      <c r="NM138" s="611"/>
      <c r="NN138" s="611"/>
      <c r="NO138" s="611"/>
      <c r="NP138" s="611"/>
      <c r="NQ138" s="611"/>
      <c r="NR138" s="611"/>
      <c r="NS138" s="611"/>
      <c r="NT138" s="611"/>
      <c r="NU138" s="611"/>
      <c r="NV138" s="611"/>
      <c r="NW138" s="611"/>
      <c r="NX138" s="611"/>
      <c r="NY138" s="611"/>
      <c r="NZ138" s="611"/>
      <c r="OA138" s="611"/>
      <c r="OB138" s="611"/>
      <c r="OC138" s="611"/>
      <c r="OD138" s="611"/>
      <c r="OE138" s="611"/>
      <c r="OF138" s="611"/>
      <c r="OG138" s="611"/>
      <c r="OH138" s="611"/>
      <c r="OI138" s="611"/>
      <c r="OJ138" s="611"/>
      <c r="OK138" s="611"/>
      <c r="OL138" s="611"/>
      <c r="OM138" s="611"/>
      <c r="ON138" s="611"/>
      <c r="OO138" s="611"/>
      <c r="OP138" s="611"/>
      <c r="OQ138" s="611"/>
      <c r="OR138" s="611"/>
      <c r="OS138" s="611"/>
      <c r="OT138" s="611"/>
      <c r="OU138" s="611"/>
      <c r="OV138" s="611"/>
      <c r="OW138" s="611"/>
      <c r="OX138" s="611"/>
      <c r="OY138" s="611"/>
      <c r="OZ138" s="611"/>
      <c r="PA138" s="611"/>
      <c r="PB138" s="611"/>
      <c r="PC138" s="611"/>
      <c r="PD138" s="611"/>
      <c r="PE138" s="611"/>
      <c r="PF138" s="611"/>
      <c r="PG138" s="611"/>
      <c r="PH138" s="611"/>
      <c r="PI138" s="611"/>
      <c r="PJ138" s="611"/>
      <c r="PK138" s="611"/>
      <c r="PL138" s="611"/>
      <c r="PM138" s="611"/>
      <c r="PN138" s="611"/>
      <c r="PO138" s="611"/>
      <c r="PP138" s="611"/>
      <c r="PQ138" s="611"/>
      <c r="PR138" s="611"/>
      <c r="PS138" s="611"/>
      <c r="PT138" s="611"/>
      <c r="PU138" s="611"/>
      <c r="PV138" s="611"/>
      <c r="PW138" s="611"/>
      <c r="PX138" s="611"/>
      <c r="PY138" s="611"/>
      <c r="PZ138" s="611"/>
      <c r="QA138" s="611"/>
      <c r="QB138" s="611"/>
      <c r="QC138" s="611"/>
      <c r="QD138" s="611"/>
      <c r="QE138" s="611"/>
      <c r="QF138" s="611"/>
      <c r="QG138" s="611"/>
      <c r="QH138" s="611"/>
      <c r="QI138" s="611"/>
      <c r="QJ138" s="611"/>
      <c r="QK138" s="611"/>
      <c r="QL138" s="611"/>
      <c r="QM138" s="611"/>
      <c r="QN138" s="611"/>
      <c r="QO138" s="611"/>
      <c r="QP138" s="611"/>
      <c r="QQ138" s="611"/>
      <c r="QR138" s="611"/>
      <c r="QS138" s="611"/>
      <c r="QT138" s="611"/>
      <c r="QU138" s="611"/>
      <c r="QV138" s="611"/>
      <c r="QW138" s="611"/>
      <c r="QX138" s="611"/>
      <c r="QY138" s="611"/>
      <c r="QZ138" s="611"/>
      <c r="RA138" s="611"/>
      <c r="RB138" s="611"/>
      <c r="RC138" s="611"/>
      <c r="RD138" s="611"/>
      <c r="RE138" s="611"/>
      <c r="RF138" s="611"/>
      <c r="RG138" s="611"/>
      <c r="RH138" s="611"/>
      <c r="RI138" s="611"/>
      <c r="RJ138" s="611"/>
      <c r="RK138" s="611"/>
      <c r="RL138" s="611"/>
      <c r="RM138" s="611"/>
      <c r="RN138" s="611"/>
      <c r="RO138" s="611"/>
      <c r="RP138" s="611"/>
      <c r="RQ138" s="611"/>
      <c r="RR138" s="611"/>
      <c r="RS138" s="611"/>
      <c r="RT138" s="611"/>
      <c r="RU138" s="611"/>
      <c r="RV138" s="611"/>
      <c r="RW138" s="611"/>
      <c r="RX138" s="611"/>
      <c r="RY138" s="611"/>
      <c r="RZ138" s="611"/>
      <c r="SA138" s="611"/>
      <c r="SB138" s="611"/>
      <c r="SC138" s="611"/>
    </row>
    <row r="139" spans="1:497" s="623" customFormat="1" ht="35.25" customHeight="1" thickBot="1" x14ac:dyDescent="0.25">
      <c r="A139" s="3164"/>
      <c r="B139" s="3165"/>
      <c r="C139" s="3165"/>
      <c r="D139" s="3165"/>
      <c r="E139" s="3165"/>
      <c r="F139" s="3165"/>
      <c r="G139" s="3165"/>
      <c r="H139" s="3165"/>
      <c r="I139" s="3165"/>
      <c r="J139" s="3165"/>
      <c r="K139" s="3165"/>
      <c r="L139" s="3165"/>
      <c r="M139" s="3165"/>
      <c r="N139" s="3166"/>
      <c r="O139" s="615">
        <f>SUM(O13:O138)</f>
        <v>6534529092</v>
      </c>
      <c r="P139" s="616"/>
      <c r="Q139" s="617"/>
      <c r="R139" s="618"/>
      <c r="S139" s="615">
        <f>SUM(S13:S138)</f>
        <v>6534529092</v>
      </c>
      <c r="T139" s="619"/>
      <c r="U139" s="617"/>
      <c r="V139" s="620"/>
      <c r="W139" s="620"/>
      <c r="X139" s="620"/>
      <c r="Y139" s="620"/>
      <c r="Z139" s="620"/>
      <c r="AA139" s="620"/>
      <c r="AB139" s="620"/>
      <c r="AC139" s="620"/>
      <c r="AD139" s="620"/>
      <c r="AE139" s="620"/>
      <c r="AF139" s="620"/>
      <c r="AG139" s="620"/>
      <c r="AH139" s="620"/>
      <c r="AI139" s="620"/>
      <c r="AJ139" s="620"/>
      <c r="AK139" s="620"/>
      <c r="AL139" s="620"/>
      <c r="AM139" s="620"/>
      <c r="AN139" s="621"/>
      <c r="AO139" s="622"/>
      <c r="AP139" s="622"/>
      <c r="AQ139" s="622"/>
      <c r="AR139" s="622"/>
      <c r="AS139" s="622"/>
      <c r="AT139" s="611"/>
      <c r="AU139" s="611"/>
      <c r="AV139" s="611"/>
      <c r="AW139" s="611"/>
      <c r="AX139" s="611"/>
      <c r="AY139" s="611"/>
      <c r="AZ139" s="611"/>
      <c r="BA139" s="611"/>
      <c r="BB139" s="611"/>
      <c r="BC139" s="611"/>
      <c r="BD139" s="611"/>
      <c r="BE139" s="611"/>
      <c r="BF139" s="611"/>
      <c r="BG139" s="611"/>
      <c r="BH139" s="611"/>
      <c r="BI139" s="611"/>
      <c r="BJ139" s="611"/>
      <c r="BK139" s="611"/>
      <c r="BL139" s="611"/>
      <c r="BM139" s="611"/>
      <c r="BN139" s="611"/>
      <c r="BO139" s="611"/>
      <c r="BP139" s="611"/>
      <c r="BQ139" s="611"/>
      <c r="BR139" s="611"/>
      <c r="BS139" s="611"/>
      <c r="BT139" s="611"/>
      <c r="BU139" s="611"/>
      <c r="BV139" s="611"/>
      <c r="BW139" s="611"/>
      <c r="BX139" s="611"/>
      <c r="BY139" s="611"/>
      <c r="BZ139" s="611"/>
      <c r="CA139" s="611"/>
      <c r="CB139" s="611"/>
      <c r="CC139" s="611"/>
      <c r="CD139" s="611"/>
      <c r="CE139" s="611"/>
      <c r="CF139" s="611"/>
      <c r="CG139" s="611"/>
      <c r="CH139" s="611"/>
      <c r="CI139" s="611"/>
      <c r="CJ139" s="611"/>
      <c r="CK139" s="611"/>
      <c r="CL139" s="611"/>
      <c r="CM139" s="611"/>
      <c r="CN139" s="611"/>
      <c r="CO139" s="611"/>
      <c r="CP139" s="611"/>
      <c r="CQ139" s="611"/>
      <c r="CR139" s="611"/>
      <c r="CS139" s="611"/>
      <c r="CT139" s="611"/>
      <c r="CU139" s="611"/>
      <c r="CV139" s="611"/>
      <c r="CW139" s="611"/>
      <c r="CX139" s="611"/>
      <c r="CY139" s="611"/>
      <c r="CZ139" s="611"/>
      <c r="DA139" s="611"/>
      <c r="DB139" s="611"/>
      <c r="DC139" s="611"/>
      <c r="DD139" s="611"/>
      <c r="DE139" s="611"/>
      <c r="DF139" s="611"/>
      <c r="DG139" s="611"/>
      <c r="DH139" s="611"/>
      <c r="DI139" s="611"/>
      <c r="DJ139" s="611"/>
      <c r="DK139" s="611"/>
      <c r="DL139" s="611"/>
      <c r="DM139" s="611"/>
      <c r="DN139" s="611"/>
      <c r="DO139" s="611"/>
      <c r="DP139" s="611"/>
      <c r="DQ139" s="611"/>
      <c r="DR139" s="611"/>
      <c r="DS139" s="611"/>
      <c r="DT139" s="611"/>
      <c r="DU139" s="611"/>
      <c r="DV139" s="611"/>
      <c r="DW139" s="611"/>
      <c r="DX139" s="611"/>
      <c r="DY139" s="611"/>
      <c r="DZ139" s="611"/>
      <c r="EA139" s="611"/>
      <c r="EB139" s="611"/>
      <c r="EC139" s="611"/>
      <c r="ED139" s="611"/>
      <c r="EE139" s="611"/>
      <c r="EF139" s="611"/>
      <c r="EG139" s="611"/>
      <c r="EH139" s="611"/>
      <c r="EI139" s="611"/>
      <c r="EJ139" s="611"/>
      <c r="EK139" s="611"/>
      <c r="EL139" s="611"/>
      <c r="EM139" s="611"/>
      <c r="EN139" s="611"/>
      <c r="EO139" s="611"/>
      <c r="EP139" s="611"/>
      <c r="EQ139" s="611"/>
      <c r="ER139" s="611"/>
      <c r="ES139" s="611"/>
      <c r="ET139" s="611"/>
      <c r="EU139" s="611"/>
      <c r="EV139" s="611"/>
      <c r="EW139" s="611"/>
      <c r="EX139" s="611"/>
      <c r="EY139" s="611"/>
      <c r="EZ139" s="611"/>
      <c r="FA139" s="611"/>
      <c r="FB139" s="611"/>
      <c r="FC139" s="611"/>
      <c r="FD139" s="611"/>
      <c r="FE139" s="611"/>
      <c r="FF139" s="611"/>
      <c r="FG139" s="611"/>
      <c r="FH139" s="611"/>
      <c r="FI139" s="611"/>
      <c r="FJ139" s="611"/>
      <c r="FK139" s="611"/>
      <c r="FL139" s="611"/>
      <c r="FM139" s="611"/>
      <c r="FN139" s="611"/>
      <c r="FO139" s="611"/>
      <c r="FP139" s="611"/>
      <c r="FQ139" s="611"/>
      <c r="FR139" s="611"/>
      <c r="FS139" s="611"/>
      <c r="FT139" s="611"/>
      <c r="FU139" s="611"/>
      <c r="FV139" s="611"/>
      <c r="FW139" s="611"/>
      <c r="FX139" s="611"/>
      <c r="FY139" s="611"/>
      <c r="FZ139" s="611"/>
      <c r="GA139" s="611"/>
      <c r="GB139" s="611"/>
      <c r="GC139" s="611"/>
      <c r="GD139" s="611"/>
      <c r="GE139" s="611"/>
      <c r="GF139" s="611"/>
      <c r="GG139" s="611"/>
      <c r="GH139" s="611"/>
      <c r="GI139" s="611"/>
      <c r="GJ139" s="611"/>
      <c r="GK139" s="611"/>
      <c r="GL139" s="611"/>
      <c r="GM139" s="611"/>
      <c r="GN139" s="611"/>
      <c r="GO139" s="611"/>
      <c r="GP139" s="611"/>
      <c r="GQ139" s="611"/>
      <c r="GR139" s="611"/>
      <c r="GS139" s="611"/>
      <c r="GT139" s="611"/>
      <c r="GU139" s="611"/>
      <c r="GV139" s="611"/>
      <c r="GW139" s="611"/>
      <c r="GX139" s="611"/>
      <c r="GY139" s="611"/>
      <c r="GZ139" s="611"/>
      <c r="HA139" s="611"/>
      <c r="HB139" s="611"/>
      <c r="HC139" s="611"/>
      <c r="HD139" s="611"/>
      <c r="HE139" s="611"/>
      <c r="HF139" s="611"/>
      <c r="HG139" s="611"/>
      <c r="HH139" s="611"/>
      <c r="HI139" s="611"/>
      <c r="HJ139" s="611"/>
      <c r="HK139" s="611"/>
      <c r="HL139" s="611"/>
      <c r="HM139" s="611"/>
      <c r="HN139" s="611"/>
      <c r="HO139" s="611"/>
      <c r="HP139" s="611"/>
      <c r="HQ139" s="611"/>
      <c r="HR139" s="611"/>
      <c r="HS139" s="611"/>
      <c r="HT139" s="611"/>
      <c r="HU139" s="611"/>
      <c r="HV139" s="611"/>
      <c r="HW139" s="611"/>
      <c r="HX139" s="611"/>
      <c r="HY139" s="611"/>
      <c r="HZ139" s="611"/>
      <c r="IA139" s="611"/>
      <c r="IB139" s="611"/>
      <c r="IC139" s="611"/>
      <c r="ID139" s="611"/>
      <c r="IE139" s="611"/>
      <c r="IF139" s="611"/>
      <c r="IG139" s="611"/>
      <c r="IH139" s="611"/>
      <c r="II139" s="611"/>
      <c r="IJ139" s="611"/>
      <c r="IK139" s="611"/>
      <c r="IL139" s="611"/>
      <c r="IM139" s="611"/>
      <c r="IN139" s="611"/>
      <c r="IO139" s="611"/>
      <c r="IP139" s="611"/>
      <c r="IQ139" s="611"/>
      <c r="IR139" s="611"/>
      <c r="IS139" s="611"/>
      <c r="IT139" s="611"/>
      <c r="IU139" s="611"/>
      <c r="IV139" s="611"/>
      <c r="IW139" s="611"/>
      <c r="IX139" s="611"/>
      <c r="IY139" s="611"/>
      <c r="IZ139" s="611"/>
      <c r="JA139" s="611"/>
      <c r="JB139" s="611"/>
      <c r="JC139" s="611"/>
      <c r="JD139" s="611"/>
      <c r="JE139" s="611"/>
      <c r="JF139" s="611"/>
      <c r="JG139" s="611"/>
      <c r="JH139" s="611"/>
      <c r="JI139" s="611"/>
      <c r="JJ139" s="611"/>
      <c r="JK139" s="611"/>
      <c r="JL139" s="611"/>
      <c r="JM139" s="611"/>
      <c r="JN139" s="611"/>
      <c r="JO139" s="611"/>
      <c r="JP139" s="611"/>
      <c r="JQ139" s="611"/>
      <c r="JR139" s="611"/>
      <c r="JS139" s="611"/>
      <c r="JT139" s="611"/>
      <c r="JU139" s="611"/>
      <c r="JV139" s="611"/>
      <c r="JW139" s="611"/>
      <c r="JX139" s="611"/>
      <c r="JY139" s="611"/>
      <c r="JZ139" s="611"/>
      <c r="KA139" s="611"/>
      <c r="KB139" s="611"/>
      <c r="KC139" s="611"/>
      <c r="KD139" s="611"/>
      <c r="KE139" s="611"/>
      <c r="KF139" s="611"/>
      <c r="KG139" s="611"/>
      <c r="KH139" s="611"/>
      <c r="KI139" s="611"/>
      <c r="KJ139" s="611"/>
      <c r="KK139" s="611"/>
      <c r="KL139" s="611"/>
      <c r="KM139" s="611"/>
      <c r="KN139" s="611"/>
      <c r="KO139" s="611"/>
      <c r="KP139" s="611"/>
      <c r="KQ139" s="611"/>
      <c r="KR139" s="611"/>
      <c r="KS139" s="611"/>
      <c r="KT139" s="611"/>
      <c r="KU139" s="611"/>
      <c r="KV139" s="611"/>
      <c r="KW139" s="611"/>
      <c r="KX139" s="611"/>
      <c r="KY139" s="611"/>
      <c r="KZ139" s="611"/>
      <c r="LA139" s="611"/>
      <c r="LB139" s="611"/>
      <c r="LC139" s="611"/>
      <c r="LD139" s="611"/>
      <c r="LE139" s="611"/>
      <c r="LF139" s="611"/>
      <c r="LG139" s="611"/>
      <c r="LH139" s="611"/>
      <c r="LI139" s="611"/>
      <c r="LJ139" s="611"/>
      <c r="LK139" s="611"/>
      <c r="LL139" s="611"/>
      <c r="LM139" s="611"/>
      <c r="LN139" s="611"/>
      <c r="LO139" s="611"/>
      <c r="LP139" s="611"/>
      <c r="LQ139" s="611"/>
      <c r="LR139" s="611"/>
      <c r="LS139" s="611"/>
      <c r="LT139" s="611"/>
      <c r="LU139" s="611"/>
      <c r="LV139" s="611"/>
      <c r="LW139" s="611"/>
      <c r="LX139" s="611"/>
      <c r="LY139" s="611"/>
      <c r="LZ139" s="611"/>
      <c r="MA139" s="611"/>
      <c r="MB139" s="611"/>
      <c r="MC139" s="611"/>
      <c r="MD139" s="611"/>
      <c r="ME139" s="611"/>
      <c r="MF139" s="611"/>
      <c r="MG139" s="611"/>
      <c r="MH139" s="611"/>
      <c r="MI139" s="611"/>
      <c r="MJ139" s="611"/>
      <c r="MK139" s="611"/>
      <c r="ML139" s="611"/>
      <c r="MM139" s="611"/>
      <c r="MN139" s="611"/>
      <c r="MO139" s="611"/>
      <c r="MP139" s="611"/>
      <c r="MQ139" s="611"/>
      <c r="MR139" s="611"/>
      <c r="MS139" s="611"/>
      <c r="MT139" s="611"/>
      <c r="MU139" s="611"/>
      <c r="MV139" s="611"/>
      <c r="MW139" s="611"/>
      <c r="MX139" s="611"/>
      <c r="MY139" s="611"/>
      <c r="MZ139" s="611"/>
      <c r="NA139" s="611"/>
      <c r="NB139" s="611"/>
      <c r="NC139" s="611"/>
      <c r="ND139" s="611"/>
      <c r="NE139" s="611"/>
      <c r="NF139" s="611"/>
      <c r="NG139" s="611"/>
      <c r="NH139" s="611"/>
      <c r="NI139" s="611"/>
      <c r="NJ139" s="611"/>
      <c r="NK139" s="611"/>
      <c r="NL139" s="611"/>
      <c r="NM139" s="611"/>
      <c r="NN139" s="611"/>
      <c r="NO139" s="611"/>
      <c r="NP139" s="611"/>
      <c r="NQ139" s="611"/>
      <c r="NR139" s="611"/>
      <c r="NS139" s="611"/>
      <c r="NT139" s="611"/>
      <c r="NU139" s="611"/>
      <c r="NV139" s="611"/>
      <c r="NW139" s="611"/>
      <c r="NX139" s="611"/>
      <c r="NY139" s="611"/>
      <c r="NZ139" s="611"/>
      <c r="OA139" s="611"/>
      <c r="OB139" s="611"/>
      <c r="OC139" s="611"/>
      <c r="OD139" s="611"/>
      <c r="OE139" s="611"/>
      <c r="OF139" s="611"/>
      <c r="OG139" s="611"/>
      <c r="OH139" s="611"/>
      <c r="OI139" s="611"/>
      <c r="OJ139" s="611"/>
      <c r="OK139" s="611"/>
      <c r="OL139" s="611"/>
      <c r="OM139" s="611"/>
      <c r="ON139" s="611"/>
      <c r="OO139" s="611"/>
      <c r="OP139" s="611"/>
      <c r="OQ139" s="611"/>
      <c r="OR139" s="611"/>
      <c r="OS139" s="611"/>
      <c r="OT139" s="611"/>
      <c r="OU139" s="611"/>
      <c r="OV139" s="611"/>
      <c r="OW139" s="611"/>
      <c r="OX139" s="611"/>
      <c r="OY139" s="611"/>
      <c r="OZ139" s="611"/>
      <c r="PA139" s="611"/>
      <c r="PB139" s="611"/>
      <c r="PC139" s="611"/>
      <c r="PD139" s="611"/>
      <c r="PE139" s="611"/>
      <c r="PF139" s="611"/>
      <c r="PG139" s="611"/>
      <c r="PH139" s="611"/>
      <c r="PI139" s="611"/>
      <c r="PJ139" s="611"/>
      <c r="PK139" s="611"/>
      <c r="PL139" s="611"/>
      <c r="PM139" s="611"/>
      <c r="PN139" s="611"/>
      <c r="PO139" s="611"/>
      <c r="PP139" s="611"/>
      <c r="PQ139" s="611"/>
      <c r="PR139" s="611"/>
      <c r="PS139" s="611"/>
      <c r="PT139" s="611"/>
      <c r="PU139" s="611"/>
      <c r="PV139" s="611"/>
      <c r="PW139" s="611"/>
      <c r="PX139" s="611"/>
      <c r="PY139" s="611"/>
      <c r="PZ139" s="611"/>
      <c r="QA139" s="611"/>
      <c r="QB139" s="611"/>
      <c r="QC139" s="611"/>
      <c r="QD139" s="611"/>
      <c r="QE139" s="611"/>
      <c r="QF139" s="611"/>
      <c r="QG139" s="611"/>
      <c r="QH139" s="611"/>
      <c r="QI139" s="611"/>
      <c r="QJ139" s="611"/>
      <c r="QK139" s="611"/>
      <c r="QL139" s="611"/>
      <c r="QM139" s="611"/>
      <c r="QN139" s="611"/>
      <c r="QO139" s="611"/>
      <c r="QP139" s="611"/>
      <c r="QQ139" s="611"/>
      <c r="QR139" s="611"/>
      <c r="QS139" s="611"/>
      <c r="QT139" s="611"/>
      <c r="QU139" s="611"/>
      <c r="QV139" s="611"/>
      <c r="QW139" s="611"/>
      <c r="QX139" s="611"/>
      <c r="QY139" s="611"/>
      <c r="QZ139" s="611"/>
      <c r="RA139" s="611"/>
      <c r="RB139" s="611"/>
      <c r="RC139" s="611"/>
      <c r="RD139" s="611"/>
      <c r="RE139" s="611"/>
      <c r="RF139" s="611"/>
      <c r="RG139" s="611"/>
      <c r="RH139" s="611"/>
      <c r="RI139" s="611"/>
      <c r="RJ139" s="611"/>
      <c r="RK139" s="611"/>
      <c r="RL139" s="611"/>
      <c r="RM139" s="611"/>
      <c r="RN139" s="611"/>
      <c r="RO139" s="611"/>
      <c r="RP139" s="611"/>
      <c r="RQ139" s="611"/>
      <c r="RR139" s="611"/>
      <c r="RS139" s="611"/>
      <c r="RT139" s="611"/>
      <c r="RU139" s="611"/>
      <c r="RV139" s="611"/>
      <c r="RW139" s="611"/>
      <c r="RX139" s="611"/>
      <c r="RY139" s="611"/>
      <c r="RZ139" s="611"/>
      <c r="SA139" s="611"/>
      <c r="SB139" s="611"/>
      <c r="SC139" s="611"/>
    </row>
    <row r="140" spans="1:497" ht="15.75" x14ac:dyDescent="0.25">
      <c r="A140" s="490"/>
      <c r="B140" s="490"/>
      <c r="C140" s="490"/>
      <c r="D140" s="490"/>
      <c r="E140" s="624"/>
      <c r="F140" s="625"/>
      <c r="G140" s="626"/>
      <c r="H140" s="627"/>
      <c r="I140" s="628"/>
      <c r="J140" s="629"/>
      <c r="K140" s="629"/>
      <c r="L140" s="629"/>
      <c r="M140" s="628"/>
      <c r="N140" s="630"/>
      <c r="O140" s="631"/>
      <c r="P140" s="627"/>
      <c r="Q140" s="632"/>
      <c r="R140" s="632"/>
      <c r="S140" s="633"/>
      <c r="T140" s="634"/>
      <c r="U140" s="635"/>
      <c r="V140" s="490"/>
      <c r="W140" s="490"/>
      <c r="X140" s="490"/>
      <c r="Y140" s="490"/>
      <c r="Z140" s="490"/>
      <c r="AA140" s="490"/>
      <c r="AB140" s="490"/>
      <c r="AC140" s="490"/>
      <c r="AD140" s="490"/>
      <c r="AE140" s="490"/>
      <c r="AF140" s="490"/>
      <c r="AG140" s="490"/>
      <c r="AH140" s="490"/>
      <c r="AI140" s="490"/>
      <c r="AJ140" s="490"/>
      <c r="AK140" s="490"/>
      <c r="AN140" s="489"/>
      <c r="AO140" s="622"/>
      <c r="AP140" s="622"/>
      <c r="AQ140" s="622"/>
      <c r="AR140" s="622"/>
      <c r="AS140" s="622"/>
      <c r="AT140" s="611"/>
      <c r="AU140" s="611"/>
      <c r="AV140" s="611"/>
      <c r="AW140" s="611"/>
      <c r="AX140" s="611"/>
      <c r="AY140" s="611"/>
      <c r="AZ140" s="611"/>
      <c r="BA140" s="611"/>
      <c r="BB140" s="611"/>
      <c r="BC140" s="611"/>
      <c r="BD140" s="611"/>
      <c r="BE140" s="611"/>
      <c r="BF140" s="611"/>
      <c r="BG140" s="611"/>
      <c r="BH140" s="611"/>
      <c r="BI140" s="611"/>
      <c r="BJ140" s="611"/>
      <c r="BK140" s="611"/>
      <c r="BL140" s="611"/>
      <c r="BM140" s="611"/>
      <c r="BN140" s="611"/>
      <c r="BO140" s="611"/>
      <c r="BP140" s="611"/>
      <c r="BQ140" s="611"/>
      <c r="BR140" s="611"/>
      <c r="BS140" s="611"/>
      <c r="BT140" s="611"/>
      <c r="BU140" s="611"/>
      <c r="BV140" s="611"/>
      <c r="BW140" s="611"/>
      <c r="BX140" s="611"/>
      <c r="BY140" s="611"/>
      <c r="BZ140" s="611"/>
      <c r="CA140" s="611"/>
      <c r="CB140" s="611"/>
      <c r="CC140" s="611"/>
      <c r="CD140" s="611"/>
      <c r="CE140" s="611"/>
      <c r="CF140" s="611"/>
      <c r="CG140" s="611"/>
      <c r="CH140" s="611"/>
      <c r="CI140" s="611"/>
      <c r="CJ140" s="611"/>
      <c r="CK140" s="611"/>
      <c r="CL140" s="611"/>
      <c r="CM140" s="611"/>
      <c r="CN140" s="611"/>
      <c r="CO140" s="611"/>
      <c r="CP140" s="611"/>
      <c r="CQ140" s="611"/>
      <c r="CR140" s="611"/>
      <c r="CS140" s="611"/>
      <c r="CT140" s="611"/>
      <c r="CU140" s="611"/>
      <c r="CV140" s="611"/>
      <c r="CW140" s="611"/>
      <c r="CX140" s="611"/>
      <c r="CY140" s="611"/>
      <c r="CZ140" s="611"/>
      <c r="DA140" s="611"/>
      <c r="DB140" s="611"/>
      <c r="DC140" s="611"/>
      <c r="DD140" s="611"/>
      <c r="DE140" s="611"/>
      <c r="DF140" s="611"/>
      <c r="DG140" s="611"/>
      <c r="DH140" s="611"/>
      <c r="DI140" s="611"/>
      <c r="DJ140" s="611"/>
      <c r="DK140" s="611"/>
      <c r="DL140" s="611"/>
      <c r="DM140" s="611"/>
      <c r="DN140" s="611"/>
      <c r="DO140" s="611"/>
      <c r="DP140" s="611"/>
      <c r="DQ140" s="611"/>
      <c r="DR140" s="611"/>
      <c r="DS140" s="611"/>
      <c r="DT140" s="611"/>
      <c r="DU140" s="611"/>
      <c r="DV140" s="611"/>
      <c r="DW140" s="611"/>
      <c r="DX140" s="611"/>
      <c r="DY140" s="611"/>
      <c r="DZ140" s="611"/>
      <c r="EA140" s="611"/>
      <c r="EB140" s="611"/>
      <c r="EC140" s="611"/>
      <c r="ED140" s="611"/>
      <c r="EE140" s="611"/>
      <c r="EF140" s="611"/>
      <c r="EG140" s="611"/>
      <c r="EH140" s="611"/>
      <c r="EI140" s="611"/>
      <c r="EJ140" s="611"/>
      <c r="EK140" s="611"/>
      <c r="EL140" s="611"/>
      <c r="EM140" s="611"/>
      <c r="EN140" s="611"/>
      <c r="EO140" s="611"/>
      <c r="EP140" s="611"/>
      <c r="EQ140" s="611"/>
      <c r="ER140" s="611"/>
      <c r="ES140" s="611"/>
      <c r="ET140" s="611"/>
      <c r="EU140" s="611"/>
      <c r="EV140" s="611"/>
      <c r="EW140" s="611"/>
      <c r="EX140" s="611"/>
      <c r="EY140" s="611"/>
      <c r="EZ140" s="611"/>
      <c r="FA140" s="611"/>
      <c r="FB140" s="611"/>
      <c r="FC140" s="611"/>
      <c r="FD140" s="611"/>
      <c r="FE140" s="611"/>
      <c r="FF140" s="611"/>
      <c r="FG140" s="611"/>
      <c r="FH140" s="611"/>
      <c r="FI140" s="611"/>
      <c r="FJ140" s="611"/>
      <c r="FK140" s="611"/>
      <c r="FL140" s="611"/>
      <c r="FM140" s="611"/>
      <c r="FN140" s="611"/>
      <c r="FO140" s="611"/>
      <c r="FP140" s="611"/>
      <c r="FQ140" s="611"/>
      <c r="FR140" s="611"/>
      <c r="FS140" s="611"/>
      <c r="FT140" s="611"/>
      <c r="FU140" s="611"/>
      <c r="FV140" s="611"/>
      <c r="FW140" s="611"/>
      <c r="FX140" s="611"/>
      <c r="FY140" s="611"/>
      <c r="FZ140" s="611"/>
      <c r="GA140" s="611"/>
      <c r="GB140" s="611"/>
      <c r="GC140" s="611"/>
      <c r="GD140" s="611"/>
      <c r="GE140" s="611"/>
      <c r="GF140" s="611"/>
      <c r="GG140" s="611"/>
      <c r="GH140" s="611"/>
      <c r="GI140" s="611"/>
      <c r="GJ140" s="611"/>
      <c r="GK140" s="611"/>
      <c r="GL140" s="611"/>
      <c r="GM140" s="611"/>
      <c r="GN140" s="611"/>
      <c r="GO140" s="611"/>
      <c r="GP140" s="611"/>
      <c r="GQ140" s="611"/>
      <c r="GR140" s="611"/>
      <c r="GS140" s="611"/>
      <c r="GT140" s="611"/>
      <c r="GU140" s="611"/>
      <c r="GV140" s="611"/>
      <c r="GW140" s="611"/>
      <c r="GX140" s="611"/>
      <c r="GY140" s="611"/>
      <c r="GZ140" s="611"/>
      <c r="HA140" s="611"/>
      <c r="HB140" s="611"/>
      <c r="HC140" s="611"/>
      <c r="HD140" s="611"/>
      <c r="HE140" s="611"/>
      <c r="HF140" s="611"/>
      <c r="HG140" s="611"/>
      <c r="HH140" s="611"/>
      <c r="HI140" s="611"/>
      <c r="HJ140" s="611"/>
      <c r="HK140" s="611"/>
      <c r="HL140" s="611"/>
      <c r="HM140" s="611"/>
      <c r="HN140" s="611"/>
      <c r="HO140" s="611"/>
      <c r="HP140" s="611"/>
      <c r="HQ140" s="611"/>
      <c r="HR140" s="611"/>
      <c r="HS140" s="611"/>
      <c r="HT140" s="611"/>
      <c r="HU140" s="611"/>
      <c r="HV140" s="611"/>
      <c r="HW140" s="611"/>
      <c r="HX140" s="611"/>
      <c r="HY140" s="611"/>
      <c r="HZ140" s="611"/>
      <c r="IA140" s="611"/>
      <c r="IB140" s="611"/>
      <c r="IC140" s="611"/>
      <c r="ID140" s="611"/>
      <c r="IE140" s="611"/>
      <c r="IF140" s="611"/>
      <c r="IG140" s="611"/>
      <c r="IH140" s="611"/>
      <c r="II140" s="611"/>
      <c r="IJ140" s="611"/>
      <c r="IK140" s="611"/>
      <c r="IL140" s="611"/>
      <c r="IM140" s="611"/>
      <c r="IN140" s="611"/>
      <c r="IO140" s="611"/>
      <c r="IP140" s="611"/>
      <c r="IQ140" s="611"/>
      <c r="IR140" s="611"/>
      <c r="IS140" s="611"/>
      <c r="IT140" s="611"/>
      <c r="IU140" s="611"/>
      <c r="IV140" s="611"/>
      <c r="IW140" s="611"/>
      <c r="IX140" s="611"/>
      <c r="IY140" s="611"/>
      <c r="IZ140" s="611"/>
      <c r="JA140" s="611"/>
      <c r="JB140" s="611"/>
      <c r="JC140" s="611"/>
      <c r="JD140" s="611"/>
      <c r="JE140" s="611"/>
      <c r="JF140" s="611"/>
      <c r="JG140" s="611"/>
      <c r="JH140" s="611"/>
      <c r="JI140" s="611"/>
      <c r="JJ140" s="611"/>
      <c r="JK140" s="611"/>
      <c r="JL140" s="611"/>
      <c r="JM140" s="611"/>
      <c r="JN140" s="611"/>
      <c r="JO140" s="611"/>
      <c r="JP140" s="611"/>
      <c r="JQ140" s="611"/>
      <c r="JR140" s="611"/>
      <c r="JS140" s="611"/>
      <c r="JT140" s="611"/>
      <c r="JU140" s="611"/>
      <c r="JV140" s="611"/>
      <c r="JW140" s="611"/>
      <c r="JX140" s="611"/>
      <c r="JY140" s="611"/>
      <c r="JZ140" s="611"/>
      <c r="KA140" s="611"/>
      <c r="KB140" s="611"/>
      <c r="KC140" s="611"/>
      <c r="KD140" s="611"/>
      <c r="KE140" s="611"/>
      <c r="KF140" s="611"/>
      <c r="KG140" s="611"/>
      <c r="KH140" s="611"/>
      <c r="KI140" s="611"/>
      <c r="KJ140" s="611"/>
      <c r="KK140" s="611"/>
      <c r="KL140" s="611"/>
      <c r="KM140" s="611"/>
      <c r="KN140" s="611"/>
      <c r="KO140" s="611"/>
      <c r="KP140" s="611"/>
      <c r="KQ140" s="611"/>
      <c r="KR140" s="611"/>
      <c r="KS140" s="611"/>
      <c r="KT140" s="611"/>
      <c r="KU140" s="611"/>
      <c r="KV140" s="611"/>
      <c r="KW140" s="611"/>
      <c r="KX140" s="611"/>
      <c r="KY140" s="611"/>
      <c r="KZ140" s="611"/>
      <c r="LA140" s="611"/>
      <c r="LB140" s="611"/>
      <c r="LC140" s="611"/>
      <c r="LD140" s="611"/>
      <c r="LE140" s="611"/>
      <c r="LF140" s="611"/>
      <c r="LG140" s="611"/>
      <c r="LH140" s="611"/>
      <c r="LI140" s="611"/>
      <c r="LJ140" s="611"/>
      <c r="LK140" s="611"/>
      <c r="LL140" s="611"/>
      <c r="LM140" s="611"/>
      <c r="LN140" s="611"/>
      <c r="LO140" s="611"/>
      <c r="LP140" s="611"/>
      <c r="LQ140" s="611"/>
      <c r="LR140" s="611"/>
      <c r="LS140" s="611"/>
      <c r="LT140" s="611"/>
      <c r="LU140" s="611"/>
      <c r="LV140" s="611"/>
      <c r="LW140" s="611"/>
      <c r="LX140" s="611"/>
      <c r="LY140" s="611"/>
      <c r="LZ140" s="611"/>
      <c r="MA140" s="611"/>
      <c r="MB140" s="611"/>
      <c r="MC140" s="611"/>
      <c r="MD140" s="611"/>
      <c r="ME140" s="611"/>
      <c r="MF140" s="611"/>
      <c r="MG140" s="611"/>
      <c r="MH140" s="611"/>
      <c r="MI140" s="611"/>
      <c r="MJ140" s="611"/>
      <c r="MK140" s="611"/>
      <c r="ML140" s="611"/>
      <c r="MM140" s="611"/>
      <c r="MN140" s="611"/>
      <c r="MO140" s="611"/>
      <c r="MP140" s="611"/>
      <c r="MQ140" s="611"/>
      <c r="MR140" s="611"/>
      <c r="MS140" s="611"/>
      <c r="MT140" s="611"/>
      <c r="MU140" s="611"/>
      <c r="MV140" s="611"/>
      <c r="MW140" s="611"/>
      <c r="MX140" s="611"/>
      <c r="MY140" s="611"/>
      <c r="MZ140" s="611"/>
      <c r="NA140" s="611"/>
      <c r="NB140" s="611"/>
      <c r="NC140" s="611"/>
      <c r="ND140" s="611"/>
      <c r="NE140" s="611"/>
      <c r="NF140" s="611"/>
      <c r="NG140" s="611"/>
      <c r="NH140" s="611"/>
      <c r="NI140" s="611"/>
      <c r="NJ140" s="611"/>
      <c r="NK140" s="611"/>
      <c r="NL140" s="611"/>
      <c r="NM140" s="611"/>
      <c r="NN140" s="611"/>
      <c r="NO140" s="611"/>
      <c r="NP140" s="611"/>
      <c r="NQ140" s="611"/>
      <c r="NR140" s="611"/>
      <c r="NS140" s="611"/>
      <c r="NT140" s="611"/>
      <c r="NU140" s="611"/>
      <c r="NV140" s="611"/>
      <c r="NW140" s="611"/>
      <c r="NX140" s="611"/>
      <c r="NY140" s="611"/>
      <c r="NZ140" s="611"/>
      <c r="OA140" s="611"/>
      <c r="OB140" s="611"/>
      <c r="OC140" s="611"/>
      <c r="OD140" s="611"/>
      <c r="OE140" s="611"/>
      <c r="OF140" s="611"/>
      <c r="OG140" s="611"/>
      <c r="OH140" s="611"/>
      <c r="OI140" s="611"/>
      <c r="OJ140" s="611"/>
      <c r="OK140" s="611"/>
      <c r="OL140" s="611"/>
      <c r="OM140" s="611"/>
      <c r="ON140" s="611"/>
      <c r="OO140" s="611"/>
      <c r="OP140" s="611"/>
      <c r="OQ140" s="611"/>
      <c r="OR140" s="611"/>
      <c r="OS140" s="611"/>
      <c r="OT140" s="611"/>
      <c r="OU140" s="611"/>
      <c r="OV140" s="611"/>
      <c r="OW140" s="611"/>
      <c r="OX140" s="611"/>
      <c r="OY140" s="611"/>
      <c r="OZ140" s="611"/>
      <c r="PA140" s="611"/>
      <c r="PB140" s="611"/>
      <c r="PC140" s="611"/>
      <c r="PD140" s="611"/>
      <c r="PE140" s="611"/>
      <c r="PF140" s="611"/>
      <c r="PG140" s="611"/>
      <c r="PH140" s="611"/>
      <c r="PI140" s="611"/>
      <c r="PJ140" s="611"/>
      <c r="PK140" s="611"/>
      <c r="PL140" s="611"/>
      <c r="PM140" s="611"/>
      <c r="PN140" s="611"/>
      <c r="PO140" s="611"/>
      <c r="PP140" s="611"/>
      <c r="PQ140" s="611"/>
      <c r="PR140" s="611"/>
      <c r="PS140" s="611"/>
      <c r="PT140" s="611"/>
      <c r="PU140" s="611"/>
      <c r="PV140" s="611"/>
      <c r="PW140" s="611"/>
      <c r="PX140" s="611"/>
      <c r="PY140" s="611"/>
      <c r="PZ140" s="611"/>
      <c r="QA140" s="611"/>
      <c r="QB140" s="611"/>
      <c r="QC140" s="611"/>
      <c r="QD140" s="611"/>
      <c r="QE140" s="611"/>
      <c r="QF140" s="611"/>
      <c r="QG140" s="611"/>
      <c r="QH140" s="611"/>
      <c r="QI140" s="611"/>
      <c r="QJ140" s="611"/>
      <c r="QK140" s="611"/>
      <c r="QL140" s="611"/>
      <c r="QM140" s="611"/>
      <c r="QN140" s="611"/>
      <c r="QO140" s="611"/>
      <c r="QP140" s="611"/>
      <c r="QQ140" s="611"/>
      <c r="QR140" s="611"/>
      <c r="QS140" s="611"/>
      <c r="QT140" s="611"/>
      <c r="QU140" s="611"/>
      <c r="QV140" s="611"/>
      <c r="QW140" s="611"/>
      <c r="QX140" s="611"/>
      <c r="QY140" s="611"/>
      <c r="QZ140" s="611"/>
      <c r="RA140" s="611"/>
      <c r="RB140" s="611"/>
      <c r="RC140" s="611"/>
      <c r="RD140" s="611"/>
      <c r="RE140" s="611"/>
      <c r="RF140" s="611"/>
      <c r="RG140" s="611"/>
      <c r="RH140" s="611"/>
      <c r="RI140" s="611"/>
      <c r="RJ140" s="611"/>
      <c r="RK140" s="611"/>
      <c r="RL140" s="611"/>
      <c r="RM140" s="611"/>
      <c r="RN140" s="611"/>
      <c r="RO140" s="611"/>
      <c r="RP140" s="611"/>
      <c r="RQ140" s="611"/>
      <c r="RR140" s="611"/>
      <c r="RS140" s="611"/>
      <c r="RT140" s="611"/>
      <c r="RU140" s="611"/>
      <c r="RV140" s="611"/>
      <c r="RW140" s="611"/>
      <c r="RX140" s="611"/>
      <c r="RY140" s="611"/>
      <c r="RZ140" s="611"/>
      <c r="SA140" s="611"/>
      <c r="SB140" s="611"/>
      <c r="SC140" s="611"/>
    </row>
    <row r="141" spans="1:497" ht="15.75" x14ac:dyDescent="0.25">
      <c r="A141" s="490"/>
      <c r="B141" s="636" t="s">
        <v>606</v>
      </c>
      <c r="C141" s="636"/>
      <c r="D141" s="490"/>
      <c r="E141" s="624"/>
      <c r="F141" s="625"/>
      <c r="G141" s="629"/>
      <c r="H141" s="637"/>
      <c r="I141" s="637"/>
      <c r="J141" s="629"/>
      <c r="K141" s="629"/>
      <c r="L141" s="629"/>
      <c r="M141" s="628"/>
      <c r="N141" s="630"/>
      <c r="O141" s="631"/>
      <c r="P141" s="627"/>
      <c r="Q141" s="632"/>
      <c r="R141" s="632"/>
      <c r="S141" s="638"/>
      <c r="T141" s="634"/>
      <c r="U141" s="635"/>
      <c r="V141" s="490"/>
      <c r="W141" s="490"/>
      <c r="X141" s="490"/>
      <c r="Y141" s="490"/>
      <c r="Z141" s="490"/>
      <c r="AA141" s="490"/>
      <c r="AB141" s="490"/>
      <c r="AC141" s="490"/>
      <c r="AD141" s="490"/>
      <c r="AE141" s="490"/>
      <c r="AF141" s="490"/>
      <c r="AG141" s="490"/>
      <c r="AH141" s="490"/>
      <c r="AI141" s="490"/>
      <c r="AJ141" s="490"/>
      <c r="AK141" s="490"/>
      <c r="AN141" s="489"/>
      <c r="AO141" s="622"/>
      <c r="AP141" s="622"/>
      <c r="AQ141" s="622"/>
      <c r="AR141" s="622"/>
      <c r="AS141" s="622"/>
      <c r="AT141" s="611"/>
      <c r="AU141" s="611"/>
      <c r="AV141" s="611"/>
      <c r="AW141" s="611"/>
      <c r="AX141" s="611"/>
      <c r="AY141" s="611"/>
      <c r="AZ141" s="611"/>
      <c r="BA141" s="611"/>
      <c r="BB141" s="611"/>
      <c r="BC141" s="611"/>
      <c r="BD141" s="611"/>
      <c r="BE141" s="611"/>
      <c r="BF141" s="611"/>
      <c r="BG141" s="611"/>
      <c r="BH141" s="611"/>
      <c r="BI141" s="611"/>
      <c r="BJ141" s="611"/>
      <c r="BK141" s="611"/>
      <c r="BL141" s="611"/>
      <c r="BM141" s="611"/>
      <c r="BN141" s="611"/>
      <c r="BO141" s="611"/>
      <c r="BP141" s="611"/>
      <c r="BQ141" s="611"/>
      <c r="BR141" s="611"/>
      <c r="BS141" s="611"/>
      <c r="BT141" s="611"/>
      <c r="BU141" s="611"/>
      <c r="BV141" s="611"/>
      <c r="BW141" s="611"/>
      <c r="BX141" s="611"/>
      <c r="BY141" s="611"/>
      <c r="BZ141" s="611"/>
      <c r="CA141" s="611"/>
      <c r="CB141" s="611"/>
      <c r="CC141" s="611"/>
      <c r="CD141" s="611"/>
      <c r="CE141" s="611"/>
      <c r="CF141" s="611"/>
      <c r="CG141" s="611"/>
      <c r="CH141" s="611"/>
      <c r="CI141" s="611"/>
      <c r="CJ141" s="611"/>
      <c r="CK141" s="611"/>
      <c r="CL141" s="611"/>
      <c r="CM141" s="611"/>
      <c r="CN141" s="611"/>
      <c r="CO141" s="611"/>
      <c r="CP141" s="611"/>
      <c r="CQ141" s="611"/>
      <c r="CR141" s="611"/>
      <c r="CS141" s="611"/>
      <c r="CT141" s="611"/>
      <c r="CU141" s="611"/>
      <c r="CV141" s="611"/>
      <c r="CW141" s="611"/>
      <c r="CX141" s="611"/>
      <c r="CY141" s="611"/>
      <c r="CZ141" s="611"/>
      <c r="DA141" s="611"/>
      <c r="DB141" s="611"/>
      <c r="DC141" s="611"/>
      <c r="DD141" s="611"/>
      <c r="DE141" s="611"/>
      <c r="DF141" s="611"/>
      <c r="DG141" s="611"/>
      <c r="DH141" s="611"/>
      <c r="DI141" s="611"/>
      <c r="DJ141" s="611"/>
      <c r="DK141" s="611"/>
      <c r="DL141" s="611"/>
      <c r="DM141" s="611"/>
      <c r="DN141" s="611"/>
      <c r="DO141" s="611"/>
      <c r="DP141" s="611"/>
      <c r="DQ141" s="611"/>
      <c r="DR141" s="611"/>
      <c r="DS141" s="611"/>
      <c r="DT141" s="611"/>
      <c r="DU141" s="611"/>
      <c r="DV141" s="611"/>
      <c r="DW141" s="611"/>
      <c r="DX141" s="611"/>
      <c r="DY141" s="611"/>
      <c r="DZ141" s="611"/>
      <c r="EA141" s="611"/>
      <c r="EB141" s="611"/>
      <c r="EC141" s="611"/>
      <c r="ED141" s="611"/>
      <c r="EE141" s="611"/>
      <c r="EF141" s="611"/>
      <c r="EG141" s="611"/>
      <c r="EH141" s="611"/>
      <c r="EI141" s="611"/>
      <c r="EJ141" s="611"/>
      <c r="EK141" s="611"/>
      <c r="EL141" s="611"/>
      <c r="EM141" s="611"/>
      <c r="EN141" s="611"/>
      <c r="EO141" s="611"/>
      <c r="EP141" s="611"/>
      <c r="EQ141" s="611"/>
      <c r="ER141" s="611"/>
      <c r="ES141" s="611"/>
      <c r="ET141" s="611"/>
      <c r="EU141" s="611"/>
      <c r="EV141" s="611"/>
      <c r="EW141" s="611"/>
      <c r="EX141" s="611"/>
      <c r="EY141" s="611"/>
      <c r="EZ141" s="611"/>
      <c r="FA141" s="611"/>
      <c r="FB141" s="611"/>
      <c r="FC141" s="611"/>
      <c r="FD141" s="611"/>
      <c r="FE141" s="611"/>
      <c r="FF141" s="611"/>
      <c r="FG141" s="611"/>
      <c r="FH141" s="611"/>
      <c r="FI141" s="611"/>
      <c r="FJ141" s="611"/>
      <c r="FK141" s="611"/>
      <c r="FL141" s="611"/>
      <c r="FM141" s="611"/>
      <c r="FN141" s="611"/>
      <c r="FO141" s="611"/>
      <c r="FP141" s="611"/>
      <c r="FQ141" s="611"/>
      <c r="FR141" s="611"/>
      <c r="FS141" s="611"/>
      <c r="FT141" s="611"/>
      <c r="FU141" s="611"/>
      <c r="FV141" s="611"/>
      <c r="FW141" s="611"/>
      <c r="FX141" s="611"/>
      <c r="FY141" s="611"/>
      <c r="FZ141" s="611"/>
      <c r="GA141" s="611"/>
      <c r="GB141" s="611"/>
      <c r="GC141" s="611"/>
      <c r="GD141" s="611"/>
      <c r="GE141" s="611"/>
      <c r="GF141" s="611"/>
      <c r="GG141" s="611"/>
      <c r="GH141" s="611"/>
      <c r="GI141" s="611"/>
      <c r="GJ141" s="611"/>
      <c r="GK141" s="611"/>
      <c r="GL141" s="611"/>
      <c r="GM141" s="611"/>
      <c r="GN141" s="611"/>
      <c r="GO141" s="611"/>
      <c r="GP141" s="611"/>
      <c r="GQ141" s="611"/>
      <c r="GR141" s="611"/>
      <c r="GS141" s="611"/>
      <c r="GT141" s="611"/>
      <c r="GU141" s="611"/>
      <c r="GV141" s="611"/>
      <c r="GW141" s="611"/>
      <c r="GX141" s="611"/>
      <c r="GY141" s="611"/>
      <c r="GZ141" s="611"/>
      <c r="HA141" s="611"/>
      <c r="HB141" s="611"/>
      <c r="HC141" s="611"/>
      <c r="HD141" s="611"/>
      <c r="HE141" s="611"/>
      <c r="HF141" s="611"/>
      <c r="HG141" s="611"/>
      <c r="HH141" s="611"/>
      <c r="HI141" s="611"/>
      <c r="HJ141" s="611"/>
      <c r="HK141" s="611"/>
      <c r="HL141" s="611"/>
      <c r="HM141" s="611"/>
      <c r="HN141" s="611"/>
      <c r="HO141" s="611"/>
      <c r="HP141" s="611"/>
      <c r="HQ141" s="611"/>
      <c r="HR141" s="611"/>
      <c r="HS141" s="611"/>
      <c r="HT141" s="611"/>
      <c r="HU141" s="611"/>
      <c r="HV141" s="611"/>
      <c r="HW141" s="611"/>
      <c r="HX141" s="611"/>
      <c r="HY141" s="611"/>
      <c r="HZ141" s="611"/>
      <c r="IA141" s="611"/>
      <c r="IB141" s="611"/>
      <c r="IC141" s="611"/>
      <c r="ID141" s="611"/>
      <c r="IE141" s="611"/>
      <c r="IF141" s="611"/>
      <c r="IG141" s="611"/>
      <c r="IH141" s="611"/>
      <c r="II141" s="611"/>
      <c r="IJ141" s="611"/>
      <c r="IK141" s="611"/>
      <c r="IL141" s="611"/>
      <c r="IM141" s="611"/>
      <c r="IN141" s="611"/>
      <c r="IO141" s="611"/>
      <c r="IP141" s="611"/>
      <c r="IQ141" s="611"/>
      <c r="IR141" s="611"/>
      <c r="IS141" s="611"/>
      <c r="IT141" s="611"/>
      <c r="IU141" s="611"/>
      <c r="IV141" s="611"/>
      <c r="IW141" s="611"/>
      <c r="IX141" s="611"/>
      <c r="IY141" s="611"/>
      <c r="IZ141" s="611"/>
      <c r="JA141" s="611"/>
      <c r="JB141" s="611"/>
      <c r="JC141" s="611"/>
      <c r="JD141" s="611"/>
      <c r="JE141" s="611"/>
      <c r="JF141" s="611"/>
      <c r="JG141" s="611"/>
      <c r="JH141" s="611"/>
      <c r="JI141" s="611"/>
      <c r="JJ141" s="611"/>
      <c r="JK141" s="611"/>
      <c r="JL141" s="611"/>
      <c r="JM141" s="611"/>
      <c r="JN141" s="611"/>
      <c r="JO141" s="611"/>
      <c r="JP141" s="611"/>
      <c r="JQ141" s="611"/>
      <c r="JR141" s="611"/>
      <c r="JS141" s="611"/>
      <c r="JT141" s="611"/>
      <c r="JU141" s="611"/>
      <c r="JV141" s="611"/>
      <c r="JW141" s="611"/>
      <c r="JX141" s="611"/>
      <c r="JY141" s="611"/>
      <c r="JZ141" s="611"/>
      <c r="KA141" s="611"/>
      <c r="KB141" s="611"/>
      <c r="KC141" s="611"/>
      <c r="KD141" s="611"/>
      <c r="KE141" s="611"/>
      <c r="KF141" s="611"/>
      <c r="KG141" s="611"/>
      <c r="KH141" s="611"/>
      <c r="KI141" s="611"/>
      <c r="KJ141" s="611"/>
      <c r="KK141" s="611"/>
      <c r="KL141" s="611"/>
      <c r="KM141" s="611"/>
      <c r="KN141" s="611"/>
      <c r="KO141" s="611"/>
      <c r="KP141" s="611"/>
      <c r="KQ141" s="611"/>
      <c r="KR141" s="611"/>
      <c r="KS141" s="611"/>
      <c r="KT141" s="611"/>
      <c r="KU141" s="611"/>
      <c r="KV141" s="611"/>
      <c r="KW141" s="611"/>
      <c r="KX141" s="611"/>
      <c r="KY141" s="611"/>
      <c r="KZ141" s="611"/>
      <c r="LA141" s="611"/>
      <c r="LB141" s="611"/>
      <c r="LC141" s="611"/>
      <c r="LD141" s="611"/>
      <c r="LE141" s="611"/>
      <c r="LF141" s="611"/>
      <c r="LG141" s="611"/>
      <c r="LH141" s="611"/>
      <c r="LI141" s="611"/>
      <c r="LJ141" s="611"/>
      <c r="LK141" s="611"/>
      <c r="LL141" s="611"/>
      <c r="LM141" s="611"/>
      <c r="LN141" s="611"/>
      <c r="LO141" s="611"/>
      <c r="LP141" s="611"/>
      <c r="LQ141" s="611"/>
      <c r="LR141" s="611"/>
      <c r="LS141" s="611"/>
      <c r="LT141" s="611"/>
      <c r="LU141" s="611"/>
      <c r="LV141" s="611"/>
      <c r="LW141" s="611"/>
      <c r="LX141" s="611"/>
      <c r="LY141" s="611"/>
      <c r="LZ141" s="611"/>
      <c r="MA141" s="611"/>
      <c r="MB141" s="611"/>
      <c r="MC141" s="611"/>
      <c r="MD141" s="611"/>
      <c r="ME141" s="611"/>
      <c r="MF141" s="611"/>
      <c r="MG141" s="611"/>
      <c r="MH141" s="611"/>
      <c r="MI141" s="611"/>
      <c r="MJ141" s="611"/>
      <c r="MK141" s="611"/>
      <c r="ML141" s="611"/>
      <c r="MM141" s="611"/>
      <c r="MN141" s="611"/>
      <c r="MO141" s="611"/>
      <c r="MP141" s="611"/>
      <c r="MQ141" s="611"/>
      <c r="MR141" s="611"/>
      <c r="MS141" s="611"/>
      <c r="MT141" s="611"/>
      <c r="MU141" s="611"/>
      <c r="MV141" s="611"/>
      <c r="MW141" s="611"/>
      <c r="MX141" s="611"/>
      <c r="MY141" s="611"/>
      <c r="MZ141" s="611"/>
      <c r="NA141" s="611"/>
      <c r="NB141" s="611"/>
      <c r="NC141" s="611"/>
      <c r="ND141" s="611"/>
      <c r="NE141" s="611"/>
      <c r="NF141" s="611"/>
      <c r="NG141" s="611"/>
      <c r="NH141" s="611"/>
      <c r="NI141" s="611"/>
      <c r="NJ141" s="611"/>
      <c r="NK141" s="611"/>
      <c r="NL141" s="611"/>
      <c r="NM141" s="611"/>
      <c r="NN141" s="611"/>
      <c r="NO141" s="611"/>
      <c r="NP141" s="611"/>
      <c r="NQ141" s="611"/>
      <c r="NR141" s="611"/>
      <c r="NS141" s="611"/>
      <c r="NT141" s="611"/>
      <c r="NU141" s="611"/>
      <c r="NV141" s="611"/>
      <c r="NW141" s="611"/>
      <c r="NX141" s="611"/>
      <c r="NY141" s="611"/>
      <c r="NZ141" s="611"/>
      <c r="OA141" s="611"/>
      <c r="OB141" s="611"/>
      <c r="OC141" s="611"/>
      <c r="OD141" s="611"/>
      <c r="OE141" s="611"/>
      <c r="OF141" s="611"/>
      <c r="OG141" s="611"/>
      <c r="OH141" s="611"/>
      <c r="OI141" s="611"/>
      <c r="OJ141" s="611"/>
      <c r="OK141" s="611"/>
      <c r="OL141" s="611"/>
      <c r="OM141" s="611"/>
      <c r="ON141" s="611"/>
      <c r="OO141" s="611"/>
      <c r="OP141" s="611"/>
      <c r="OQ141" s="611"/>
      <c r="OR141" s="611"/>
      <c r="OS141" s="611"/>
      <c r="OT141" s="611"/>
      <c r="OU141" s="611"/>
      <c r="OV141" s="611"/>
      <c r="OW141" s="611"/>
      <c r="OX141" s="611"/>
      <c r="OY141" s="611"/>
      <c r="OZ141" s="611"/>
      <c r="PA141" s="611"/>
      <c r="PB141" s="611"/>
      <c r="PC141" s="611"/>
      <c r="PD141" s="611"/>
      <c r="PE141" s="611"/>
      <c r="PF141" s="611"/>
      <c r="PG141" s="611"/>
      <c r="PH141" s="611"/>
      <c r="PI141" s="611"/>
      <c r="PJ141" s="611"/>
      <c r="PK141" s="611"/>
      <c r="PL141" s="611"/>
      <c r="PM141" s="611"/>
      <c r="PN141" s="611"/>
      <c r="PO141" s="611"/>
      <c r="PP141" s="611"/>
      <c r="PQ141" s="611"/>
      <c r="PR141" s="611"/>
      <c r="PS141" s="611"/>
      <c r="PT141" s="611"/>
      <c r="PU141" s="611"/>
      <c r="PV141" s="611"/>
      <c r="PW141" s="611"/>
      <c r="PX141" s="611"/>
      <c r="PY141" s="611"/>
      <c r="PZ141" s="611"/>
      <c r="QA141" s="611"/>
      <c r="QB141" s="611"/>
      <c r="QC141" s="611"/>
      <c r="QD141" s="611"/>
      <c r="QE141" s="611"/>
      <c r="QF141" s="611"/>
      <c r="QG141" s="611"/>
      <c r="QH141" s="611"/>
      <c r="QI141" s="611"/>
      <c r="QJ141" s="611"/>
      <c r="QK141" s="611"/>
      <c r="QL141" s="611"/>
      <c r="QM141" s="611"/>
      <c r="QN141" s="611"/>
      <c r="QO141" s="611"/>
      <c r="QP141" s="611"/>
      <c r="QQ141" s="611"/>
      <c r="QR141" s="611"/>
      <c r="QS141" s="611"/>
      <c r="QT141" s="611"/>
      <c r="QU141" s="611"/>
      <c r="QV141" s="611"/>
      <c r="QW141" s="611"/>
      <c r="QX141" s="611"/>
      <c r="QY141" s="611"/>
      <c r="QZ141" s="611"/>
      <c r="RA141" s="611"/>
      <c r="RB141" s="611"/>
      <c r="RC141" s="611"/>
      <c r="RD141" s="611"/>
      <c r="RE141" s="611"/>
      <c r="RF141" s="611"/>
      <c r="RG141" s="611"/>
      <c r="RH141" s="611"/>
      <c r="RI141" s="611"/>
      <c r="RJ141" s="611"/>
      <c r="RK141" s="611"/>
      <c r="RL141" s="611"/>
      <c r="RM141" s="611"/>
      <c r="RN141" s="611"/>
      <c r="RO141" s="611"/>
      <c r="RP141" s="611"/>
      <c r="RQ141" s="611"/>
      <c r="RR141" s="611"/>
      <c r="RS141" s="611"/>
      <c r="RT141" s="611"/>
      <c r="RU141" s="611"/>
      <c r="RV141" s="611"/>
      <c r="RW141" s="611"/>
      <c r="RX141" s="611"/>
      <c r="RY141" s="611"/>
      <c r="RZ141" s="611"/>
      <c r="SA141" s="611"/>
      <c r="SB141" s="611"/>
      <c r="SC141" s="611"/>
    </row>
    <row r="142" spans="1:497" ht="15" customHeight="1" x14ac:dyDescent="0.2">
      <c r="B142" s="3167" t="s">
        <v>607</v>
      </c>
      <c r="C142" s="3167"/>
      <c r="D142" s="3167"/>
      <c r="E142" s="3167"/>
      <c r="F142" s="3167"/>
      <c r="G142" s="3167"/>
      <c r="H142" s="3167"/>
      <c r="I142" s="3167"/>
      <c r="J142" s="624"/>
      <c r="K142" s="629"/>
      <c r="L142" s="629"/>
      <c r="M142" s="639"/>
      <c r="N142" s="630"/>
      <c r="O142" s="640"/>
      <c r="P142" s="627"/>
      <c r="Q142" s="632"/>
      <c r="S142" s="641"/>
      <c r="T142" s="634"/>
      <c r="U142" s="635"/>
      <c r="V142" s="490"/>
      <c r="W142" s="490"/>
      <c r="X142" s="490"/>
      <c r="Y142" s="490"/>
      <c r="Z142" s="490"/>
      <c r="AA142" s="490"/>
      <c r="AB142" s="490"/>
      <c r="AC142" s="490"/>
      <c r="AD142" s="490"/>
      <c r="AE142" s="490"/>
      <c r="AF142" s="490"/>
      <c r="AG142" s="490"/>
      <c r="AH142" s="490"/>
      <c r="AI142" s="490"/>
      <c r="AJ142" s="490"/>
      <c r="AK142" s="490"/>
      <c r="AN142" s="489"/>
      <c r="AO142" s="622"/>
      <c r="AP142" s="622"/>
      <c r="AQ142" s="622"/>
      <c r="AR142" s="622"/>
      <c r="AS142" s="622"/>
      <c r="AT142" s="611"/>
      <c r="AU142" s="611"/>
      <c r="AV142" s="611"/>
      <c r="AW142" s="611"/>
      <c r="AX142" s="611"/>
      <c r="AY142" s="611"/>
      <c r="AZ142" s="611"/>
      <c r="BA142" s="611"/>
      <c r="BB142" s="611"/>
      <c r="BC142" s="611"/>
      <c r="BD142" s="611"/>
      <c r="BE142" s="611"/>
      <c r="BF142" s="611"/>
      <c r="BG142" s="611"/>
      <c r="BH142" s="611"/>
      <c r="BI142" s="611"/>
      <c r="BJ142" s="611"/>
      <c r="BK142" s="611"/>
      <c r="BL142" s="611"/>
      <c r="BM142" s="611"/>
      <c r="BN142" s="611"/>
      <c r="BO142" s="611"/>
      <c r="BP142" s="611"/>
      <c r="BQ142" s="611"/>
      <c r="BR142" s="611"/>
      <c r="BS142" s="611"/>
      <c r="BT142" s="611"/>
      <c r="BU142" s="611"/>
      <c r="BV142" s="611"/>
      <c r="BW142" s="611"/>
      <c r="BX142" s="611"/>
      <c r="BY142" s="611"/>
      <c r="BZ142" s="611"/>
      <c r="CA142" s="611"/>
      <c r="CB142" s="611"/>
      <c r="CC142" s="611"/>
      <c r="CD142" s="611"/>
      <c r="CE142" s="611"/>
      <c r="CF142" s="611"/>
      <c r="CG142" s="611"/>
      <c r="CH142" s="611"/>
      <c r="CI142" s="611"/>
      <c r="CJ142" s="611"/>
      <c r="CK142" s="611"/>
      <c r="CL142" s="611"/>
      <c r="CM142" s="611"/>
      <c r="CN142" s="611"/>
      <c r="CO142" s="611"/>
      <c r="CP142" s="611"/>
      <c r="CQ142" s="611"/>
      <c r="CR142" s="611"/>
      <c r="CS142" s="611"/>
      <c r="CT142" s="611"/>
      <c r="CU142" s="611"/>
      <c r="CV142" s="611"/>
      <c r="CW142" s="611"/>
      <c r="CX142" s="611"/>
      <c r="CY142" s="611"/>
      <c r="CZ142" s="611"/>
      <c r="DA142" s="611"/>
      <c r="DB142" s="611"/>
      <c r="DC142" s="611"/>
      <c r="DD142" s="611"/>
      <c r="DE142" s="611"/>
      <c r="DF142" s="611"/>
      <c r="DG142" s="611"/>
      <c r="DH142" s="611"/>
      <c r="DI142" s="611"/>
      <c r="DJ142" s="611"/>
      <c r="DK142" s="611"/>
      <c r="DL142" s="611"/>
      <c r="DM142" s="611"/>
      <c r="DN142" s="611"/>
      <c r="DO142" s="611"/>
      <c r="DP142" s="611"/>
      <c r="DQ142" s="611"/>
      <c r="DR142" s="611"/>
      <c r="DS142" s="611"/>
      <c r="DT142" s="611"/>
      <c r="DU142" s="611"/>
      <c r="DV142" s="611"/>
      <c r="DW142" s="611"/>
      <c r="DX142" s="611"/>
      <c r="DY142" s="611"/>
      <c r="DZ142" s="611"/>
      <c r="EA142" s="611"/>
      <c r="EB142" s="611"/>
      <c r="EC142" s="611"/>
      <c r="ED142" s="611"/>
      <c r="EE142" s="611"/>
      <c r="EF142" s="611"/>
      <c r="EG142" s="611"/>
      <c r="EH142" s="611"/>
      <c r="EI142" s="611"/>
      <c r="EJ142" s="611"/>
      <c r="EK142" s="611"/>
      <c r="EL142" s="611"/>
      <c r="EM142" s="611"/>
      <c r="EN142" s="611"/>
      <c r="EO142" s="611"/>
      <c r="EP142" s="611"/>
      <c r="EQ142" s="611"/>
      <c r="ER142" s="611"/>
      <c r="ES142" s="611"/>
      <c r="ET142" s="611"/>
      <c r="EU142" s="611"/>
      <c r="EV142" s="611"/>
      <c r="EW142" s="611"/>
      <c r="EX142" s="611"/>
      <c r="EY142" s="611"/>
      <c r="EZ142" s="611"/>
      <c r="FA142" s="611"/>
      <c r="FB142" s="611"/>
      <c r="FC142" s="611"/>
      <c r="FD142" s="611"/>
      <c r="FE142" s="611"/>
      <c r="FF142" s="611"/>
      <c r="FG142" s="611"/>
      <c r="FH142" s="611"/>
      <c r="FI142" s="611"/>
      <c r="FJ142" s="611"/>
      <c r="FK142" s="611"/>
      <c r="FL142" s="611"/>
      <c r="FM142" s="611"/>
      <c r="FN142" s="611"/>
      <c r="FO142" s="611"/>
      <c r="FP142" s="611"/>
      <c r="FQ142" s="611"/>
      <c r="FR142" s="611"/>
      <c r="FS142" s="611"/>
      <c r="FT142" s="611"/>
      <c r="FU142" s="611"/>
      <c r="FV142" s="611"/>
      <c r="FW142" s="611"/>
      <c r="FX142" s="611"/>
      <c r="FY142" s="611"/>
      <c r="FZ142" s="611"/>
      <c r="GA142" s="611"/>
      <c r="GB142" s="611"/>
      <c r="GC142" s="611"/>
      <c r="GD142" s="611"/>
      <c r="GE142" s="611"/>
      <c r="GF142" s="611"/>
      <c r="GG142" s="611"/>
      <c r="GH142" s="611"/>
      <c r="GI142" s="611"/>
      <c r="GJ142" s="611"/>
      <c r="GK142" s="611"/>
      <c r="GL142" s="611"/>
      <c r="GM142" s="611"/>
      <c r="GN142" s="611"/>
      <c r="GO142" s="611"/>
      <c r="GP142" s="611"/>
      <c r="GQ142" s="611"/>
      <c r="GR142" s="611"/>
      <c r="GS142" s="611"/>
      <c r="GT142" s="611"/>
      <c r="GU142" s="611"/>
      <c r="GV142" s="611"/>
      <c r="GW142" s="611"/>
      <c r="GX142" s="611"/>
      <c r="GY142" s="611"/>
      <c r="GZ142" s="611"/>
      <c r="HA142" s="611"/>
      <c r="HB142" s="611"/>
      <c r="HC142" s="611"/>
      <c r="HD142" s="611"/>
      <c r="HE142" s="611"/>
      <c r="HF142" s="611"/>
      <c r="HG142" s="611"/>
      <c r="HH142" s="611"/>
      <c r="HI142" s="611"/>
      <c r="HJ142" s="611"/>
      <c r="HK142" s="611"/>
      <c r="HL142" s="611"/>
      <c r="HM142" s="611"/>
      <c r="HN142" s="611"/>
      <c r="HO142" s="611"/>
      <c r="HP142" s="611"/>
      <c r="HQ142" s="611"/>
      <c r="HR142" s="611"/>
      <c r="HS142" s="611"/>
      <c r="HT142" s="611"/>
      <c r="HU142" s="611"/>
      <c r="HV142" s="611"/>
      <c r="HW142" s="611"/>
      <c r="HX142" s="611"/>
      <c r="HY142" s="611"/>
      <c r="HZ142" s="611"/>
      <c r="IA142" s="611"/>
      <c r="IB142" s="611"/>
      <c r="IC142" s="611"/>
      <c r="ID142" s="611"/>
      <c r="IE142" s="611"/>
      <c r="IF142" s="611"/>
      <c r="IG142" s="611"/>
      <c r="IH142" s="611"/>
      <c r="II142" s="611"/>
      <c r="IJ142" s="611"/>
      <c r="IK142" s="611"/>
      <c r="IL142" s="611"/>
      <c r="IM142" s="611"/>
      <c r="IN142" s="611"/>
      <c r="IO142" s="611"/>
      <c r="IP142" s="611"/>
      <c r="IQ142" s="611"/>
      <c r="IR142" s="611"/>
      <c r="IS142" s="611"/>
      <c r="IT142" s="611"/>
      <c r="IU142" s="611"/>
      <c r="IV142" s="611"/>
      <c r="IW142" s="611"/>
      <c r="IX142" s="611"/>
      <c r="IY142" s="611"/>
      <c r="IZ142" s="611"/>
      <c r="JA142" s="611"/>
      <c r="JB142" s="611"/>
      <c r="JC142" s="611"/>
      <c r="JD142" s="611"/>
      <c r="JE142" s="611"/>
      <c r="JF142" s="611"/>
      <c r="JG142" s="611"/>
      <c r="JH142" s="611"/>
      <c r="JI142" s="611"/>
      <c r="JJ142" s="611"/>
      <c r="JK142" s="611"/>
      <c r="JL142" s="611"/>
      <c r="JM142" s="611"/>
      <c r="JN142" s="611"/>
      <c r="JO142" s="611"/>
      <c r="JP142" s="611"/>
      <c r="JQ142" s="611"/>
      <c r="JR142" s="611"/>
      <c r="JS142" s="611"/>
      <c r="JT142" s="611"/>
      <c r="JU142" s="611"/>
      <c r="JV142" s="611"/>
      <c r="JW142" s="611"/>
      <c r="JX142" s="611"/>
      <c r="JY142" s="611"/>
      <c r="JZ142" s="611"/>
      <c r="KA142" s="611"/>
      <c r="KB142" s="611"/>
      <c r="KC142" s="611"/>
      <c r="KD142" s="611"/>
      <c r="KE142" s="611"/>
      <c r="KF142" s="611"/>
      <c r="KG142" s="611"/>
      <c r="KH142" s="611"/>
      <c r="KI142" s="611"/>
      <c r="KJ142" s="611"/>
      <c r="KK142" s="611"/>
      <c r="KL142" s="611"/>
      <c r="KM142" s="611"/>
      <c r="KN142" s="611"/>
      <c r="KO142" s="611"/>
      <c r="KP142" s="611"/>
      <c r="KQ142" s="611"/>
      <c r="KR142" s="611"/>
      <c r="KS142" s="611"/>
      <c r="KT142" s="611"/>
      <c r="KU142" s="611"/>
      <c r="KV142" s="611"/>
      <c r="KW142" s="611"/>
      <c r="KX142" s="611"/>
      <c r="KY142" s="611"/>
      <c r="KZ142" s="611"/>
      <c r="LA142" s="611"/>
      <c r="LB142" s="611"/>
      <c r="LC142" s="611"/>
      <c r="LD142" s="611"/>
      <c r="LE142" s="611"/>
      <c r="LF142" s="611"/>
      <c r="LG142" s="611"/>
      <c r="LH142" s="611"/>
      <c r="LI142" s="611"/>
      <c r="LJ142" s="611"/>
      <c r="LK142" s="611"/>
      <c r="LL142" s="611"/>
      <c r="LM142" s="611"/>
      <c r="LN142" s="611"/>
      <c r="LO142" s="611"/>
      <c r="LP142" s="611"/>
      <c r="LQ142" s="611"/>
      <c r="LR142" s="611"/>
      <c r="LS142" s="611"/>
      <c r="LT142" s="611"/>
      <c r="LU142" s="611"/>
      <c r="LV142" s="611"/>
      <c r="LW142" s="611"/>
      <c r="LX142" s="611"/>
      <c r="LY142" s="611"/>
      <c r="LZ142" s="611"/>
      <c r="MA142" s="611"/>
      <c r="MB142" s="611"/>
      <c r="MC142" s="611"/>
      <c r="MD142" s="611"/>
      <c r="ME142" s="611"/>
      <c r="MF142" s="611"/>
      <c r="MG142" s="611"/>
      <c r="MH142" s="611"/>
      <c r="MI142" s="611"/>
      <c r="MJ142" s="611"/>
      <c r="MK142" s="611"/>
      <c r="ML142" s="611"/>
      <c r="MM142" s="611"/>
      <c r="MN142" s="611"/>
      <c r="MO142" s="611"/>
      <c r="MP142" s="611"/>
      <c r="MQ142" s="611"/>
      <c r="MR142" s="611"/>
      <c r="MS142" s="611"/>
      <c r="MT142" s="611"/>
      <c r="MU142" s="611"/>
      <c r="MV142" s="611"/>
      <c r="MW142" s="611"/>
      <c r="MX142" s="611"/>
      <c r="MY142" s="611"/>
      <c r="MZ142" s="611"/>
      <c r="NA142" s="611"/>
      <c r="NB142" s="611"/>
      <c r="NC142" s="611"/>
      <c r="ND142" s="611"/>
      <c r="NE142" s="611"/>
      <c r="NF142" s="611"/>
      <c r="NG142" s="611"/>
      <c r="NH142" s="611"/>
      <c r="NI142" s="611"/>
      <c r="NJ142" s="611"/>
      <c r="NK142" s="611"/>
      <c r="NL142" s="611"/>
      <c r="NM142" s="611"/>
      <c r="NN142" s="611"/>
      <c r="NO142" s="611"/>
      <c r="NP142" s="611"/>
      <c r="NQ142" s="611"/>
      <c r="NR142" s="611"/>
      <c r="NS142" s="611"/>
      <c r="NT142" s="611"/>
      <c r="NU142" s="611"/>
      <c r="NV142" s="611"/>
      <c r="NW142" s="611"/>
      <c r="NX142" s="611"/>
      <c r="NY142" s="611"/>
      <c r="NZ142" s="611"/>
      <c r="OA142" s="611"/>
      <c r="OB142" s="611"/>
      <c r="OC142" s="611"/>
      <c r="OD142" s="611"/>
      <c r="OE142" s="611"/>
      <c r="OF142" s="611"/>
      <c r="OG142" s="611"/>
      <c r="OH142" s="611"/>
      <c r="OI142" s="611"/>
      <c r="OJ142" s="611"/>
      <c r="OK142" s="611"/>
      <c r="OL142" s="611"/>
      <c r="OM142" s="611"/>
      <c r="ON142" s="611"/>
      <c r="OO142" s="611"/>
      <c r="OP142" s="611"/>
      <c r="OQ142" s="611"/>
      <c r="OR142" s="611"/>
      <c r="OS142" s="611"/>
      <c r="OT142" s="611"/>
      <c r="OU142" s="611"/>
      <c r="OV142" s="611"/>
      <c r="OW142" s="611"/>
      <c r="OX142" s="611"/>
      <c r="OY142" s="611"/>
      <c r="OZ142" s="611"/>
      <c r="PA142" s="611"/>
      <c r="PB142" s="611"/>
      <c r="PC142" s="611"/>
      <c r="PD142" s="611"/>
      <c r="PE142" s="611"/>
      <c r="PF142" s="611"/>
      <c r="PG142" s="611"/>
      <c r="PH142" s="611"/>
      <c r="PI142" s="611"/>
      <c r="PJ142" s="611"/>
      <c r="PK142" s="611"/>
      <c r="PL142" s="611"/>
      <c r="PM142" s="611"/>
      <c r="PN142" s="611"/>
      <c r="PO142" s="611"/>
      <c r="PP142" s="611"/>
      <c r="PQ142" s="611"/>
      <c r="PR142" s="611"/>
      <c r="PS142" s="611"/>
      <c r="PT142" s="611"/>
      <c r="PU142" s="611"/>
      <c r="PV142" s="611"/>
      <c r="PW142" s="611"/>
      <c r="PX142" s="611"/>
      <c r="PY142" s="611"/>
      <c r="PZ142" s="611"/>
      <c r="QA142" s="611"/>
      <c r="QB142" s="611"/>
      <c r="QC142" s="611"/>
      <c r="QD142" s="611"/>
      <c r="QE142" s="611"/>
      <c r="QF142" s="611"/>
      <c r="QG142" s="611"/>
      <c r="QH142" s="611"/>
      <c r="QI142" s="611"/>
      <c r="QJ142" s="611"/>
      <c r="QK142" s="611"/>
      <c r="QL142" s="611"/>
      <c r="QM142" s="611"/>
      <c r="QN142" s="611"/>
      <c r="QO142" s="611"/>
      <c r="QP142" s="611"/>
      <c r="QQ142" s="611"/>
      <c r="QR142" s="611"/>
      <c r="QS142" s="611"/>
      <c r="QT142" s="611"/>
      <c r="QU142" s="611"/>
      <c r="QV142" s="611"/>
      <c r="QW142" s="611"/>
      <c r="QX142" s="611"/>
      <c r="QY142" s="611"/>
      <c r="QZ142" s="611"/>
      <c r="RA142" s="611"/>
      <c r="RB142" s="611"/>
      <c r="RC142" s="611"/>
      <c r="RD142" s="611"/>
      <c r="RE142" s="611"/>
      <c r="RF142" s="611"/>
      <c r="RG142" s="611"/>
      <c r="RH142" s="611"/>
      <c r="RI142" s="611"/>
      <c r="RJ142" s="611"/>
      <c r="RK142" s="611"/>
      <c r="RL142" s="611"/>
      <c r="RM142" s="611"/>
      <c r="RN142" s="611"/>
      <c r="RO142" s="611"/>
      <c r="RP142" s="611"/>
      <c r="RQ142" s="611"/>
      <c r="RR142" s="611"/>
      <c r="RS142" s="611"/>
      <c r="RT142" s="611"/>
      <c r="RU142" s="611"/>
      <c r="RV142" s="611"/>
      <c r="RW142" s="611"/>
      <c r="RX142" s="611"/>
      <c r="RY142" s="611"/>
      <c r="RZ142" s="611"/>
      <c r="SA142" s="611"/>
      <c r="SB142" s="611"/>
      <c r="SC142" s="611"/>
    </row>
    <row r="143" spans="1:497" x14ac:dyDescent="0.2">
      <c r="A143" s="490"/>
      <c r="B143" s="636"/>
      <c r="C143" s="636"/>
      <c r="D143" s="490"/>
      <c r="E143" s="624"/>
      <c r="F143" s="642"/>
      <c r="G143" s="624"/>
      <c r="H143" s="643"/>
      <c r="I143" s="643"/>
      <c r="J143" s="624"/>
      <c r="K143" s="629"/>
      <c r="L143" s="629"/>
      <c r="M143" s="639"/>
      <c r="N143" s="630"/>
      <c r="O143" s="644"/>
      <c r="P143" s="639"/>
      <c r="Q143" s="639"/>
      <c r="R143" s="632"/>
      <c r="S143" s="645"/>
      <c r="T143" s="634"/>
      <c r="U143" s="635"/>
      <c r="V143" s="490"/>
      <c r="W143" s="490"/>
      <c r="X143" s="490"/>
      <c r="Y143" s="490"/>
      <c r="Z143" s="490"/>
      <c r="AA143" s="490"/>
      <c r="AB143" s="490"/>
      <c r="AC143" s="490"/>
      <c r="AD143" s="490"/>
      <c r="AE143" s="490"/>
      <c r="AF143" s="490"/>
      <c r="AG143" s="490"/>
      <c r="AH143" s="490"/>
      <c r="AI143" s="490"/>
      <c r="AJ143" s="490"/>
      <c r="AK143" s="490"/>
      <c r="AN143" s="489"/>
      <c r="AO143" s="622"/>
      <c r="AP143" s="622"/>
      <c r="AQ143" s="622"/>
      <c r="AR143" s="622"/>
      <c r="AS143" s="622"/>
      <c r="AT143" s="611"/>
      <c r="AU143" s="611"/>
      <c r="AV143" s="611"/>
      <c r="AW143" s="611"/>
      <c r="AX143" s="611"/>
      <c r="AY143" s="611"/>
      <c r="AZ143" s="611"/>
      <c r="BA143" s="611"/>
      <c r="BB143" s="611"/>
      <c r="BC143" s="611"/>
      <c r="BD143" s="611"/>
      <c r="BE143" s="611"/>
      <c r="BF143" s="611"/>
      <c r="BG143" s="611"/>
      <c r="BH143" s="611"/>
      <c r="BI143" s="611"/>
      <c r="BJ143" s="611"/>
      <c r="BK143" s="611"/>
      <c r="BL143" s="611"/>
      <c r="BM143" s="611"/>
      <c r="BN143" s="611"/>
      <c r="BO143" s="611"/>
      <c r="BP143" s="611"/>
      <c r="BQ143" s="611"/>
      <c r="BR143" s="611"/>
      <c r="BS143" s="611"/>
      <c r="BT143" s="611"/>
      <c r="BU143" s="611"/>
      <c r="BV143" s="611"/>
      <c r="BW143" s="611"/>
      <c r="BX143" s="611"/>
      <c r="BY143" s="611"/>
      <c r="BZ143" s="611"/>
      <c r="CA143" s="611"/>
      <c r="CB143" s="611"/>
      <c r="CC143" s="611"/>
      <c r="CD143" s="611"/>
      <c r="CE143" s="611"/>
      <c r="CF143" s="611"/>
      <c r="CG143" s="611"/>
      <c r="CH143" s="611"/>
      <c r="CI143" s="611"/>
      <c r="CJ143" s="611"/>
      <c r="CK143" s="611"/>
      <c r="CL143" s="611"/>
      <c r="CM143" s="611"/>
      <c r="CN143" s="611"/>
      <c r="CO143" s="611"/>
      <c r="CP143" s="611"/>
      <c r="CQ143" s="611"/>
      <c r="CR143" s="611"/>
      <c r="CS143" s="611"/>
      <c r="CT143" s="611"/>
      <c r="CU143" s="611"/>
      <c r="CV143" s="611"/>
      <c r="CW143" s="611"/>
      <c r="CX143" s="611"/>
      <c r="CY143" s="611"/>
      <c r="CZ143" s="611"/>
      <c r="DA143" s="611"/>
      <c r="DB143" s="611"/>
      <c r="DC143" s="611"/>
      <c r="DD143" s="611"/>
      <c r="DE143" s="611"/>
      <c r="DF143" s="611"/>
      <c r="DG143" s="611"/>
      <c r="DH143" s="611"/>
      <c r="DI143" s="611"/>
      <c r="DJ143" s="611"/>
      <c r="DK143" s="611"/>
      <c r="DL143" s="611"/>
      <c r="DM143" s="611"/>
      <c r="DN143" s="611"/>
      <c r="DO143" s="611"/>
      <c r="DP143" s="611"/>
      <c r="DQ143" s="611"/>
      <c r="DR143" s="611"/>
      <c r="DS143" s="611"/>
      <c r="DT143" s="611"/>
      <c r="DU143" s="611"/>
      <c r="DV143" s="611"/>
      <c r="DW143" s="611"/>
      <c r="DX143" s="611"/>
      <c r="DY143" s="611"/>
      <c r="DZ143" s="611"/>
      <c r="EA143" s="611"/>
      <c r="EB143" s="611"/>
      <c r="EC143" s="611"/>
      <c r="ED143" s="611"/>
      <c r="EE143" s="611"/>
      <c r="EF143" s="611"/>
      <c r="EG143" s="611"/>
      <c r="EH143" s="611"/>
      <c r="EI143" s="611"/>
      <c r="EJ143" s="611"/>
      <c r="EK143" s="611"/>
      <c r="EL143" s="611"/>
      <c r="EM143" s="611"/>
      <c r="EN143" s="611"/>
      <c r="EO143" s="611"/>
      <c r="EP143" s="611"/>
      <c r="EQ143" s="611"/>
      <c r="ER143" s="611"/>
      <c r="ES143" s="611"/>
      <c r="ET143" s="611"/>
      <c r="EU143" s="611"/>
      <c r="EV143" s="611"/>
      <c r="EW143" s="611"/>
      <c r="EX143" s="611"/>
      <c r="EY143" s="611"/>
      <c r="EZ143" s="611"/>
      <c r="FA143" s="611"/>
      <c r="FB143" s="611"/>
      <c r="FC143" s="611"/>
      <c r="FD143" s="611"/>
      <c r="FE143" s="611"/>
      <c r="FF143" s="611"/>
      <c r="FG143" s="611"/>
      <c r="FH143" s="611"/>
      <c r="FI143" s="611"/>
      <c r="FJ143" s="611"/>
      <c r="FK143" s="611"/>
      <c r="FL143" s="611"/>
      <c r="FM143" s="611"/>
      <c r="FN143" s="611"/>
      <c r="FO143" s="611"/>
      <c r="FP143" s="611"/>
      <c r="FQ143" s="611"/>
      <c r="FR143" s="611"/>
      <c r="FS143" s="611"/>
      <c r="FT143" s="611"/>
      <c r="FU143" s="611"/>
      <c r="FV143" s="611"/>
      <c r="FW143" s="611"/>
      <c r="FX143" s="611"/>
      <c r="FY143" s="611"/>
      <c r="FZ143" s="611"/>
      <c r="GA143" s="611"/>
      <c r="GB143" s="611"/>
      <c r="GC143" s="611"/>
      <c r="GD143" s="611"/>
      <c r="GE143" s="611"/>
      <c r="GF143" s="611"/>
      <c r="GG143" s="611"/>
      <c r="GH143" s="611"/>
      <c r="GI143" s="611"/>
      <c r="GJ143" s="611"/>
      <c r="GK143" s="611"/>
      <c r="GL143" s="611"/>
      <c r="GM143" s="611"/>
      <c r="GN143" s="611"/>
      <c r="GO143" s="611"/>
      <c r="GP143" s="611"/>
      <c r="GQ143" s="611"/>
      <c r="GR143" s="611"/>
      <c r="GS143" s="611"/>
      <c r="GT143" s="611"/>
      <c r="GU143" s="611"/>
      <c r="GV143" s="611"/>
      <c r="GW143" s="611"/>
      <c r="GX143" s="611"/>
      <c r="GY143" s="611"/>
      <c r="GZ143" s="611"/>
      <c r="HA143" s="611"/>
      <c r="HB143" s="611"/>
      <c r="HC143" s="611"/>
      <c r="HD143" s="611"/>
      <c r="HE143" s="611"/>
      <c r="HF143" s="611"/>
      <c r="HG143" s="611"/>
      <c r="HH143" s="611"/>
      <c r="HI143" s="611"/>
      <c r="HJ143" s="611"/>
      <c r="HK143" s="611"/>
      <c r="HL143" s="611"/>
      <c r="HM143" s="611"/>
      <c r="HN143" s="611"/>
      <c r="HO143" s="611"/>
      <c r="HP143" s="611"/>
      <c r="HQ143" s="611"/>
      <c r="HR143" s="611"/>
      <c r="HS143" s="611"/>
      <c r="HT143" s="611"/>
      <c r="HU143" s="611"/>
      <c r="HV143" s="611"/>
      <c r="HW143" s="611"/>
      <c r="HX143" s="611"/>
      <c r="HY143" s="611"/>
      <c r="HZ143" s="611"/>
      <c r="IA143" s="611"/>
      <c r="IB143" s="611"/>
      <c r="IC143" s="611"/>
      <c r="ID143" s="611"/>
      <c r="IE143" s="611"/>
      <c r="IF143" s="611"/>
      <c r="IG143" s="611"/>
      <c r="IH143" s="611"/>
      <c r="II143" s="611"/>
      <c r="IJ143" s="611"/>
      <c r="IK143" s="611"/>
      <c r="IL143" s="611"/>
      <c r="IM143" s="611"/>
      <c r="IN143" s="611"/>
      <c r="IO143" s="611"/>
      <c r="IP143" s="611"/>
      <c r="IQ143" s="611"/>
      <c r="IR143" s="611"/>
      <c r="IS143" s="611"/>
      <c r="IT143" s="611"/>
      <c r="IU143" s="611"/>
      <c r="IV143" s="611"/>
      <c r="IW143" s="611"/>
      <c r="IX143" s="611"/>
      <c r="IY143" s="611"/>
      <c r="IZ143" s="611"/>
      <c r="JA143" s="611"/>
      <c r="JB143" s="611"/>
      <c r="JC143" s="611"/>
      <c r="JD143" s="611"/>
      <c r="JE143" s="611"/>
      <c r="JF143" s="611"/>
      <c r="JG143" s="611"/>
      <c r="JH143" s="611"/>
      <c r="JI143" s="611"/>
      <c r="JJ143" s="611"/>
      <c r="JK143" s="611"/>
      <c r="JL143" s="611"/>
      <c r="JM143" s="611"/>
      <c r="JN143" s="611"/>
      <c r="JO143" s="611"/>
      <c r="JP143" s="611"/>
      <c r="JQ143" s="611"/>
      <c r="JR143" s="611"/>
      <c r="JS143" s="611"/>
      <c r="JT143" s="611"/>
      <c r="JU143" s="611"/>
      <c r="JV143" s="611"/>
      <c r="JW143" s="611"/>
      <c r="JX143" s="611"/>
      <c r="JY143" s="611"/>
      <c r="JZ143" s="611"/>
      <c r="KA143" s="611"/>
      <c r="KB143" s="611"/>
      <c r="KC143" s="611"/>
      <c r="KD143" s="611"/>
      <c r="KE143" s="611"/>
      <c r="KF143" s="611"/>
      <c r="KG143" s="611"/>
      <c r="KH143" s="611"/>
      <c r="KI143" s="611"/>
      <c r="KJ143" s="611"/>
      <c r="KK143" s="611"/>
      <c r="KL143" s="611"/>
      <c r="KM143" s="611"/>
      <c r="KN143" s="611"/>
      <c r="KO143" s="611"/>
      <c r="KP143" s="611"/>
      <c r="KQ143" s="611"/>
      <c r="KR143" s="611"/>
      <c r="KS143" s="611"/>
      <c r="KT143" s="611"/>
      <c r="KU143" s="611"/>
      <c r="KV143" s="611"/>
      <c r="KW143" s="611"/>
      <c r="KX143" s="611"/>
      <c r="KY143" s="611"/>
      <c r="KZ143" s="611"/>
      <c r="LA143" s="611"/>
      <c r="LB143" s="611"/>
      <c r="LC143" s="611"/>
      <c r="LD143" s="611"/>
      <c r="LE143" s="611"/>
      <c r="LF143" s="611"/>
      <c r="LG143" s="611"/>
      <c r="LH143" s="611"/>
      <c r="LI143" s="611"/>
      <c r="LJ143" s="611"/>
      <c r="LK143" s="611"/>
      <c r="LL143" s="611"/>
      <c r="LM143" s="611"/>
      <c r="LN143" s="611"/>
      <c r="LO143" s="611"/>
      <c r="LP143" s="611"/>
      <c r="LQ143" s="611"/>
      <c r="LR143" s="611"/>
      <c r="LS143" s="611"/>
      <c r="LT143" s="611"/>
      <c r="LU143" s="611"/>
      <c r="LV143" s="611"/>
      <c r="LW143" s="611"/>
      <c r="LX143" s="611"/>
      <c r="LY143" s="611"/>
      <c r="LZ143" s="611"/>
      <c r="MA143" s="611"/>
      <c r="MB143" s="611"/>
      <c r="MC143" s="611"/>
      <c r="MD143" s="611"/>
      <c r="ME143" s="611"/>
      <c r="MF143" s="611"/>
      <c r="MG143" s="611"/>
      <c r="MH143" s="611"/>
      <c r="MI143" s="611"/>
      <c r="MJ143" s="611"/>
      <c r="MK143" s="611"/>
      <c r="ML143" s="611"/>
      <c r="MM143" s="611"/>
      <c r="MN143" s="611"/>
      <c r="MO143" s="611"/>
      <c r="MP143" s="611"/>
      <c r="MQ143" s="611"/>
      <c r="MR143" s="611"/>
      <c r="MS143" s="611"/>
      <c r="MT143" s="611"/>
      <c r="MU143" s="611"/>
      <c r="MV143" s="611"/>
      <c r="MW143" s="611"/>
      <c r="MX143" s="611"/>
      <c r="MY143" s="611"/>
      <c r="MZ143" s="611"/>
      <c r="NA143" s="611"/>
      <c r="NB143" s="611"/>
      <c r="NC143" s="611"/>
      <c r="ND143" s="611"/>
      <c r="NE143" s="611"/>
      <c r="NF143" s="611"/>
      <c r="NG143" s="611"/>
      <c r="NH143" s="611"/>
      <c r="NI143" s="611"/>
      <c r="NJ143" s="611"/>
      <c r="NK143" s="611"/>
      <c r="NL143" s="611"/>
      <c r="NM143" s="611"/>
      <c r="NN143" s="611"/>
      <c r="NO143" s="611"/>
      <c r="NP143" s="611"/>
      <c r="NQ143" s="611"/>
      <c r="NR143" s="611"/>
      <c r="NS143" s="611"/>
      <c r="NT143" s="611"/>
      <c r="NU143" s="611"/>
      <c r="NV143" s="611"/>
      <c r="NW143" s="611"/>
      <c r="NX143" s="611"/>
      <c r="NY143" s="611"/>
      <c r="NZ143" s="611"/>
      <c r="OA143" s="611"/>
      <c r="OB143" s="611"/>
      <c r="OC143" s="611"/>
      <c r="OD143" s="611"/>
      <c r="OE143" s="611"/>
      <c r="OF143" s="611"/>
      <c r="OG143" s="611"/>
      <c r="OH143" s="611"/>
      <c r="OI143" s="611"/>
      <c r="OJ143" s="611"/>
      <c r="OK143" s="611"/>
      <c r="OL143" s="611"/>
      <c r="OM143" s="611"/>
      <c r="ON143" s="611"/>
      <c r="OO143" s="611"/>
      <c r="OP143" s="611"/>
      <c r="OQ143" s="611"/>
      <c r="OR143" s="611"/>
      <c r="OS143" s="611"/>
      <c r="OT143" s="611"/>
      <c r="OU143" s="611"/>
      <c r="OV143" s="611"/>
      <c r="OW143" s="611"/>
      <c r="OX143" s="611"/>
      <c r="OY143" s="611"/>
      <c r="OZ143" s="611"/>
      <c r="PA143" s="611"/>
      <c r="PB143" s="611"/>
      <c r="PC143" s="611"/>
      <c r="PD143" s="611"/>
      <c r="PE143" s="611"/>
      <c r="PF143" s="611"/>
      <c r="PG143" s="611"/>
      <c r="PH143" s="611"/>
      <c r="PI143" s="611"/>
      <c r="PJ143" s="611"/>
      <c r="PK143" s="611"/>
      <c r="PL143" s="611"/>
      <c r="PM143" s="611"/>
      <c r="PN143" s="611"/>
      <c r="PO143" s="611"/>
      <c r="PP143" s="611"/>
      <c r="PQ143" s="611"/>
      <c r="PR143" s="611"/>
      <c r="PS143" s="611"/>
      <c r="PT143" s="611"/>
      <c r="PU143" s="611"/>
      <c r="PV143" s="611"/>
      <c r="PW143" s="611"/>
      <c r="PX143" s="611"/>
      <c r="PY143" s="611"/>
      <c r="PZ143" s="611"/>
      <c r="QA143" s="611"/>
      <c r="QB143" s="611"/>
      <c r="QC143" s="611"/>
      <c r="QD143" s="611"/>
      <c r="QE143" s="611"/>
      <c r="QF143" s="611"/>
      <c r="QG143" s="611"/>
      <c r="QH143" s="611"/>
      <c r="QI143" s="611"/>
      <c r="QJ143" s="611"/>
      <c r="QK143" s="611"/>
      <c r="QL143" s="611"/>
      <c r="QM143" s="611"/>
      <c r="QN143" s="611"/>
      <c r="QO143" s="611"/>
      <c r="QP143" s="611"/>
      <c r="QQ143" s="611"/>
      <c r="QR143" s="611"/>
      <c r="QS143" s="611"/>
      <c r="QT143" s="611"/>
      <c r="QU143" s="611"/>
      <c r="QV143" s="611"/>
      <c r="QW143" s="611"/>
      <c r="QX143" s="611"/>
      <c r="QY143" s="611"/>
      <c r="QZ143" s="611"/>
      <c r="RA143" s="611"/>
      <c r="RB143" s="611"/>
      <c r="RC143" s="611"/>
      <c r="RD143" s="611"/>
      <c r="RE143" s="611"/>
      <c r="RF143" s="611"/>
      <c r="RG143" s="611"/>
      <c r="RH143" s="611"/>
      <c r="RI143" s="611"/>
      <c r="RJ143" s="611"/>
      <c r="RK143" s="611"/>
      <c r="RL143" s="611"/>
      <c r="RM143" s="611"/>
      <c r="RN143" s="611"/>
      <c r="RO143" s="611"/>
      <c r="RP143" s="611"/>
      <c r="RQ143" s="611"/>
      <c r="RR143" s="611"/>
      <c r="RS143" s="611"/>
      <c r="RT143" s="611"/>
      <c r="RU143" s="611"/>
      <c r="RV143" s="611"/>
      <c r="RW143" s="611"/>
      <c r="RX143" s="611"/>
      <c r="RY143" s="611"/>
      <c r="RZ143" s="611"/>
      <c r="SA143" s="611"/>
      <c r="SB143" s="611"/>
      <c r="SC143" s="611"/>
    </row>
    <row r="144" spans="1:497" x14ac:dyDescent="0.2">
      <c r="A144" s="490"/>
      <c r="B144" s="490"/>
      <c r="C144" s="490"/>
      <c r="D144" s="490"/>
      <c r="E144" s="624"/>
      <c r="F144" s="642"/>
      <c r="G144" s="624"/>
      <c r="H144" s="643"/>
      <c r="I144" s="643"/>
      <c r="J144" s="624"/>
      <c r="K144" s="629"/>
      <c r="L144" s="629"/>
      <c r="M144" s="639"/>
      <c r="N144" s="630"/>
      <c r="O144" s="644"/>
      <c r="P144" s="639"/>
      <c r="Q144" s="635"/>
      <c r="R144" s="489"/>
      <c r="S144" s="645"/>
      <c r="T144" s="634"/>
      <c r="U144" s="635"/>
      <c r="V144" s="490"/>
      <c r="W144" s="490"/>
      <c r="X144" s="490"/>
      <c r="Y144" s="490"/>
      <c r="Z144" s="490"/>
      <c r="AA144" s="490"/>
      <c r="AB144" s="490"/>
      <c r="AC144" s="490"/>
      <c r="AD144" s="490"/>
      <c r="AE144" s="490"/>
      <c r="AF144" s="490"/>
      <c r="AG144" s="490"/>
      <c r="AH144" s="490"/>
      <c r="AI144" s="490"/>
      <c r="AJ144" s="490"/>
      <c r="AK144" s="490"/>
      <c r="AO144" s="622"/>
      <c r="AP144" s="622"/>
      <c r="AQ144" s="622"/>
      <c r="AR144" s="622"/>
      <c r="AS144" s="622"/>
      <c r="AT144" s="611"/>
      <c r="AU144" s="611"/>
      <c r="AV144" s="611"/>
      <c r="AW144" s="611"/>
      <c r="AX144" s="611"/>
      <c r="AY144" s="611"/>
      <c r="AZ144" s="611"/>
      <c r="BA144" s="611"/>
      <c r="BB144" s="611"/>
      <c r="BC144" s="611"/>
      <c r="BD144" s="611"/>
      <c r="BE144" s="611"/>
      <c r="BF144" s="611"/>
      <c r="BG144" s="611"/>
      <c r="BH144" s="611"/>
      <c r="BI144" s="611"/>
      <c r="BJ144" s="611"/>
      <c r="BK144" s="611"/>
      <c r="BL144" s="611"/>
      <c r="BM144" s="611"/>
      <c r="BN144" s="611"/>
      <c r="BO144" s="611"/>
      <c r="BP144" s="611"/>
      <c r="BQ144" s="611"/>
      <c r="BR144" s="611"/>
      <c r="BS144" s="611"/>
      <c r="BT144" s="611"/>
      <c r="BU144" s="611"/>
      <c r="BV144" s="611"/>
      <c r="BW144" s="611"/>
      <c r="BX144" s="611"/>
      <c r="BY144" s="611"/>
      <c r="BZ144" s="611"/>
      <c r="CA144" s="611"/>
      <c r="CB144" s="611"/>
      <c r="CC144" s="611"/>
      <c r="CD144" s="611"/>
      <c r="CE144" s="611"/>
      <c r="CF144" s="611"/>
      <c r="CG144" s="611"/>
      <c r="CH144" s="611"/>
      <c r="CI144" s="611"/>
      <c r="CJ144" s="611"/>
      <c r="CK144" s="611"/>
      <c r="CL144" s="611"/>
      <c r="CM144" s="611"/>
      <c r="CN144" s="611"/>
      <c r="CO144" s="611"/>
      <c r="CP144" s="611"/>
      <c r="CQ144" s="611"/>
      <c r="CR144" s="611"/>
      <c r="CS144" s="611"/>
      <c r="CT144" s="611"/>
      <c r="CU144" s="611"/>
      <c r="CV144" s="611"/>
      <c r="CW144" s="611"/>
      <c r="CX144" s="611"/>
      <c r="CY144" s="611"/>
      <c r="CZ144" s="611"/>
      <c r="DA144" s="611"/>
      <c r="DB144" s="611"/>
      <c r="DC144" s="611"/>
      <c r="DD144" s="611"/>
      <c r="DE144" s="611"/>
      <c r="DF144" s="611"/>
      <c r="DG144" s="611"/>
      <c r="DH144" s="611"/>
      <c r="DI144" s="611"/>
      <c r="DJ144" s="611"/>
      <c r="DK144" s="611"/>
      <c r="DL144" s="611"/>
      <c r="DM144" s="611"/>
      <c r="DN144" s="611"/>
      <c r="DO144" s="611"/>
      <c r="DP144" s="611"/>
      <c r="DQ144" s="611"/>
      <c r="DR144" s="611"/>
      <c r="DS144" s="611"/>
      <c r="DT144" s="611"/>
      <c r="DU144" s="611"/>
      <c r="DV144" s="611"/>
      <c r="DW144" s="611"/>
      <c r="DX144" s="611"/>
      <c r="DY144" s="611"/>
      <c r="DZ144" s="611"/>
      <c r="EA144" s="611"/>
      <c r="EB144" s="611"/>
      <c r="EC144" s="611"/>
      <c r="ED144" s="611"/>
      <c r="EE144" s="611"/>
      <c r="EF144" s="611"/>
      <c r="EG144" s="611"/>
      <c r="EH144" s="611"/>
      <c r="EI144" s="611"/>
      <c r="EJ144" s="611"/>
      <c r="EK144" s="611"/>
      <c r="EL144" s="611"/>
      <c r="EM144" s="611"/>
      <c r="EN144" s="611"/>
      <c r="EO144" s="611"/>
      <c r="EP144" s="611"/>
      <c r="EQ144" s="611"/>
      <c r="ER144" s="611"/>
      <c r="ES144" s="611"/>
      <c r="ET144" s="611"/>
      <c r="EU144" s="611"/>
      <c r="EV144" s="611"/>
      <c r="EW144" s="611"/>
      <c r="EX144" s="611"/>
      <c r="EY144" s="611"/>
      <c r="EZ144" s="611"/>
      <c r="FA144" s="611"/>
      <c r="FB144" s="611"/>
      <c r="FC144" s="611"/>
      <c r="FD144" s="611"/>
      <c r="FE144" s="611"/>
      <c r="FF144" s="611"/>
      <c r="FG144" s="611"/>
      <c r="FH144" s="611"/>
      <c r="FI144" s="611"/>
      <c r="FJ144" s="611"/>
      <c r="FK144" s="611"/>
      <c r="FL144" s="611"/>
      <c r="FM144" s="611"/>
      <c r="FN144" s="611"/>
      <c r="FO144" s="611"/>
      <c r="FP144" s="611"/>
      <c r="FQ144" s="611"/>
      <c r="FR144" s="611"/>
      <c r="FS144" s="611"/>
      <c r="FT144" s="611"/>
      <c r="FU144" s="611"/>
      <c r="FV144" s="611"/>
      <c r="FW144" s="611"/>
      <c r="FX144" s="611"/>
      <c r="FY144" s="611"/>
      <c r="FZ144" s="611"/>
      <c r="GA144" s="611"/>
      <c r="GB144" s="611"/>
      <c r="GC144" s="611"/>
      <c r="GD144" s="611"/>
      <c r="GE144" s="611"/>
      <c r="GF144" s="611"/>
      <c r="GG144" s="611"/>
      <c r="GH144" s="611"/>
      <c r="GI144" s="611"/>
      <c r="GJ144" s="611"/>
      <c r="GK144" s="611"/>
      <c r="GL144" s="611"/>
      <c r="GM144" s="611"/>
      <c r="GN144" s="611"/>
      <c r="GO144" s="611"/>
      <c r="GP144" s="611"/>
      <c r="GQ144" s="611"/>
      <c r="GR144" s="611"/>
      <c r="GS144" s="611"/>
      <c r="GT144" s="611"/>
      <c r="GU144" s="611"/>
      <c r="GV144" s="611"/>
      <c r="GW144" s="611"/>
      <c r="GX144" s="611"/>
      <c r="GY144" s="611"/>
      <c r="GZ144" s="611"/>
      <c r="HA144" s="611"/>
      <c r="HB144" s="611"/>
      <c r="HC144" s="611"/>
      <c r="HD144" s="611"/>
      <c r="HE144" s="611"/>
      <c r="HF144" s="611"/>
      <c r="HG144" s="611"/>
      <c r="HH144" s="611"/>
      <c r="HI144" s="611"/>
      <c r="HJ144" s="611"/>
      <c r="HK144" s="611"/>
      <c r="HL144" s="611"/>
      <c r="HM144" s="611"/>
      <c r="HN144" s="611"/>
      <c r="HO144" s="611"/>
      <c r="HP144" s="611"/>
      <c r="HQ144" s="611"/>
      <c r="HR144" s="611"/>
      <c r="HS144" s="611"/>
      <c r="HT144" s="611"/>
      <c r="HU144" s="611"/>
      <c r="HV144" s="611"/>
      <c r="HW144" s="611"/>
      <c r="HX144" s="611"/>
      <c r="HY144" s="611"/>
      <c r="HZ144" s="611"/>
      <c r="IA144" s="611"/>
      <c r="IB144" s="611"/>
      <c r="IC144" s="611"/>
      <c r="ID144" s="611"/>
      <c r="IE144" s="611"/>
      <c r="IF144" s="611"/>
      <c r="IG144" s="611"/>
      <c r="IH144" s="611"/>
      <c r="II144" s="611"/>
      <c r="IJ144" s="611"/>
      <c r="IK144" s="611"/>
      <c r="IL144" s="611"/>
      <c r="IM144" s="611"/>
      <c r="IN144" s="611"/>
      <c r="IO144" s="611"/>
      <c r="IP144" s="611"/>
      <c r="IQ144" s="611"/>
      <c r="IR144" s="611"/>
      <c r="IS144" s="611"/>
      <c r="IT144" s="611"/>
      <c r="IU144" s="611"/>
      <c r="IV144" s="611"/>
      <c r="IW144" s="611"/>
      <c r="IX144" s="611"/>
      <c r="IY144" s="611"/>
      <c r="IZ144" s="611"/>
      <c r="JA144" s="611"/>
      <c r="JB144" s="611"/>
      <c r="JC144" s="611"/>
      <c r="JD144" s="611"/>
      <c r="JE144" s="611"/>
      <c r="JF144" s="611"/>
      <c r="JG144" s="611"/>
      <c r="JH144" s="611"/>
      <c r="JI144" s="611"/>
      <c r="JJ144" s="611"/>
      <c r="JK144" s="611"/>
      <c r="JL144" s="611"/>
      <c r="JM144" s="611"/>
      <c r="JN144" s="611"/>
      <c r="JO144" s="611"/>
      <c r="JP144" s="611"/>
      <c r="JQ144" s="611"/>
      <c r="JR144" s="611"/>
      <c r="JS144" s="611"/>
      <c r="JT144" s="611"/>
      <c r="JU144" s="611"/>
      <c r="JV144" s="611"/>
      <c r="JW144" s="611"/>
      <c r="JX144" s="611"/>
      <c r="JY144" s="611"/>
      <c r="JZ144" s="611"/>
      <c r="KA144" s="611"/>
      <c r="KB144" s="611"/>
      <c r="KC144" s="611"/>
      <c r="KD144" s="611"/>
      <c r="KE144" s="611"/>
      <c r="KF144" s="611"/>
      <c r="KG144" s="611"/>
      <c r="KH144" s="611"/>
      <c r="KI144" s="611"/>
      <c r="KJ144" s="611"/>
      <c r="KK144" s="611"/>
      <c r="KL144" s="611"/>
      <c r="KM144" s="611"/>
      <c r="KN144" s="611"/>
      <c r="KO144" s="611"/>
      <c r="KP144" s="611"/>
      <c r="KQ144" s="611"/>
      <c r="KR144" s="611"/>
      <c r="KS144" s="611"/>
      <c r="KT144" s="611"/>
      <c r="KU144" s="611"/>
      <c r="KV144" s="611"/>
      <c r="KW144" s="611"/>
      <c r="KX144" s="611"/>
      <c r="KY144" s="611"/>
      <c r="KZ144" s="611"/>
      <c r="LA144" s="611"/>
      <c r="LB144" s="611"/>
      <c r="LC144" s="611"/>
      <c r="LD144" s="611"/>
      <c r="LE144" s="611"/>
      <c r="LF144" s="611"/>
      <c r="LG144" s="611"/>
      <c r="LH144" s="611"/>
      <c r="LI144" s="611"/>
      <c r="LJ144" s="611"/>
      <c r="LK144" s="611"/>
      <c r="LL144" s="611"/>
      <c r="LM144" s="611"/>
      <c r="LN144" s="611"/>
      <c r="LO144" s="611"/>
      <c r="LP144" s="611"/>
      <c r="LQ144" s="611"/>
      <c r="LR144" s="611"/>
      <c r="LS144" s="611"/>
      <c r="LT144" s="611"/>
      <c r="LU144" s="611"/>
      <c r="LV144" s="611"/>
      <c r="LW144" s="611"/>
      <c r="LX144" s="611"/>
      <c r="LY144" s="611"/>
      <c r="LZ144" s="611"/>
      <c r="MA144" s="611"/>
      <c r="MB144" s="611"/>
      <c r="MC144" s="611"/>
      <c r="MD144" s="611"/>
      <c r="ME144" s="611"/>
      <c r="MF144" s="611"/>
      <c r="MG144" s="611"/>
      <c r="MH144" s="611"/>
      <c r="MI144" s="611"/>
      <c r="MJ144" s="611"/>
      <c r="MK144" s="611"/>
      <c r="ML144" s="611"/>
      <c r="MM144" s="611"/>
      <c r="MN144" s="611"/>
      <c r="MO144" s="611"/>
      <c r="MP144" s="611"/>
      <c r="MQ144" s="611"/>
      <c r="MR144" s="611"/>
      <c r="MS144" s="611"/>
      <c r="MT144" s="611"/>
      <c r="MU144" s="611"/>
      <c r="MV144" s="611"/>
      <c r="MW144" s="611"/>
      <c r="MX144" s="611"/>
      <c r="MY144" s="611"/>
      <c r="MZ144" s="611"/>
      <c r="NA144" s="611"/>
      <c r="NB144" s="611"/>
      <c r="NC144" s="611"/>
      <c r="ND144" s="611"/>
      <c r="NE144" s="611"/>
      <c r="NF144" s="611"/>
      <c r="NG144" s="611"/>
      <c r="NH144" s="611"/>
      <c r="NI144" s="611"/>
      <c r="NJ144" s="611"/>
      <c r="NK144" s="611"/>
      <c r="NL144" s="611"/>
      <c r="NM144" s="611"/>
      <c r="NN144" s="611"/>
      <c r="NO144" s="611"/>
      <c r="NP144" s="611"/>
      <c r="NQ144" s="611"/>
      <c r="NR144" s="611"/>
      <c r="NS144" s="611"/>
      <c r="NT144" s="611"/>
      <c r="NU144" s="611"/>
      <c r="NV144" s="611"/>
      <c r="NW144" s="611"/>
      <c r="NX144" s="611"/>
      <c r="NY144" s="611"/>
      <c r="NZ144" s="611"/>
      <c r="OA144" s="611"/>
      <c r="OB144" s="611"/>
      <c r="OC144" s="611"/>
      <c r="OD144" s="611"/>
      <c r="OE144" s="611"/>
      <c r="OF144" s="611"/>
      <c r="OG144" s="611"/>
      <c r="OH144" s="611"/>
      <c r="OI144" s="611"/>
      <c r="OJ144" s="611"/>
      <c r="OK144" s="611"/>
      <c r="OL144" s="611"/>
      <c r="OM144" s="611"/>
      <c r="ON144" s="611"/>
      <c r="OO144" s="611"/>
      <c r="OP144" s="611"/>
      <c r="OQ144" s="611"/>
      <c r="OR144" s="611"/>
      <c r="OS144" s="611"/>
      <c r="OT144" s="611"/>
      <c r="OU144" s="611"/>
      <c r="OV144" s="611"/>
      <c r="OW144" s="611"/>
      <c r="OX144" s="611"/>
      <c r="OY144" s="611"/>
      <c r="OZ144" s="611"/>
      <c r="PA144" s="611"/>
      <c r="PB144" s="611"/>
      <c r="PC144" s="611"/>
      <c r="PD144" s="611"/>
      <c r="PE144" s="611"/>
      <c r="PF144" s="611"/>
      <c r="PG144" s="611"/>
      <c r="PH144" s="611"/>
      <c r="PI144" s="611"/>
      <c r="PJ144" s="611"/>
      <c r="PK144" s="611"/>
      <c r="PL144" s="611"/>
      <c r="PM144" s="611"/>
      <c r="PN144" s="611"/>
      <c r="PO144" s="611"/>
      <c r="PP144" s="611"/>
      <c r="PQ144" s="611"/>
      <c r="PR144" s="611"/>
      <c r="PS144" s="611"/>
      <c r="PT144" s="611"/>
      <c r="PU144" s="611"/>
      <c r="PV144" s="611"/>
      <c r="PW144" s="611"/>
      <c r="PX144" s="611"/>
      <c r="PY144" s="611"/>
      <c r="PZ144" s="611"/>
      <c r="QA144" s="611"/>
      <c r="QB144" s="611"/>
      <c r="QC144" s="611"/>
      <c r="QD144" s="611"/>
      <c r="QE144" s="611"/>
      <c r="QF144" s="611"/>
      <c r="QG144" s="611"/>
      <c r="QH144" s="611"/>
      <c r="QI144" s="611"/>
      <c r="QJ144" s="611"/>
      <c r="QK144" s="611"/>
      <c r="QL144" s="611"/>
      <c r="QM144" s="611"/>
      <c r="QN144" s="611"/>
      <c r="QO144" s="611"/>
      <c r="QP144" s="611"/>
      <c r="QQ144" s="611"/>
      <c r="QR144" s="611"/>
      <c r="QS144" s="611"/>
      <c r="QT144" s="611"/>
      <c r="QU144" s="611"/>
      <c r="QV144" s="611"/>
      <c r="QW144" s="611"/>
      <c r="QX144" s="611"/>
      <c r="QY144" s="611"/>
      <c r="QZ144" s="611"/>
      <c r="RA144" s="611"/>
      <c r="RB144" s="611"/>
      <c r="RC144" s="611"/>
      <c r="RD144" s="611"/>
      <c r="RE144" s="611"/>
      <c r="RF144" s="611"/>
      <c r="RG144" s="611"/>
      <c r="RH144" s="611"/>
      <c r="RI144" s="611"/>
      <c r="RJ144" s="611"/>
      <c r="RK144" s="611"/>
      <c r="RL144" s="611"/>
      <c r="RM144" s="611"/>
      <c r="RN144" s="611"/>
      <c r="RO144" s="611"/>
      <c r="RP144" s="611"/>
      <c r="RQ144" s="611"/>
      <c r="RR144" s="611"/>
      <c r="RS144" s="611"/>
      <c r="RT144" s="611"/>
      <c r="RU144" s="611"/>
      <c r="RV144" s="611"/>
      <c r="RW144" s="611"/>
      <c r="RX144" s="611"/>
      <c r="RY144" s="611"/>
      <c r="RZ144" s="611"/>
      <c r="SA144" s="611"/>
      <c r="SB144" s="611"/>
      <c r="SC144" s="611"/>
    </row>
    <row r="145" spans="1:497" x14ac:dyDescent="0.2">
      <c r="A145" s="490"/>
      <c r="B145" s="490"/>
      <c r="C145" s="490"/>
      <c r="D145" s="490"/>
      <c r="E145" s="624"/>
      <c r="F145" s="642"/>
      <c r="G145" s="624"/>
      <c r="H145" s="643"/>
      <c r="I145" s="643"/>
      <c r="J145" s="624"/>
      <c r="K145" s="629"/>
      <c r="L145" s="629"/>
      <c r="M145" s="639"/>
      <c r="N145" s="630"/>
      <c r="O145" s="644"/>
      <c r="P145" s="639"/>
      <c r="Q145" s="635"/>
      <c r="R145" s="489"/>
      <c r="S145" s="645"/>
      <c r="T145" s="634"/>
      <c r="U145" s="635"/>
      <c r="V145" s="490"/>
      <c r="W145" s="490"/>
      <c r="X145" s="490"/>
      <c r="Y145" s="490"/>
      <c r="Z145" s="490"/>
      <c r="AA145" s="490"/>
      <c r="AB145" s="490"/>
      <c r="AC145" s="490"/>
      <c r="AD145" s="490"/>
      <c r="AE145" s="490"/>
      <c r="AF145" s="490"/>
      <c r="AG145" s="490"/>
      <c r="AH145" s="490"/>
      <c r="AI145" s="490"/>
      <c r="AJ145" s="490"/>
      <c r="AK145" s="490"/>
      <c r="AO145" s="622"/>
      <c r="AP145" s="622"/>
      <c r="AQ145" s="622"/>
      <c r="AR145" s="622"/>
      <c r="AS145" s="622"/>
      <c r="AT145" s="611"/>
      <c r="AU145" s="611"/>
      <c r="AV145" s="611"/>
      <c r="AW145" s="611"/>
      <c r="AX145" s="611"/>
      <c r="AY145" s="611"/>
      <c r="AZ145" s="611"/>
      <c r="BA145" s="611"/>
      <c r="BB145" s="611"/>
      <c r="BC145" s="611"/>
      <c r="BD145" s="611"/>
      <c r="BE145" s="611"/>
      <c r="BF145" s="611"/>
      <c r="BG145" s="611"/>
      <c r="BH145" s="611"/>
      <c r="BI145" s="611"/>
      <c r="BJ145" s="611"/>
      <c r="BK145" s="611"/>
      <c r="BL145" s="611"/>
      <c r="BM145" s="611"/>
      <c r="BN145" s="611"/>
      <c r="BO145" s="611"/>
      <c r="BP145" s="611"/>
      <c r="BQ145" s="611"/>
      <c r="BR145" s="611"/>
      <c r="BS145" s="611"/>
      <c r="BT145" s="611"/>
      <c r="BU145" s="611"/>
      <c r="BV145" s="611"/>
      <c r="BW145" s="611"/>
      <c r="BX145" s="611"/>
      <c r="BY145" s="611"/>
      <c r="BZ145" s="611"/>
      <c r="CA145" s="611"/>
      <c r="CB145" s="611"/>
      <c r="CC145" s="611"/>
      <c r="CD145" s="611"/>
      <c r="CE145" s="611"/>
      <c r="CF145" s="611"/>
      <c r="CG145" s="611"/>
      <c r="CH145" s="611"/>
      <c r="CI145" s="611"/>
      <c r="CJ145" s="611"/>
      <c r="CK145" s="611"/>
      <c r="CL145" s="611"/>
      <c r="CM145" s="611"/>
      <c r="CN145" s="611"/>
      <c r="CO145" s="611"/>
      <c r="CP145" s="611"/>
      <c r="CQ145" s="611"/>
      <c r="CR145" s="611"/>
      <c r="CS145" s="611"/>
      <c r="CT145" s="611"/>
      <c r="CU145" s="611"/>
      <c r="CV145" s="611"/>
      <c r="CW145" s="611"/>
      <c r="CX145" s="611"/>
      <c r="CY145" s="611"/>
      <c r="CZ145" s="611"/>
      <c r="DA145" s="611"/>
      <c r="DB145" s="611"/>
      <c r="DC145" s="611"/>
      <c r="DD145" s="611"/>
      <c r="DE145" s="611"/>
      <c r="DF145" s="611"/>
      <c r="DG145" s="611"/>
      <c r="DH145" s="611"/>
      <c r="DI145" s="611"/>
      <c r="DJ145" s="611"/>
      <c r="DK145" s="611"/>
      <c r="DL145" s="611"/>
      <c r="DM145" s="611"/>
      <c r="DN145" s="611"/>
      <c r="DO145" s="611"/>
      <c r="DP145" s="611"/>
      <c r="DQ145" s="611"/>
      <c r="DR145" s="611"/>
      <c r="DS145" s="611"/>
      <c r="DT145" s="611"/>
      <c r="DU145" s="611"/>
      <c r="DV145" s="611"/>
      <c r="DW145" s="611"/>
      <c r="DX145" s="611"/>
      <c r="DY145" s="611"/>
      <c r="DZ145" s="611"/>
      <c r="EA145" s="611"/>
      <c r="EB145" s="611"/>
      <c r="EC145" s="611"/>
      <c r="ED145" s="611"/>
      <c r="EE145" s="611"/>
      <c r="EF145" s="611"/>
      <c r="EG145" s="611"/>
      <c r="EH145" s="611"/>
      <c r="EI145" s="611"/>
      <c r="EJ145" s="611"/>
      <c r="EK145" s="611"/>
      <c r="EL145" s="611"/>
      <c r="EM145" s="611"/>
      <c r="EN145" s="611"/>
      <c r="EO145" s="611"/>
      <c r="EP145" s="611"/>
      <c r="EQ145" s="611"/>
      <c r="ER145" s="611"/>
      <c r="ES145" s="611"/>
      <c r="ET145" s="611"/>
      <c r="EU145" s="611"/>
      <c r="EV145" s="611"/>
      <c r="EW145" s="611"/>
      <c r="EX145" s="611"/>
      <c r="EY145" s="611"/>
      <c r="EZ145" s="611"/>
      <c r="FA145" s="611"/>
      <c r="FB145" s="611"/>
      <c r="FC145" s="611"/>
      <c r="FD145" s="611"/>
      <c r="FE145" s="611"/>
      <c r="FF145" s="611"/>
      <c r="FG145" s="611"/>
      <c r="FH145" s="611"/>
      <c r="FI145" s="611"/>
      <c r="FJ145" s="611"/>
      <c r="FK145" s="611"/>
      <c r="FL145" s="611"/>
      <c r="FM145" s="611"/>
      <c r="FN145" s="611"/>
      <c r="FO145" s="611"/>
      <c r="FP145" s="611"/>
      <c r="FQ145" s="611"/>
      <c r="FR145" s="611"/>
      <c r="FS145" s="611"/>
      <c r="FT145" s="611"/>
      <c r="FU145" s="611"/>
      <c r="FV145" s="611"/>
      <c r="FW145" s="611"/>
      <c r="FX145" s="611"/>
      <c r="FY145" s="611"/>
      <c r="FZ145" s="611"/>
      <c r="GA145" s="611"/>
      <c r="GB145" s="611"/>
      <c r="GC145" s="611"/>
      <c r="GD145" s="611"/>
      <c r="GE145" s="611"/>
      <c r="GF145" s="611"/>
      <c r="GG145" s="611"/>
      <c r="GH145" s="611"/>
      <c r="GI145" s="611"/>
      <c r="GJ145" s="611"/>
      <c r="GK145" s="611"/>
      <c r="GL145" s="611"/>
      <c r="GM145" s="611"/>
      <c r="GN145" s="611"/>
      <c r="GO145" s="611"/>
      <c r="GP145" s="611"/>
      <c r="GQ145" s="611"/>
      <c r="GR145" s="611"/>
      <c r="GS145" s="611"/>
      <c r="GT145" s="611"/>
      <c r="GU145" s="611"/>
      <c r="GV145" s="611"/>
      <c r="GW145" s="611"/>
      <c r="GX145" s="611"/>
      <c r="GY145" s="611"/>
      <c r="GZ145" s="611"/>
      <c r="HA145" s="611"/>
      <c r="HB145" s="611"/>
      <c r="HC145" s="611"/>
      <c r="HD145" s="611"/>
      <c r="HE145" s="611"/>
      <c r="HF145" s="611"/>
      <c r="HG145" s="611"/>
      <c r="HH145" s="611"/>
      <c r="HI145" s="611"/>
      <c r="HJ145" s="611"/>
      <c r="HK145" s="611"/>
      <c r="HL145" s="611"/>
      <c r="HM145" s="611"/>
      <c r="HN145" s="611"/>
      <c r="HO145" s="611"/>
      <c r="HP145" s="611"/>
      <c r="HQ145" s="611"/>
      <c r="HR145" s="611"/>
      <c r="HS145" s="611"/>
      <c r="HT145" s="611"/>
      <c r="HU145" s="611"/>
      <c r="HV145" s="611"/>
      <c r="HW145" s="611"/>
      <c r="HX145" s="611"/>
      <c r="HY145" s="611"/>
      <c r="HZ145" s="611"/>
      <c r="IA145" s="611"/>
      <c r="IB145" s="611"/>
      <c r="IC145" s="611"/>
      <c r="ID145" s="611"/>
      <c r="IE145" s="611"/>
      <c r="IF145" s="611"/>
      <c r="IG145" s="611"/>
      <c r="IH145" s="611"/>
      <c r="II145" s="611"/>
      <c r="IJ145" s="611"/>
      <c r="IK145" s="611"/>
      <c r="IL145" s="611"/>
      <c r="IM145" s="611"/>
      <c r="IN145" s="611"/>
      <c r="IO145" s="611"/>
      <c r="IP145" s="611"/>
      <c r="IQ145" s="611"/>
      <c r="IR145" s="611"/>
      <c r="IS145" s="611"/>
      <c r="IT145" s="611"/>
      <c r="IU145" s="611"/>
      <c r="IV145" s="611"/>
      <c r="IW145" s="611"/>
      <c r="IX145" s="611"/>
      <c r="IY145" s="611"/>
      <c r="IZ145" s="611"/>
      <c r="JA145" s="611"/>
      <c r="JB145" s="611"/>
      <c r="JC145" s="611"/>
      <c r="JD145" s="611"/>
      <c r="JE145" s="611"/>
      <c r="JF145" s="611"/>
      <c r="JG145" s="611"/>
      <c r="JH145" s="611"/>
      <c r="JI145" s="611"/>
      <c r="JJ145" s="611"/>
      <c r="JK145" s="611"/>
      <c r="JL145" s="611"/>
      <c r="JM145" s="611"/>
      <c r="JN145" s="611"/>
      <c r="JO145" s="611"/>
      <c r="JP145" s="611"/>
      <c r="JQ145" s="611"/>
      <c r="JR145" s="611"/>
      <c r="JS145" s="611"/>
      <c r="JT145" s="611"/>
      <c r="JU145" s="611"/>
      <c r="JV145" s="611"/>
      <c r="JW145" s="611"/>
      <c r="JX145" s="611"/>
      <c r="JY145" s="611"/>
      <c r="JZ145" s="611"/>
      <c r="KA145" s="611"/>
      <c r="KB145" s="611"/>
      <c r="KC145" s="611"/>
      <c r="KD145" s="611"/>
      <c r="KE145" s="611"/>
      <c r="KF145" s="611"/>
      <c r="KG145" s="611"/>
      <c r="KH145" s="611"/>
      <c r="KI145" s="611"/>
      <c r="KJ145" s="611"/>
      <c r="KK145" s="611"/>
      <c r="KL145" s="611"/>
      <c r="KM145" s="611"/>
      <c r="KN145" s="611"/>
      <c r="KO145" s="611"/>
      <c r="KP145" s="611"/>
      <c r="KQ145" s="611"/>
      <c r="KR145" s="611"/>
      <c r="KS145" s="611"/>
      <c r="KT145" s="611"/>
      <c r="KU145" s="611"/>
      <c r="KV145" s="611"/>
      <c r="KW145" s="611"/>
      <c r="KX145" s="611"/>
      <c r="KY145" s="611"/>
      <c r="KZ145" s="611"/>
      <c r="LA145" s="611"/>
      <c r="LB145" s="611"/>
      <c r="LC145" s="611"/>
      <c r="LD145" s="611"/>
      <c r="LE145" s="611"/>
      <c r="LF145" s="611"/>
      <c r="LG145" s="611"/>
      <c r="LH145" s="611"/>
      <c r="LI145" s="611"/>
      <c r="LJ145" s="611"/>
      <c r="LK145" s="611"/>
      <c r="LL145" s="611"/>
      <c r="LM145" s="611"/>
      <c r="LN145" s="611"/>
      <c r="LO145" s="611"/>
      <c r="LP145" s="611"/>
      <c r="LQ145" s="611"/>
      <c r="LR145" s="611"/>
      <c r="LS145" s="611"/>
      <c r="LT145" s="611"/>
      <c r="LU145" s="611"/>
      <c r="LV145" s="611"/>
      <c r="LW145" s="611"/>
      <c r="LX145" s="611"/>
      <c r="LY145" s="611"/>
      <c r="LZ145" s="611"/>
      <c r="MA145" s="611"/>
      <c r="MB145" s="611"/>
      <c r="MC145" s="611"/>
      <c r="MD145" s="611"/>
      <c r="ME145" s="611"/>
      <c r="MF145" s="611"/>
      <c r="MG145" s="611"/>
      <c r="MH145" s="611"/>
      <c r="MI145" s="611"/>
      <c r="MJ145" s="611"/>
      <c r="MK145" s="611"/>
      <c r="ML145" s="611"/>
      <c r="MM145" s="611"/>
      <c r="MN145" s="611"/>
      <c r="MO145" s="611"/>
      <c r="MP145" s="611"/>
      <c r="MQ145" s="611"/>
      <c r="MR145" s="611"/>
      <c r="MS145" s="611"/>
      <c r="MT145" s="611"/>
      <c r="MU145" s="611"/>
      <c r="MV145" s="611"/>
      <c r="MW145" s="611"/>
      <c r="MX145" s="611"/>
      <c r="MY145" s="611"/>
      <c r="MZ145" s="611"/>
      <c r="NA145" s="611"/>
      <c r="NB145" s="611"/>
      <c r="NC145" s="611"/>
      <c r="ND145" s="611"/>
      <c r="NE145" s="611"/>
      <c r="NF145" s="611"/>
      <c r="NG145" s="611"/>
      <c r="NH145" s="611"/>
      <c r="NI145" s="611"/>
      <c r="NJ145" s="611"/>
      <c r="NK145" s="611"/>
      <c r="NL145" s="611"/>
      <c r="NM145" s="611"/>
      <c r="NN145" s="611"/>
      <c r="NO145" s="611"/>
      <c r="NP145" s="611"/>
      <c r="NQ145" s="611"/>
      <c r="NR145" s="611"/>
      <c r="NS145" s="611"/>
      <c r="NT145" s="611"/>
      <c r="NU145" s="611"/>
      <c r="NV145" s="611"/>
      <c r="NW145" s="611"/>
      <c r="NX145" s="611"/>
      <c r="NY145" s="611"/>
      <c r="NZ145" s="611"/>
      <c r="OA145" s="611"/>
      <c r="OB145" s="611"/>
      <c r="OC145" s="611"/>
      <c r="OD145" s="611"/>
      <c r="OE145" s="611"/>
      <c r="OF145" s="611"/>
      <c r="OG145" s="611"/>
      <c r="OH145" s="611"/>
      <c r="OI145" s="611"/>
      <c r="OJ145" s="611"/>
      <c r="OK145" s="611"/>
      <c r="OL145" s="611"/>
      <c r="OM145" s="611"/>
      <c r="ON145" s="611"/>
      <c r="OO145" s="611"/>
      <c r="OP145" s="611"/>
      <c r="OQ145" s="611"/>
      <c r="OR145" s="611"/>
      <c r="OS145" s="611"/>
      <c r="OT145" s="611"/>
      <c r="OU145" s="611"/>
      <c r="OV145" s="611"/>
      <c r="OW145" s="611"/>
      <c r="OX145" s="611"/>
      <c r="OY145" s="611"/>
      <c r="OZ145" s="611"/>
      <c r="PA145" s="611"/>
      <c r="PB145" s="611"/>
      <c r="PC145" s="611"/>
      <c r="PD145" s="611"/>
      <c r="PE145" s="611"/>
      <c r="PF145" s="611"/>
      <c r="PG145" s="611"/>
      <c r="PH145" s="611"/>
      <c r="PI145" s="611"/>
      <c r="PJ145" s="611"/>
      <c r="PK145" s="611"/>
      <c r="PL145" s="611"/>
      <c r="PM145" s="611"/>
      <c r="PN145" s="611"/>
      <c r="PO145" s="611"/>
      <c r="PP145" s="611"/>
      <c r="PQ145" s="611"/>
      <c r="PR145" s="611"/>
      <c r="PS145" s="611"/>
      <c r="PT145" s="611"/>
      <c r="PU145" s="611"/>
      <c r="PV145" s="611"/>
      <c r="PW145" s="611"/>
      <c r="PX145" s="611"/>
      <c r="PY145" s="611"/>
      <c r="PZ145" s="611"/>
      <c r="QA145" s="611"/>
      <c r="QB145" s="611"/>
      <c r="QC145" s="611"/>
      <c r="QD145" s="611"/>
      <c r="QE145" s="611"/>
      <c r="QF145" s="611"/>
      <c r="QG145" s="611"/>
      <c r="QH145" s="611"/>
      <c r="QI145" s="611"/>
      <c r="QJ145" s="611"/>
      <c r="QK145" s="611"/>
      <c r="QL145" s="611"/>
      <c r="QM145" s="611"/>
      <c r="QN145" s="611"/>
      <c r="QO145" s="611"/>
      <c r="QP145" s="611"/>
      <c r="QQ145" s="611"/>
      <c r="QR145" s="611"/>
      <c r="QS145" s="611"/>
      <c r="QT145" s="611"/>
      <c r="QU145" s="611"/>
      <c r="QV145" s="611"/>
      <c r="QW145" s="611"/>
      <c r="QX145" s="611"/>
      <c r="QY145" s="611"/>
      <c r="QZ145" s="611"/>
      <c r="RA145" s="611"/>
      <c r="RB145" s="611"/>
      <c r="RC145" s="611"/>
      <c r="RD145" s="611"/>
      <c r="RE145" s="611"/>
      <c r="RF145" s="611"/>
      <c r="RG145" s="611"/>
      <c r="RH145" s="611"/>
      <c r="RI145" s="611"/>
      <c r="RJ145" s="611"/>
      <c r="RK145" s="611"/>
      <c r="RL145" s="611"/>
      <c r="RM145" s="611"/>
      <c r="RN145" s="611"/>
      <c r="RO145" s="611"/>
      <c r="RP145" s="611"/>
      <c r="RQ145" s="611"/>
      <c r="RR145" s="611"/>
      <c r="RS145" s="611"/>
      <c r="RT145" s="611"/>
      <c r="RU145" s="611"/>
      <c r="RV145" s="611"/>
      <c r="RW145" s="611"/>
      <c r="RX145" s="611"/>
      <c r="RY145" s="611"/>
      <c r="RZ145" s="611"/>
      <c r="SA145" s="611"/>
      <c r="SB145" s="611"/>
      <c r="SC145" s="611"/>
    </row>
    <row r="146" spans="1:497" ht="15.75" customHeight="1" x14ac:dyDescent="0.2">
      <c r="A146" s="490"/>
      <c r="B146" s="490"/>
      <c r="C146" s="490"/>
      <c r="D146" s="490"/>
      <c r="E146" s="624"/>
      <c r="F146" s="642"/>
      <c r="G146" s="624"/>
      <c r="H146" s="2159" t="s">
        <v>608</v>
      </c>
      <c r="I146" s="2159"/>
      <c r="J146" s="624"/>
      <c r="K146" s="629"/>
      <c r="L146" s="629"/>
      <c r="M146" s="639"/>
      <c r="N146" s="630"/>
      <c r="O146" s="644"/>
      <c r="P146" s="639"/>
      <c r="Q146" s="635"/>
      <c r="R146" s="489"/>
      <c r="S146" s="645"/>
      <c r="T146" s="634"/>
      <c r="U146" s="635"/>
      <c r="V146" s="490"/>
      <c r="W146" s="490"/>
      <c r="X146" s="490"/>
      <c r="Y146" s="490"/>
      <c r="Z146" s="490"/>
      <c r="AA146" s="490"/>
      <c r="AB146" s="490"/>
      <c r="AC146" s="490"/>
      <c r="AD146" s="490"/>
      <c r="AE146" s="490"/>
      <c r="AF146" s="490"/>
      <c r="AG146" s="490"/>
      <c r="AH146" s="490"/>
      <c r="AI146" s="490"/>
      <c r="AJ146" s="490"/>
      <c r="AK146" s="490"/>
      <c r="AO146" s="622"/>
      <c r="AP146" s="622"/>
      <c r="AQ146" s="622"/>
      <c r="AR146" s="622"/>
      <c r="AS146" s="622"/>
      <c r="AT146" s="611"/>
      <c r="AU146" s="611"/>
      <c r="AV146" s="611"/>
      <c r="AW146" s="611"/>
      <c r="AX146" s="611"/>
      <c r="AY146" s="611"/>
      <c r="AZ146" s="611"/>
      <c r="BA146" s="611"/>
      <c r="BB146" s="611"/>
      <c r="BC146" s="611"/>
      <c r="BD146" s="611"/>
      <c r="BE146" s="611"/>
      <c r="BF146" s="611"/>
      <c r="BG146" s="611"/>
      <c r="BH146" s="611"/>
      <c r="BI146" s="611"/>
      <c r="BJ146" s="611"/>
      <c r="BK146" s="611"/>
      <c r="BL146" s="611"/>
      <c r="BM146" s="611"/>
      <c r="BN146" s="611"/>
      <c r="BO146" s="611"/>
      <c r="BP146" s="611"/>
      <c r="BQ146" s="611"/>
      <c r="BR146" s="611"/>
      <c r="BS146" s="611"/>
      <c r="BT146" s="611"/>
      <c r="BU146" s="611"/>
      <c r="BV146" s="611"/>
      <c r="BW146" s="611"/>
      <c r="BX146" s="611"/>
      <c r="BY146" s="611"/>
      <c r="BZ146" s="611"/>
      <c r="CA146" s="611"/>
      <c r="CB146" s="611"/>
      <c r="CC146" s="611"/>
      <c r="CD146" s="611"/>
      <c r="CE146" s="611"/>
      <c r="CF146" s="611"/>
      <c r="CG146" s="611"/>
      <c r="CH146" s="611"/>
      <c r="CI146" s="611"/>
      <c r="CJ146" s="611"/>
      <c r="CK146" s="611"/>
      <c r="CL146" s="611"/>
      <c r="CM146" s="611"/>
      <c r="CN146" s="611"/>
      <c r="CO146" s="611"/>
      <c r="CP146" s="611"/>
      <c r="CQ146" s="611"/>
      <c r="CR146" s="611"/>
      <c r="CS146" s="611"/>
      <c r="CT146" s="611"/>
      <c r="CU146" s="611"/>
      <c r="CV146" s="611"/>
      <c r="CW146" s="611"/>
      <c r="CX146" s="611"/>
      <c r="CY146" s="611"/>
      <c r="CZ146" s="611"/>
      <c r="DA146" s="611"/>
      <c r="DB146" s="611"/>
      <c r="DC146" s="611"/>
      <c r="DD146" s="611"/>
      <c r="DE146" s="611"/>
      <c r="DF146" s="611"/>
      <c r="DG146" s="611"/>
      <c r="DH146" s="611"/>
      <c r="DI146" s="611"/>
      <c r="DJ146" s="611"/>
      <c r="DK146" s="611"/>
      <c r="DL146" s="611"/>
      <c r="DM146" s="611"/>
      <c r="DN146" s="611"/>
      <c r="DO146" s="611"/>
      <c r="DP146" s="611"/>
      <c r="DQ146" s="611"/>
      <c r="DR146" s="611"/>
      <c r="DS146" s="611"/>
      <c r="DT146" s="611"/>
      <c r="DU146" s="611"/>
      <c r="DV146" s="611"/>
      <c r="DW146" s="611"/>
      <c r="DX146" s="611"/>
      <c r="DY146" s="611"/>
      <c r="DZ146" s="611"/>
      <c r="EA146" s="611"/>
      <c r="EB146" s="611"/>
      <c r="EC146" s="611"/>
      <c r="ED146" s="611"/>
      <c r="EE146" s="611"/>
      <c r="EF146" s="611"/>
      <c r="EG146" s="611"/>
      <c r="EH146" s="611"/>
      <c r="EI146" s="611"/>
      <c r="EJ146" s="611"/>
      <c r="EK146" s="611"/>
      <c r="EL146" s="611"/>
      <c r="EM146" s="611"/>
      <c r="EN146" s="611"/>
      <c r="EO146" s="611"/>
      <c r="EP146" s="611"/>
      <c r="EQ146" s="611"/>
      <c r="ER146" s="611"/>
      <c r="ES146" s="611"/>
      <c r="ET146" s="611"/>
      <c r="EU146" s="611"/>
      <c r="EV146" s="611"/>
      <c r="EW146" s="611"/>
      <c r="EX146" s="611"/>
      <c r="EY146" s="611"/>
      <c r="EZ146" s="611"/>
      <c r="FA146" s="611"/>
      <c r="FB146" s="611"/>
      <c r="FC146" s="611"/>
      <c r="FD146" s="611"/>
      <c r="FE146" s="611"/>
      <c r="FF146" s="611"/>
      <c r="FG146" s="611"/>
      <c r="FH146" s="611"/>
      <c r="FI146" s="611"/>
      <c r="FJ146" s="611"/>
      <c r="FK146" s="611"/>
      <c r="FL146" s="611"/>
      <c r="FM146" s="611"/>
      <c r="FN146" s="611"/>
      <c r="FO146" s="611"/>
      <c r="FP146" s="611"/>
      <c r="FQ146" s="611"/>
      <c r="FR146" s="611"/>
      <c r="FS146" s="611"/>
      <c r="FT146" s="611"/>
      <c r="FU146" s="611"/>
      <c r="FV146" s="611"/>
      <c r="FW146" s="611"/>
      <c r="FX146" s="611"/>
      <c r="FY146" s="611"/>
      <c r="FZ146" s="611"/>
      <c r="GA146" s="611"/>
      <c r="GB146" s="611"/>
      <c r="GC146" s="611"/>
      <c r="GD146" s="611"/>
      <c r="GE146" s="611"/>
      <c r="GF146" s="611"/>
      <c r="GG146" s="611"/>
      <c r="GH146" s="611"/>
      <c r="GI146" s="611"/>
      <c r="GJ146" s="611"/>
      <c r="GK146" s="611"/>
      <c r="GL146" s="611"/>
      <c r="GM146" s="611"/>
      <c r="GN146" s="611"/>
      <c r="GO146" s="611"/>
      <c r="GP146" s="611"/>
      <c r="GQ146" s="611"/>
      <c r="GR146" s="611"/>
      <c r="GS146" s="611"/>
      <c r="GT146" s="611"/>
      <c r="GU146" s="611"/>
      <c r="GV146" s="611"/>
      <c r="GW146" s="611"/>
      <c r="GX146" s="611"/>
      <c r="GY146" s="611"/>
      <c r="GZ146" s="611"/>
      <c r="HA146" s="611"/>
      <c r="HB146" s="611"/>
      <c r="HC146" s="611"/>
      <c r="HD146" s="611"/>
      <c r="HE146" s="611"/>
      <c r="HF146" s="611"/>
      <c r="HG146" s="611"/>
      <c r="HH146" s="611"/>
      <c r="HI146" s="611"/>
      <c r="HJ146" s="611"/>
      <c r="HK146" s="611"/>
      <c r="HL146" s="611"/>
      <c r="HM146" s="611"/>
      <c r="HN146" s="611"/>
      <c r="HO146" s="611"/>
      <c r="HP146" s="611"/>
      <c r="HQ146" s="611"/>
      <c r="HR146" s="611"/>
      <c r="HS146" s="611"/>
      <c r="HT146" s="611"/>
      <c r="HU146" s="611"/>
      <c r="HV146" s="611"/>
      <c r="HW146" s="611"/>
      <c r="HX146" s="611"/>
      <c r="HY146" s="611"/>
      <c r="HZ146" s="611"/>
      <c r="IA146" s="611"/>
      <c r="IB146" s="611"/>
      <c r="IC146" s="611"/>
      <c r="ID146" s="611"/>
      <c r="IE146" s="611"/>
      <c r="IF146" s="611"/>
      <c r="IG146" s="611"/>
      <c r="IH146" s="611"/>
      <c r="II146" s="611"/>
      <c r="IJ146" s="611"/>
      <c r="IK146" s="611"/>
      <c r="IL146" s="611"/>
      <c r="IM146" s="611"/>
      <c r="IN146" s="611"/>
      <c r="IO146" s="611"/>
      <c r="IP146" s="611"/>
      <c r="IQ146" s="611"/>
      <c r="IR146" s="611"/>
      <c r="IS146" s="611"/>
      <c r="IT146" s="611"/>
      <c r="IU146" s="611"/>
      <c r="IV146" s="611"/>
      <c r="IW146" s="611"/>
      <c r="IX146" s="611"/>
      <c r="IY146" s="611"/>
      <c r="IZ146" s="611"/>
      <c r="JA146" s="611"/>
      <c r="JB146" s="611"/>
      <c r="JC146" s="611"/>
      <c r="JD146" s="611"/>
      <c r="JE146" s="611"/>
      <c r="JF146" s="611"/>
      <c r="JG146" s="611"/>
      <c r="JH146" s="611"/>
      <c r="JI146" s="611"/>
      <c r="JJ146" s="611"/>
      <c r="JK146" s="611"/>
      <c r="JL146" s="611"/>
      <c r="JM146" s="611"/>
      <c r="JN146" s="611"/>
      <c r="JO146" s="611"/>
      <c r="JP146" s="611"/>
      <c r="JQ146" s="611"/>
      <c r="JR146" s="611"/>
      <c r="JS146" s="611"/>
      <c r="JT146" s="611"/>
      <c r="JU146" s="611"/>
      <c r="JV146" s="611"/>
      <c r="JW146" s="611"/>
      <c r="JX146" s="611"/>
      <c r="JY146" s="611"/>
      <c r="JZ146" s="611"/>
      <c r="KA146" s="611"/>
      <c r="KB146" s="611"/>
      <c r="KC146" s="611"/>
      <c r="KD146" s="611"/>
      <c r="KE146" s="611"/>
      <c r="KF146" s="611"/>
      <c r="KG146" s="611"/>
      <c r="KH146" s="611"/>
      <c r="KI146" s="611"/>
      <c r="KJ146" s="611"/>
      <c r="KK146" s="611"/>
      <c r="KL146" s="611"/>
      <c r="KM146" s="611"/>
      <c r="KN146" s="611"/>
      <c r="KO146" s="611"/>
      <c r="KP146" s="611"/>
      <c r="KQ146" s="611"/>
      <c r="KR146" s="611"/>
      <c r="KS146" s="611"/>
      <c r="KT146" s="611"/>
      <c r="KU146" s="611"/>
      <c r="KV146" s="611"/>
      <c r="KW146" s="611"/>
      <c r="KX146" s="611"/>
      <c r="KY146" s="611"/>
      <c r="KZ146" s="611"/>
      <c r="LA146" s="611"/>
      <c r="LB146" s="611"/>
      <c r="LC146" s="611"/>
      <c r="LD146" s="611"/>
      <c r="LE146" s="611"/>
      <c r="LF146" s="611"/>
      <c r="LG146" s="611"/>
      <c r="LH146" s="611"/>
      <c r="LI146" s="611"/>
      <c r="LJ146" s="611"/>
      <c r="LK146" s="611"/>
      <c r="LL146" s="611"/>
      <c r="LM146" s="611"/>
      <c r="LN146" s="611"/>
      <c r="LO146" s="611"/>
      <c r="LP146" s="611"/>
      <c r="LQ146" s="611"/>
      <c r="LR146" s="611"/>
      <c r="LS146" s="611"/>
      <c r="LT146" s="611"/>
      <c r="LU146" s="611"/>
      <c r="LV146" s="611"/>
      <c r="LW146" s="611"/>
      <c r="LX146" s="611"/>
      <c r="LY146" s="611"/>
      <c r="LZ146" s="611"/>
      <c r="MA146" s="611"/>
      <c r="MB146" s="611"/>
      <c r="MC146" s="611"/>
      <c r="MD146" s="611"/>
      <c r="ME146" s="611"/>
      <c r="MF146" s="611"/>
      <c r="MG146" s="611"/>
      <c r="MH146" s="611"/>
      <c r="MI146" s="611"/>
      <c r="MJ146" s="611"/>
      <c r="MK146" s="611"/>
      <c r="ML146" s="611"/>
      <c r="MM146" s="611"/>
      <c r="MN146" s="611"/>
      <c r="MO146" s="611"/>
      <c r="MP146" s="611"/>
      <c r="MQ146" s="611"/>
      <c r="MR146" s="611"/>
      <c r="MS146" s="611"/>
      <c r="MT146" s="611"/>
      <c r="MU146" s="611"/>
      <c r="MV146" s="611"/>
      <c r="MW146" s="611"/>
      <c r="MX146" s="611"/>
      <c r="MY146" s="611"/>
      <c r="MZ146" s="611"/>
      <c r="NA146" s="611"/>
      <c r="NB146" s="611"/>
      <c r="NC146" s="611"/>
      <c r="ND146" s="611"/>
      <c r="NE146" s="611"/>
      <c r="NF146" s="611"/>
      <c r="NG146" s="611"/>
      <c r="NH146" s="611"/>
      <c r="NI146" s="611"/>
      <c r="NJ146" s="611"/>
      <c r="NK146" s="611"/>
      <c r="NL146" s="611"/>
      <c r="NM146" s="611"/>
      <c r="NN146" s="611"/>
      <c r="NO146" s="611"/>
      <c r="NP146" s="611"/>
      <c r="NQ146" s="611"/>
      <c r="NR146" s="611"/>
      <c r="NS146" s="611"/>
      <c r="NT146" s="611"/>
      <c r="NU146" s="611"/>
      <c r="NV146" s="611"/>
      <c r="NW146" s="611"/>
      <c r="NX146" s="611"/>
      <c r="NY146" s="611"/>
      <c r="NZ146" s="611"/>
      <c r="OA146" s="611"/>
      <c r="OB146" s="611"/>
      <c r="OC146" s="611"/>
      <c r="OD146" s="611"/>
      <c r="OE146" s="611"/>
      <c r="OF146" s="611"/>
      <c r="OG146" s="611"/>
      <c r="OH146" s="611"/>
      <c r="OI146" s="611"/>
      <c r="OJ146" s="611"/>
      <c r="OK146" s="611"/>
      <c r="OL146" s="611"/>
      <c r="OM146" s="611"/>
      <c r="ON146" s="611"/>
      <c r="OO146" s="611"/>
      <c r="OP146" s="611"/>
      <c r="OQ146" s="611"/>
      <c r="OR146" s="611"/>
      <c r="OS146" s="611"/>
      <c r="OT146" s="611"/>
      <c r="OU146" s="611"/>
      <c r="OV146" s="611"/>
      <c r="OW146" s="611"/>
      <c r="OX146" s="611"/>
      <c r="OY146" s="611"/>
      <c r="OZ146" s="611"/>
      <c r="PA146" s="611"/>
      <c r="PB146" s="611"/>
      <c r="PC146" s="611"/>
      <c r="PD146" s="611"/>
      <c r="PE146" s="611"/>
      <c r="PF146" s="611"/>
      <c r="PG146" s="611"/>
      <c r="PH146" s="611"/>
      <c r="PI146" s="611"/>
      <c r="PJ146" s="611"/>
      <c r="PK146" s="611"/>
      <c r="PL146" s="611"/>
      <c r="PM146" s="611"/>
      <c r="PN146" s="611"/>
      <c r="PO146" s="611"/>
      <c r="PP146" s="611"/>
      <c r="PQ146" s="611"/>
      <c r="PR146" s="611"/>
      <c r="PS146" s="611"/>
      <c r="PT146" s="611"/>
      <c r="PU146" s="611"/>
      <c r="PV146" s="611"/>
      <c r="PW146" s="611"/>
      <c r="PX146" s="611"/>
      <c r="PY146" s="611"/>
      <c r="PZ146" s="611"/>
      <c r="QA146" s="611"/>
      <c r="QB146" s="611"/>
      <c r="QC146" s="611"/>
      <c r="QD146" s="611"/>
      <c r="QE146" s="611"/>
      <c r="QF146" s="611"/>
      <c r="QG146" s="611"/>
      <c r="QH146" s="611"/>
      <c r="QI146" s="611"/>
      <c r="QJ146" s="611"/>
      <c r="QK146" s="611"/>
      <c r="QL146" s="611"/>
      <c r="QM146" s="611"/>
      <c r="QN146" s="611"/>
      <c r="QO146" s="611"/>
      <c r="QP146" s="611"/>
      <c r="QQ146" s="611"/>
      <c r="QR146" s="611"/>
      <c r="QS146" s="611"/>
      <c r="QT146" s="611"/>
      <c r="QU146" s="611"/>
      <c r="QV146" s="611"/>
      <c r="QW146" s="611"/>
      <c r="QX146" s="611"/>
      <c r="QY146" s="611"/>
      <c r="QZ146" s="611"/>
      <c r="RA146" s="611"/>
      <c r="RB146" s="611"/>
      <c r="RC146" s="611"/>
      <c r="RD146" s="611"/>
      <c r="RE146" s="611"/>
      <c r="RF146" s="611"/>
      <c r="RG146" s="611"/>
      <c r="RH146" s="611"/>
      <c r="RI146" s="611"/>
      <c r="RJ146" s="611"/>
      <c r="RK146" s="611"/>
      <c r="RL146" s="611"/>
      <c r="RM146" s="611"/>
      <c r="RN146" s="611"/>
      <c r="RO146" s="611"/>
      <c r="RP146" s="611"/>
      <c r="RQ146" s="611"/>
      <c r="RR146" s="611"/>
      <c r="RS146" s="611"/>
      <c r="RT146" s="611"/>
      <c r="RU146" s="611"/>
      <c r="RV146" s="611"/>
      <c r="RW146" s="611"/>
      <c r="RX146" s="611"/>
      <c r="RY146" s="611"/>
      <c r="RZ146" s="611"/>
      <c r="SA146" s="611"/>
      <c r="SB146" s="611"/>
      <c r="SC146" s="611"/>
    </row>
    <row r="147" spans="1:497" ht="15.75" x14ac:dyDescent="0.25">
      <c r="A147" s="490"/>
      <c r="B147" s="490"/>
      <c r="C147" s="490"/>
      <c r="D147" s="490"/>
      <c r="E147" s="624"/>
      <c r="F147" s="642"/>
      <c r="G147" s="624"/>
      <c r="H147" s="3168" t="s">
        <v>609</v>
      </c>
      <c r="I147" s="3168"/>
      <c r="J147" s="624"/>
      <c r="K147" s="629"/>
      <c r="L147" s="629"/>
      <c r="M147" s="639"/>
      <c r="N147" s="630"/>
      <c r="O147" s="644"/>
      <c r="P147" s="639"/>
      <c r="Q147" s="635"/>
      <c r="R147" s="489"/>
      <c r="S147" s="645"/>
      <c r="T147" s="634"/>
      <c r="U147" s="635"/>
      <c r="V147" s="490"/>
      <c r="W147" s="490"/>
      <c r="X147" s="490"/>
      <c r="Y147" s="490"/>
      <c r="Z147" s="490"/>
      <c r="AA147" s="490"/>
      <c r="AB147" s="490"/>
      <c r="AC147" s="490"/>
      <c r="AD147" s="490"/>
      <c r="AE147" s="490"/>
      <c r="AF147" s="490"/>
      <c r="AG147" s="490"/>
      <c r="AH147" s="490"/>
      <c r="AI147" s="490"/>
      <c r="AJ147" s="490"/>
      <c r="AK147" s="490"/>
    </row>
    <row r="148" spans="1:497" x14ac:dyDescent="0.2">
      <c r="E148" s="624"/>
      <c r="F148" s="642"/>
      <c r="G148" s="624"/>
      <c r="H148" s="643"/>
      <c r="I148" s="643"/>
      <c r="J148" s="624"/>
      <c r="K148" s="629"/>
      <c r="L148" s="629"/>
      <c r="M148" s="639"/>
      <c r="N148" s="630"/>
      <c r="O148" s="644"/>
      <c r="P148" s="639"/>
      <c r="Q148" s="635"/>
      <c r="R148" s="489"/>
      <c r="S148" s="645"/>
      <c r="T148" s="634"/>
      <c r="U148" s="635"/>
      <c r="V148" s="490"/>
      <c r="W148" s="490"/>
      <c r="X148" s="490"/>
      <c r="Y148" s="490"/>
      <c r="Z148" s="490"/>
      <c r="AA148" s="490"/>
      <c r="AB148" s="490"/>
      <c r="AC148" s="490"/>
      <c r="AD148" s="490"/>
      <c r="AE148" s="490"/>
      <c r="AF148" s="490"/>
      <c r="AG148" s="490"/>
      <c r="AH148" s="490"/>
      <c r="AI148" s="490"/>
      <c r="AJ148" s="490"/>
      <c r="AK148" s="490"/>
    </row>
    <row r="149" spans="1:497" x14ac:dyDescent="0.2">
      <c r="A149" s="490"/>
      <c r="B149" s="490"/>
      <c r="C149" s="490"/>
      <c r="D149" s="490"/>
      <c r="E149" s="624"/>
      <c r="F149" s="642"/>
      <c r="G149" s="624"/>
      <c r="H149" s="643"/>
      <c r="I149" s="643"/>
      <c r="J149" s="624"/>
      <c r="K149" s="629"/>
      <c r="L149" s="629"/>
      <c r="M149" s="639"/>
      <c r="N149" s="630"/>
      <c r="O149" s="644"/>
      <c r="P149" s="639"/>
      <c r="Q149" s="635"/>
      <c r="R149" s="489"/>
      <c r="S149" s="645"/>
      <c r="T149" s="634"/>
      <c r="U149" s="635"/>
      <c r="V149" s="490"/>
      <c r="W149" s="490"/>
      <c r="X149" s="490"/>
      <c r="Y149" s="490"/>
      <c r="Z149" s="490"/>
      <c r="AA149" s="490"/>
      <c r="AB149" s="490"/>
      <c r="AC149" s="490"/>
      <c r="AD149" s="490"/>
      <c r="AE149" s="490"/>
      <c r="AF149" s="490"/>
      <c r="AG149" s="490"/>
      <c r="AH149" s="490"/>
      <c r="AI149" s="490"/>
      <c r="AJ149" s="490"/>
      <c r="AK149" s="490"/>
    </row>
    <row r="150" spans="1:497" x14ac:dyDescent="0.2">
      <c r="A150" s="490"/>
      <c r="B150" s="490"/>
      <c r="C150" s="490"/>
      <c r="D150" s="490"/>
      <c r="E150" s="624"/>
      <c r="F150" s="642"/>
      <c r="G150" s="624"/>
      <c r="H150" s="643"/>
      <c r="I150" s="643"/>
      <c r="J150" s="624"/>
      <c r="K150" s="629"/>
      <c r="L150" s="629"/>
      <c r="M150" s="639"/>
      <c r="N150" s="630"/>
      <c r="O150" s="644"/>
      <c r="P150" s="639"/>
      <c r="Q150" s="635"/>
      <c r="R150" s="489"/>
      <c r="S150" s="645"/>
      <c r="T150" s="634"/>
      <c r="U150" s="635"/>
      <c r="V150" s="490"/>
      <c r="W150" s="490"/>
      <c r="X150" s="490"/>
      <c r="Y150" s="490"/>
      <c r="Z150" s="490"/>
      <c r="AA150" s="490"/>
      <c r="AB150" s="490"/>
      <c r="AC150" s="490"/>
      <c r="AD150" s="490"/>
      <c r="AE150" s="490"/>
      <c r="AF150" s="490"/>
      <c r="AG150" s="490"/>
      <c r="AH150" s="490"/>
      <c r="AI150" s="490"/>
      <c r="AJ150" s="490"/>
      <c r="AK150" s="490"/>
    </row>
    <row r="151" spans="1:497" x14ac:dyDescent="0.2">
      <c r="A151" s="490"/>
      <c r="B151" s="490"/>
      <c r="C151" s="490"/>
      <c r="D151" s="490"/>
      <c r="E151" s="624"/>
      <c r="F151" s="642"/>
      <c r="G151" s="624"/>
      <c r="H151" s="643"/>
      <c r="I151" s="643"/>
      <c r="J151" s="624"/>
      <c r="K151" s="629"/>
      <c r="L151" s="629"/>
      <c r="M151" s="639"/>
      <c r="N151" s="630"/>
      <c r="O151" s="644"/>
      <c r="P151" s="639"/>
      <c r="Q151" s="635"/>
      <c r="R151" s="489"/>
      <c r="S151" s="645"/>
      <c r="T151" s="634"/>
      <c r="U151" s="635"/>
      <c r="V151" s="490"/>
      <c r="W151" s="490"/>
      <c r="X151" s="490"/>
      <c r="Y151" s="490"/>
      <c r="Z151" s="490"/>
      <c r="AA151" s="490"/>
      <c r="AB151" s="490"/>
      <c r="AC151" s="490"/>
      <c r="AD151" s="490"/>
      <c r="AE151" s="490"/>
      <c r="AF151" s="490"/>
      <c r="AG151" s="490"/>
      <c r="AH151" s="490"/>
      <c r="AI151" s="490"/>
      <c r="AJ151" s="490"/>
      <c r="AK151" s="490"/>
    </row>
    <row r="152" spans="1:497" x14ac:dyDescent="0.2">
      <c r="A152" s="490"/>
      <c r="B152" s="490"/>
      <c r="C152" s="490"/>
      <c r="D152" s="490"/>
      <c r="E152" s="624"/>
      <c r="F152" s="642"/>
      <c r="G152" s="624"/>
      <c r="H152" s="643"/>
      <c r="I152" s="643"/>
      <c r="J152" s="624"/>
      <c r="K152" s="629"/>
      <c r="L152" s="629"/>
      <c r="M152" s="639"/>
      <c r="N152" s="630"/>
      <c r="O152" s="644"/>
      <c r="P152" s="639"/>
      <c r="Q152" s="635"/>
      <c r="R152" s="489"/>
      <c r="S152" s="645"/>
      <c r="T152" s="634"/>
      <c r="U152" s="635"/>
      <c r="V152" s="490"/>
      <c r="W152" s="490"/>
      <c r="X152" s="490"/>
      <c r="Y152" s="490"/>
      <c r="Z152" s="490"/>
      <c r="AA152" s="490"/>
      <c r="AB152" s="490"/>
      <c r="AC152" s="490"/>
      <c r="AD152" s="490"/>
      <c r="AE152" s="490"/>
      <c r="AF152" s="490"/>
      <c r="AG152" s="490"/>
      <c r="AH152" s="490"/>
      <c r="AI152" s="490"/>
      <c r="AJ152" s="490"/>
      <c r="AK152" s="490"/>
    </row>
    <row r="153" spans="1:497" x14ac:dyDescent="0.2">
      <c r="A153" s="490"/>
      <c r="B153" s="490"/>
      <c r="C153" s="490"/>
      <c r="D153" s="490"/>
      <c r="E153" s="624"/>
      <c r="F153" s="642"/>
      <c r="G153" s="624"/>
      <c r="H153" s="643"/>
      <c r="I153" s="643"/>
      <c r="J153" s="624"/>
      <c r="K153" s="629"/>
      <c r="L153" s="629"/>
      <c r="M153" s="639"/>
      <c r="N153" s="630"/>
      <c r="O153" s="644"/>
      <c r="P153" s="639"/>
      <c r="Q153" s="635"/>
      <c r="R153" s="489"/>
      <c r="S153" s="645"/>
      <c r="T153" s="634"/>
      <c r="U153" s="635"/>
      <c r="V153" s="490"/>
      <c r="W153" s="490"/>
      <c r="X153" s="490"/>
      <c r="Y153" s="490"/>
      <c r="Z153" s="490"/>
      <c r="AA153" s="490"/>
      <c r="AB153" s="490"/>
      <c r="AC153" s="490"/>
      <c r="AD153" s="490"/>
      <c r="AE153" s="490"/>
      <c r="AF153" s="490"/>
      <c r="AG153" s="490"/>
      <c r="AH153" s="490"/>
      <c r="AI153" s="490"/>
      <c r="AJ153" s="490"/>
      <c r="AK153" s="490"/>
    </row>
    <row r="154" spans="1:497" x14ac:dyDescent="0.2">
      <c r="A154" s="490"/>
      <c r="B154" s="490"/>
      <c r="C154" s="490"/>
      <c r="D154" s="490"/>
      <c r="E154" s="624"/>
      <c r="F154" s="642"/>
      <c r="G154" s="624"/>
      <c r="H154" s="643"/>
      <c r="I154" s="643"/>
      <c r="J154" s="624"/>
      <c r="K154" s="629"/>
      <c r="L154" s="629"/>
      <c r="M154" s="639"/>
      <c r="N154" s="630"/>
      <c r="O154" s="644"/>
      <c r="P154" s="639"/>
      <c r="Q154" s="635"/>
      <c r="R154" s="489"/>
      <c r="S154" s="645"/>
      <c r="T154" s="634"/>
      <c r="U154" s="635"/>
      <c r="V154" s="490"/>
      <c r="W154" s="490"/>
      <c r="X154" s="490"/>
      <c r="Y154" s="490"/>
      <c r="Z154" s="490"/>
      <c r="AA154" s="490"/>
      <c r="AB154" s="490"/>
      <c r="AC154" s="490"/>
      <c r="AD154" s="490"/>
      <c r="AE154" s="490"/>
      <c r="AF154" s="490"/>
      <c r="AG154" s="490"/>
      <c r="AH154" s="490"/>
      <c r="AI154" s="490"/>
      <c r="AJ154" s="490"/>
      <c r="AK154" s="490"/>
    </row>
    <row r="155" spans="1:497" x14ac:dyDescent="0.2">
      <c r="A155" s="490"/>
      <c r="B155" s="490"/>
      <c r="C155" s="490"/>
      <c r="D155" s="490"/>
      <c r="E155" s="624"/>
      <c r="F155" s="642"/>
      <c r="G155" s="624"/>
      <c r="H155" s="643"/>
      <c r="I155" s="643"/>
      <c r="J155" s="624"/>
      <c r="K155" s="629"/>
      <c r="L155" s="629"/>
      <c r="M155" s="639"/>
      <c r="N155" s="630"/>
      <c r="O155" s="644"/>
      <c r="P155" s="639"/>
      <c r="Q155" s="635"/>
      <c r="R155" s="489"/>
      <c r="S155" s="645"/>
      <c r="T155" s="634"/>
      <c r="U155" s="635"/>
      <c r="V155" s="490"/>
      <c r="W155" s="490"/>
      <c r="X155" s="490"/>
      <c r="Y155" s="490"/>
      <c r="Z155" s="490"/>
      <c r="AA155" s="490"/>
      <c r="AB155" s="490"/>
      <c r="AC155" s="490"/>
      <c r="AD155" s="490"/>
      <c r="AE155" s="490"/>
      <c r="AF155" s="490"/>
      <c r="AG155" s="490"/>
      <c r="AH155" s="490"/>
      <c r="AI155" s="490"/>
      <c r="AJ155" s="490"/>
      <c r="AK155" s="490"/>
    </row>
    <row r="156" spans="1:497" x14ac:dyDescent="0.2">
      <c r="A156" s="490"/>
      <c r="B156" s="490"/>
      <c r="C156" s="490"/>
      <c r="D156" s="490"/>
      <c r="E156" s="624"/>
      <c r="F156" s="642"/>
      <c r="G156" s="624"/>
      <c r="H156" s="643"/>
      <c r="I156" s="643"/>
      <c r="J156" s="624"/>
      <c r="K156" s="629"/>
      <c r="L156" s="629"/>
      <c r="M156" s="639"/>
      <c r="N156" s="630"/>
      <c r="O156" s="644"/>
      <c r="P156" s="639"/>
      <c r="Q156" s="635"/>
      <c r="R156" s="489"/>
      <c r="S156" s="645"/>
      <c r="T156" s="634"/>
      <c r="U156" s="635"/>
      <c r="V156" s="490"/>
      <c r="W156" s="490"/>
      <c r="X156" s="490"/>
      <c r="Y156" s="490"/>
      <c r="Z156" s="490"/>
      <c r="AA156" s="490"/>
      <c r="AB156" s="490"/>
      <c r="AC156" s="490"/>
      <c r="AD156" s="490"/>
      <c r="AE156" s="490"/>
      <c r="AF156" s="490"/>
      <c r="AG156" s="490"/>
      <c r="AH156" s="490"/>
      <c r="AI156" s="490"/>
      <c r="AJ156" s="490"/>
      <c r="AK156" s="490"/>
    </row>
    <row r="157" spans="1:497" x14ac:dyDescent="0.2">
      <c r="A157" s="490"/>
      <c r="B157" s="490"/>
      <c r="C157" s="490"/>
      <c r="D157" s="490"/>
      <c r="E157" s="624"/>
      <c r="F157" s="642"/>
      <c r="G157" s="624"/>
      <c r="H157" s="643"/>
      <c r="I157" s="643"/>
      <c r="J157" s="624"/>
      <c r="K157" s="629"/>
      <c r="L157" s="629"/>
      <c r="M157" s="639"/>
      <c r="N157" s="630"/>
      <c r="O157" s="644"/>
      <c r="P157" s="639"/>
      <c r="Q157" s="635"/>
      <c r="R157" s="489"/>
      <c r="S157" s="645"/>
      <c r="T157" s="634"/>
      <c r="U157" s="635"/>
      <c r="V157" s="490"/>
      <c r="W157" s="490"/>
      <c r="X157" s="490"/>
      <c r="Y157" s="490"/>
      <c r="Z157" s="490"/>
      <c r="AA157" s="490"/>
      <c r="AB157" s="490"/>
      <c r="AC157" s="490"/>
      <c r="AD157" s="490"/>
      <c r="AE157" s="490"/>
      <c r="AF157" s="490"/>
      <c r="AG157" s="490"/>
      <c r="AH157" s="490"/>
      <c r="AI157" s="490"/>
      <c r="AJ157" s="490"/>
      <c r="AK157" s="490"/>
    </row>
    <row r="158" spans="1:497" x14ac:dyDescent="0.2">
      <c r="A158" s="490"/>
      <c r="B158" s="490"/>
      <c r="C158" s="490"/>
      <c r="D158" s="490"/>
      <c r="E158" s="624"/>
      <c r="F158" s="642"/>
      <c r="G158" s="624"/>
      <c r="H158" s="643"/>
      <c r="I158" s="643"/>
      <c r="J158" s="624"/>
      <c r="K158" s="629"/>
      <c r="L158" s="629"/>
      <c r="M158" s="639"/>
      <c r="N158" s="630"/>
      <c r="O158" s="644"/>
      <c r="P158" s="639"/>
      <c r="Q158" s="635"/>
      <c r="R158" s="489"/>
      <c r="S158" s="645"/>
      <c r="T158" s="634"/>
      <c r="U158" s="635"/>
      <c r="V158" s="490"/>
      <c r="W158" s="490"/>
      <c r="X158" s="490"/>
      <c r="Y158" s="490"/>
      <c r="Z158" s="490"/>
      <c r="AA158" s="490"/>
      <c r="AB158" s="490"/>
      <c r="AC158" s="490"/>
      <c r="AD158" s="490"/>
      <c r="AE158" s="490"/>
      <c r="AF158" s="490"/>
      <c r="AG158" s="490"/>
      <c r="AH158" s="490"/>
      <c r="AI158" s="490"/>
      <c r="AJ158" s="490"/>
      <c r="AK158" s="490"/>
    </row>
    <row r="159" spans="1:497" x14ac:dyDescent="0.2">
      <c r="A159" s="490"/>
      <c r="B159" s="490"/>
      <c r="C159" s="490"/>
      <c r="D159" s="490"/>
      <c r="E159" s="624"/>
      <c r="F159" s="642"/>
      <c r="G159" s="624"/>
      <c r="H159" s="643"/>
      <c r="I159" s="643"/>
      <c r="J159" s="624"/>
      <c r="K159" s="624"/>
      <c r="L159" s="624"/>
      <c r="M159" s="635"/>
      <c r="N159" s="490"/>
      <c r="O159" s="645"/>
      <c r="P159" s="635"/>
      <c r="Q159" s="635"/>
      <c r="R159" s="489"/>
      <c r="S159" s="645"/>
      <c r="T159" s="634"/>
      <c r="U159" s="635"/>
      <c r="V159" s="490"/>
      <c r="W159" s="490"/>
      <c r="X159" s="490"/>
      <c r="Y159" s="490"/>
      <c r="Z159" s="490"/>
      <c r="AA159" s="490"/>
      <c r="AB159" s="490"/>
      <c r="AC159" s="490"/>
      <c r="AD159" s="490"/>
      <c r="AE159" s="490"/>
      <c r="AF159" s="490"/>
      <c r="AG159" s="490"/>
      <c r="AH159" s="490"/>
      <c r="AI159" s="490"/>
      <c r="AJ159" s="490"/>
      <c r="AK159" s="490"/>
    </row>
    <row r="160" spans="1:497" x14ac:dyDescent="0.2">
      <c r="A160" s="490"/>
      <c r="B160" s="490"/>
      <c r="C160" s="490"/>
      <c r="D160" s="490"/>
      <c r="E160" s="490"/>
      <c r="F160" s="634"/>
      <c r="G160" s="490"/>
      <c r="H160" s="635"/>
      <c r="I160" s="635"/>
      <c r="J160" s="490"/>
      <c r="K160" s="490"/>
      <c r="L160" s="490"/>
      <c r="M160" s="635"/>
      <c r="N160" s="490"/>
      <c r="O160" s="645"/>
      <c r="P160" s="635"/>
      <c r="Q160" s="635"/>
      <c r="R160" s="489"/>
      <c r="S160" s="645"/>
      <c r="T160" s="634"/>
      <c r="U160" s="635"/>
      <c r="V160" s="490"/>
      <c r="W160" s="490"/>
      <c r="X160" s="490"/>
      <c r="Y160" s="490"/>
      <c r="Z160" s="490"/>
      <c r="AA160" s="490"/>
      <c r="AB160" s="490"/>
      <c r="AC160" s="490"/>
      <c r="AD160" s="490"/>
      <c r="AE160" s="490"/>
      <c r="AF160" s="490"/>
      <c r="AG160" s="490"/>
      <c r="AH160" s="490"/>
      <c r="AI160" s="490"/>
      <c r="AJ160" s="490"/>
      <c r="AK160" s="490"/>
    </row>
    <row r="161" spans="1:37" x14ac:dyDescent="0.2">
      <c r="A161" s="490"/>
      <c r="B161" s="490"/>
      <c r="C161" s="490"/>
      <c r="D161" s="490"/>
      <c r="E161" s="490"/>
      <c r="F161" s="634"/>
      <c r="G161" s="490"/>
      <c r="H161" s="635"/>
      <c r="I161" s="635"/>
      <c r="J161" s="490"/>
      <c r="K161" s="490"/>
      <c r="L161" s="490"/>
      <c r="M161" s="635"/>
      <c r="N161" s="490"/>
      <c r="O161" s="645"/>
      <c r="P161" s="635"/>
      <c r="Q161" s="635"/>
      <c r="R161" s="489"/>
      <c r="S161" s="645"/>
      <c r="T161" s="634"/>
      <c r="U161" s="635"/>
      <c r="V161" s="490"/>
      <c r="W161" s="490"/>
      <c r="X161" s="490"/>
      <c r="Y161" s="490"/>
      <c r="Z161" s="490"/>
      <c r="AA161" s="490"/>
      <c r="AB161" s="490"/>
      <c r="AC161" s="490"/>
      <c r="AD161" s="490"/>
      <c r="AE161" s="490"/>
      <c r="AF161" s="490"/>
      <c r="AG161" s="490"/>
      <c r="AH161" s="490"/>
      <c r="AI161" s="490"/>
      <c r="AJ161" s="490"/>
      <c r="AK161" s="490"/>
    </row>
    <row r="162" spans="1:37" x14ac:dyDescent="0.2">
      <c r="A162" s="490"/>
      <c r="B162" s="490"/>
      <c r="C162" s="490"/>
      <c r="D162" s="490"/>
      <c r="E162" s="490"/>
      <c r="F162" s="634"/>
      <c r="G162" s="490"/>
      <c r="H162" s="635"/>
      <c r="I162" s="635"/>
      <c r="J162" s="490"/>
      <c r="K162" s="490"/>
      <c r="L162" s="490"/>
      <c r="M162" s="635"/>
      <c r="N162" s="490"/>
      <c r="O162" s="645"/>
      <c r="P162" s="635"/>
      <c r="Q162" s="635"/>
      <c r="R162" s="489"/>
      <c r="S162" s="645"/>
      <c r="T162" s="634"/>
      <c r="U162" s="635"/>
      <c r="V162" s="490"/>
      <c r="W162" s="490"/>
      <c r="X162" s="490"/>
      <c r="Y162" s="490"/>
      <c r="Z162" s="490"/>
      <c r="AA162" s="490"/>
      <c r="AB162" s="490"/>
      <c r="AC162" s="490"/>
      <c r="AD162" s="490"/>
      <c r="AE162" s="490"/>
      <c r="AF162" s="490"/>
      <c r="AG162" s="490"/>
      <c r="AH162" s="490"/>
      <c r="AI162" s="490"/>
      <c r="AJ162" s="490"/>
      <c r="AK162" s="490"/>
    </row>
    <row r="163" spans="1:37" x14ac:dyDescent="0.2">
      <c r="A163" s="490"/>
      <c r="B163" s="490"/>
      <c r="C163" s="490"/>
      <c r="D163" s="490"/>
      <c r="E163" s="490"/>
      <c r="F163" s="634"/>
      <c r="G163" s="490"/>
      <c r="H163" s="635"/>
      <c r="I163" s="635"/>
      <c r="J163" s="490"/>
      <c r="K163" s="490"/>
      <c r="L163" s="490"/>
      <c r="M163" s="635"/>
      <c r="N163" s="490"/>
      <c r="O163" s="645"/>
      <c r="P163" s="635"/>
      <c r="Q163" s="635"/>
      <c r="R163" s="489"/>
      <c r="S163" s="645"/>
      <c r="T163" s="634"/>
      <c r="U163" s="635"/>
      <c r="V163" s="490"/>
      <c r="W163" s="490"/>
      <c r="X163" s="490"/>
      <c r="Y163" s="490"/>
      <c r="Z163" s="490"/>
      <c r="AA163" s="490"/>
      <c r="AB163" s="490"/>
      <c r="AC163" s="490"/>
      <c r="AD163" s="490"/>
      <c r="AE163" s="490"/>
      <c r="AF163" s="490"/>
      <c r="AG163" s="490"/>
      <c r="AH163" s="490"/>
      <c r="AI163" s="490"/>
      <c r="AJ163" s="490"/>
      <c r="AK163" s="490"/>
    </row>
    <row r="164" spans="1:37" x14ac:dyDescent="0.2">
      <c r="A164" s="490"/>
      <c r="B164" s="490"/>
      <c r="C164" s="490"/>
      <c r="D164" s="490"/>
      <c r="E164" s="490"/>
      <c r="F164" s="634"/>
      <c r="G164" s="490"/>
      <c r="H164" s="635"/>
      <c r="I164" s="635"/>
      <c r="J164" s="490"/>
      <c r="K164" s="490"/>
      <c r="L164" s="490"/>
      <c r="M164" s="635"/>
      <c r="N164" s="490"/>
      <c r="O164" s="645"/>
      <c r="P164" s="635"/>
      <c r="Q164" s="635"/>
    </row>
    <row r="165" spans="1:37" x14ac:dyDescent="0.2">
      <c r="A165" s="490"/>
      <c r="B165" s="490"/>
      <c r="C165" s="490"/>
      <c r="D165" s="490"/>
      <c r="E165" s="490"/>
      <c r="F165" s="634"/>
      <c r="G165" s="490"/>
      <c r="H165" s="635"/>
      <c r="I165" s="635"/>
      <c r="J165" s="490"/>
      <c r="K165" s="490"/>
      <c r="L165" s="490"/>
      <c r="M165" s="635"/>
      <c r="N165" s="490"/>
      <c r="O165" s="645"/>
      <c r="P165" s="635"/>
      <c r="Q165" s="635"/>
    </row>
  </sheetData>
  <sheetProtection password="CBEB" sheet="1" objects="1" scenarios="1"/>
  <mergeCells count="485">
    <mergeCell ref="A139:N139"/>
    <mergeCell ref="B142:I142"/>
    <mergeCell ref="H146:I146"/>
    <mergeCell ref="H147:I147"/>
    <mergeCell ref="AI128:AI138"/>
    <mergeCell ref="AJ128:AJ138"/>
    <mergeCell ref="AK128:AK138"/>
    <mergeCell ref="AL128:AL138"/>
    <mergeCell ref="AM128:AM138"/>
    <mergeCell ref="M128:M138"/>
    <mergeCell ref="N128:N135"/>
    <mergeCell ref="O128:O138"/>
    <mergeCell ref="P128:P138"/>
    <mergeCell ref="Q128:Q138"/>
    <mergeCell ref="V128:V138"/>
    <mergeCell ref="C127:D138"/>
    <mergeCell ref="G128:G135"/>
    <mergeCell ref="H128:H135"/>
    <mergeCell ref="I128:I135"/>
    <mergeCell ref="J128:J135"/>
    <mergeCell ref="L128:L138"/>
    <mergeCell ref="K137:K138"/>
    <mergeCell ref="AN128:AN138"/>
    <mergeCell ref="AC128:AC138"/>
    <mergeCell ref="AD128:AD138"/>
    <mergeCell ref="AE128:AE138"/>
    <mergeCell ref="AF128:AF138"/>
    <mergeCell ref="AG128:AG138"/>
    <mergeCell ref="AH128:AH138"/>
    <mergeCell ref="W128:W138"/>
    <mergeCell ref="X128:X138"/>
    <mergeCell ref="Y128:Y138"/>
    <mergeCell ref="Z128:Z138"/>
    <mergeCell ref="AA128:AA138"/>
    <mergeCell ref="AB128:AB138"/>
    <mergeCell ref="AF120:AF125"/>
    <mergeCell ref="AG120:AG125"/>
    <mergeCell ref="AH120:AH125"/>
    <mergeCell ref="AI120:AI125"/>
    <mergeCell ref="X120:X125"/>
    <mergeCell ref="Y120:Y125"/>
    <mergeCell ref="Z120:Z125"/>
    <mergeCell ref="AA120:AA125"/>
    <mergeCell ref="AB120:AB125"/>
    <mergeCell ref="AC120:AC125"/>
    <mergeCell ref="O120:O125"/>
    <mergeCell ref="P120:P125"/>
    <mergeCell ref="Q120:Q121"/>
    <mergeCell ref="U120:U125"/>
    <mergeCell ref="V120:V125"/>
    <mergeCell ref="W120:W125"/>
    <mergeCell ref="AL116:AL118"/>
    <mergeCell ref="AM116:AM118"/>
    <mergeCell ref="AN116:AN118"/>
    <mergeCell ref="AH116:AH118"/>
    <mergeCell ref="AI116:AI118"/>
    <mergeCell ref="AJ116:AJ118"/>
    <mergeCell ref="AK116:AK118"/>
    <mergeCell ref="O116:O118"/>
    <mergeCell ref="P116:P118"/>
    <mergeCell ref="Q116:Q118"/>
    <mergeCell ref="AJ120:AJ125"/>
    <mergeCell ref="AK120:AK125"/>
    <mergeCell ref="AL120:AL125"/>
    <mergeCell ref="AM120:AM125"/>
    <mergeCell ref="AN120:AN125"/>
    <mergeCell ref="Q122:Q125"/>
    <mergeCell ref="AD120:AD125"/>
    <mergeCell ref="AE120:AE125"/>
    <mergeCell ref="G120:G125"/>
    <mergeCell ref="H120:H125"/>
    <mergeCell ref="I120:I125"/>
    <mergeCell ref="J120:J125"/>
    <mergeCell ref="L120:L125"/>
    <mergeCell ref="M120:M125"/>
    <mergeCell ref="N120:N125"/>
    <mergeCell ref="AF116:AF118"/>
    <mergeCell ref="AG116:AG118"/>
    <mergeCell ref="Z116:Z118"/>
    <mergeCell ref="AA116:AA118"/>
    <mergeCell ref="AB116:AB118"/>
    <mergeCell ref="AC116:AC118"/>
    <mergeCell ref="AD116:AD118"/>
    <mergeCell ref="AE116:AE118"/>
    <mergeCell ref="T116:T118"/>
    <mergeCell ref="U116:U118"/>
    <mergeCell ref="V116:V118"/>
    <mergeCell ref="W116:W118"/>
    <mergeCell ref="X116:X118"/>
    <mergeCell ref="Y116:Y118"/>
    <mergeCell ref="L116:L118"/>
    <mergeCell ref="M116:M118"/>
    <mergeCell ref="N116:N118"/>
    <mergeCell ref="M109:M110"/>
    <mergeCell ref="AM112:AM114"/>
    <mergeCell ref="AN112:AN114"/>
    <mergeCell ref="G116:G118"/>
    <mergeCell ref="H116:H118"/>
    <mergeCell ref="I116:I118"/>
    <mergeCell ref="J116:J118"/>
    <mergeCell ref="K116:K118"/>
    <mergeCell ref="AD112:AD114"/>
    <mergeCell ref="AE112:AE114"/>
    <mergeCell ref="AF112:AF114"/>
    <mergeCell ref="AG112:AG114"/>
    <mergeCell ref="AH112:AH114"/>
    <mergeCell ref="AI112:AI114"/>
    <mergeCell ref="X112:X114"/>
    <mergeCell ref="Y112:Y114"/>
    <mergeCell ref="Z112:Z114"/>
    <mergeCell ref="AA112:AA114"/>
    <mergeCell ref="AB112:AB114"/>
    <mergeCell ref="AC112:AC114"/>
    <mergeCell ref="P112:P114"/>
    <mergeCell ref="Q112:Q114"/>
    <mergeCell ref="W112:W114"/>
    <mergeCell ref="G112:G114"/>
    <mergeCell ref="H112:H114"/>
    <mergeCell ref="I112:I114"/>
    <mergeCell ref="J112:J114"/>
    <mergeCell ref="K112:K114"/>
    <mergeCell ref="L112:L114"/>
    <mergeCell ref="M112:M114"/>
    <mergeCell ref="N112:N114"/>
    <mergeCell ref="O112:O114"/>
    <mergeCell ref="T112:T114"/>
    <mergeCell ref="U112:U114"/>
    <mergeCell ref="V112:V114"/>
    <mergeCell ref="P107:P108"/>
    <mergeCell ref="Q107:Q108"/>
    <mergeCell ref="T107:T108"/>
    <mergeCell ref="U107:U108"/>
    <mergeCell ref="V107:V108"/>
    <mergeCell ref="AN109:AN110"/>
    <mergeCell ref="AH109:AH110"/>
    <mergeCell ref="AI109:AI110"/>
    <mergeCell ref="AJ109:AJ110"/>
    <mergeCell ref="AK109:AK110"/>
    <mergeCell ref="AL109:AL110"/>
    <mergeCell ref="AM109:AM110"/>
    <mergeCell ref="AB109:AB110"/>
    <mergeCell ref="AC109:AC110"/>
    <mergeCell ref="AD109:AD110"/>
    <mergeCell ref="AE109:AE110"/>
    <mergeCell ref="AJ112:AJ114"/>
    <mergeCell ref="AK112:AK114"/>
    <mergeCell ref="AL112:AL114"/>
    <mergeCell ref="AG109:AG110"/>
    <mergeCell ref="V109:V110"/>
    <mergeCell ref="W109:W110"/>
    <mergeCell ref="X109:X110"/>
    <mergeCell ref="Y109:Y110"/>
    <mergeCell ref="Z109:Z110"/>
    <mergeCell ref="AA109:AA110"/>
    <mergeCell ref="AM107:AM108"/>
    <mergeCell ref="N109:N110"/>
    <mergeCell ref="O109:O110"/>
    <mergeCell ref="P109:P110"/>
    <mergeCell ref="T109:T110"/>
    <mergeCell ref="U109:U110"/>
    <mergeCell ref="AN107:AN108"/>
    <mergeCell ref="AC107:AC108"/>
    <mergeCell ref="AD107:AD108"/>
    <mergeCell ref="AE107:AE108"/>
    <mergeCell ref="AF107:AF108"/>
    <mergeCell ref="AG107:AG108"/>
    <mergeCell ref="AH107:AH108"/>
    <mergeCell ref="G109:G110"/>
    <mergeCell ref="H109:H110"/>
    <mergeCell ref="I109:I110"/>
    <mergeCell ref="J109:J110"/>
    <mergeCell ref="K109:K110"/>
    <mergeCell ref="L109:L110"/>
    <mergeCell ref="AI107:AI108"/>
    <mergeCell ref="AJ107:AJ108"/>
    <mergeCell ref="AK107:AK108"/>
    <mergeCell ref="W107:W108"/>
    <mergeCell ref="X107:X108"/>
    <mergeCell ref="Y107:Y108"/>
    <mergeCell ref="Z107:Z108"/>
    <mergeCell ref="AA107:AA108"/>
    <mergeCell ref="AB107:AB108"/>
    <mergeCell ref="O107:O108"/>
    <mergeCell ref="AF109:AF110"/>
    <mergeCell ref="AN102:AN105"/>
    <mergeCell ref="G107:G108"/>
    <mergeCell ref="H107:H108"/>
    <mergeCell ref="I107:I108"/>
    <mergeCell ref="J107:J108"/>
    <mergeCell ref="K107:K108"/>
    <mergeCell ref="L107:L108"/>
    <mergeCell ref="M107:M108"/>
    <mergeCell ref="N107:N108"/>
    <mergeCell ref="AG102:AG105"/>
    <mergeCell ref="AH102:AH105"/>
    <mergeCell ref="AI102:AI105"/>
    <mergeCell ref="AJ102:AJ105"/>
    <mergeCell ref="AK102:AK105"/>
    <mergeCell ref="AL102:AL105"/>
    <mergeCell ref="AA102:AA105"/>
    <mergeCell ref="AB102:AB105"/>
    <mergeCell ref="AC102:AC105"/>
    <mergeCell ref="AD102:AD105"/>
    <mergeCell ref="AE102:AE105"/>
    <mergeCell ref="AF102:AF105"/>
    <mergeCell ref="U102:U105"/>
    <mergeCell ref="V102:V105"/>
    <mergeCell ref="AL107:AL108"/>
    <mergeCell ref="Y102:Y105"/>
    <mergeCell ref="Z102:Z105"/>
    <mergeCell ref="M102:M105"/>
    <mergeCell ref="N102:N105"/>
    <mergeCell ref="O102:O105"/>
    <mergeCell ref="P102:P105"/>
    <mergeCell ref="Q102:Q105"/>
    <mergeCell ref="T102:T105"/>
    <mergeCell ref="AM102:AM105"/>
    <mergeCell ref="G102:G105"/>
    <mergeCell ref="H102:H105"/>
    <mergeCell ref="I102:I105"/>
    <mergeCell ref="J102:J105"/>
    <mergeCell ref="K102:K105"/>
    <mergeCell ref="L102:L105"/>
    <mergeCell ref="AI80:AI101"/>
    <mergeCell ref="AJ80:AJ101"/>
    <mergeCell ref="AK80:AK101"/>
    <mergeCell ref="W80:W101"/>
    <mergeCell ref="X80:X101"/>
    <mergeCell ref="Y80:Y101"/>
    <mergeCell ref="Z80:Z101"/>
    <mergeCell ref="AA80:AA101"/>
    <mergeCell ref="AB80:AB101"/>
    <mergeCell ref="O80:O101"/>
    <mergeCell ref="P80:P101"/>
    <mergeCell ref="Q80:Q97"/>
    <mergeCell ref="T80:T101"/>
    <mergeCell ref="U80:U101"/>
    <mergeCell ref="V80:V101"/>
    <mergeCell ref="Q98:Q101"/>
    <mergeCell ref="W102:W105"/>
    <mergeCell ref="X102:X105"/>
    <mergeCell ref="AL80:AL101"/>
    <mergeCell ref="AM80:AM101"/>
    <mergeCell ref="AN80:AN101"/>
    <mergeCell ref="AC80:AC101"/>
    <mergeCell ref="AD80:AD101"/>
    <mergeCell ref="AE80:AE101"/>
    <mergeCell ref="AF80:AF101"/>
    <mergeCell ref="AG80:AG101"/>
    <mergeCell ref="AH80:AH101"/>
    <mergeCell ref="AM61:AM77"/>
    <mergeCell ref="AN61:AN77"/>
    <mergeCell ref="Q65:Q77"/>
    <mergeCell ref="G80:G101"/>
    <mergeCell ref="H80:H101"/>
    <mergeCell ref="I80:I101"/>
    <mergeCell ref="J80:J101"/>
    <mergeCell ref="L80:L101"/>
    <mergeCell ref="M80:M101"/>
    <mergeCell ref="N80:N101"/>
    <mergeCell ref="AG61:AG77"/>
    <mergeCell ref="AH61:AH77"/>
    <mergeCell ref="AI61:AI77"/>
    <mergeCell ref="AJ61:AJ77"/>
    <mergeCell ref="AK61:AK77"/>
    <mergeCell ref="AL61:AL77"/>
    <mergeCell ref="AA61:AA77"/>
    <mergeCell ref="AB61:AB77"/>
    <mergeCell ref="AC61:AC77"/>
    <mergeCell ref="AD61:AD77"/>
    <mergeCell ref="AE61:AE77"/>
    <mergeCell ref="AF61:AF77"/>
    <mergeCell ref="U61:U77"/>
    <mergeCell ref="V61:V77"/>
    <mergeCell ref="W61:W77"/>
    <mergeCell ref="X61:X77"/>
    <mergeCell ref="Y61:Y77"/>
    <mergeCell ref="Z61:Z77"/>
    <mergeCell ref="M61:M77"/>
    <mergeCell ref="N61:N77"/>
    <mergeCell ref="O61:O77"/>
    <mergeCell ref="P61:P77"/>
    <mergeCell ref="Q61:Q64"/>
    <mergeCell ref="T61:T77"/>
    <mergeCell ref="G61:G77"/>
    <mergeCell ref="H61:H77"/>
    <mergeCell ref="I61:I77"/>
    <mergeCell ref="J61:J77"/>
    <mergeCell ref="K61:K77"/>
    <mergeCell ref="L61:L77"/>
    <mergeCell ref="AM48:AM59"/>
    <mergeCell ref="AN48:AN59"/>
    <mergeCell ref="G52:G54"/>
    <mergeCell ref="H52:H54"/>
    <mergeCell ref="I52:I54"/>
    <mergeCell ref="J52:J54"/>
    <mergeCell ref="N52:N54"/>
    <mergeCell ref="Q52:Q54"/>
    <mergeCell ref="G55:G59"/>
    <mergeCell ref="H55:H59"/>
    <mergeCell ref="AG48:AG59"/>
    <mergeCell ref="AH48:AH59"/>
    <mergeCell ref="AI48:AI59"/>
    <mergeCell ref="AJ48:AJ59"/>
    <mergeCell ref="AK48:AK59"/>
    <mergeCell ref="AL48:AL59"/>
    <mergeCell ref="AA48:AA59"/>
    <mergeCell ref="AB48:AB59"/>
    <mergeCell ref="AC48:AC59"/>
    <mergeCell ref="AD48:AD59"/>
    <mergeCell ref="AE48:AE59"/>
    <mergeCell ref="AF48:AF59"/>
    <mergeCell ref="U48:U59"/>
    <mergeCell ref="V48:V59"/>
    <mergeCell ref="W48:W59"/>
    <mergeCell ref="X48:X59"/>
    <mergeCell ref="Y48:Y59"/>
    <mergeCell ref="Z48:Z59"/>
    <mergeCell ref="M48:M59"/>
    <mergeCell ref="N48:N51"/>
    <mergeCell ref="O48:O59"/>
    <mergeCell ref="P48:P59"/>
    <mergeCell ref="Q48:Q51"/>
    <mergeCell ref="T48:T59"/>
    <mergeCell ref="N55:N59"/>
    <mergeCell ref="Q55:Q59"/>
    <mergeCell ref="G48:G51"/>
    <mergeCell ref="H48:H51"/>
    <mergeCell ref="I48:I51"/>
    <mergeCell ref="J48:J51"/>
    <mergeCell ref="K48:K59"/>
    <mergeCell ref="L48:L59"/>
    <mergeCell ref="I55:I59"/>
    <mergeCell ref="J55:J59"/>
    <mergeCell ref="G44:G46"/>
    <mergeCell ref="H44:H46"/>
    <mergeCell ref="I44:I46"/>
    <mergeCell ref="J44:J46"/>
    <mergeCell ref="N44:N46"/>
    <mergeCell ref="Q44:Q46"/>
    <mergeCell ref="G41:G43"/>
    <mergeCell ref="H41:H43"/>
    <mergeCell ref="I41:I43"/>
    <mergeCell ref="J41:J43"/>
    <mergeCell ref="N41:N43"/>
    <mergeCell ref="Q41:Q43"/>
    <mergeCell ref="AI33:AI46"/>
    <mergeCell ref="AJ33:AJ46"/>
    <mergeCell ref="AK33:AK46"/>
    <mergeCell ref="AL33:AL46"/>
    <mergeCell ref="AM33:AM46"/>
    <mergeCell ref="AN33:AN46"/>
    <mergeCell ref="AC33:AC46"/>
    <mergeCell ref="AD33:AD46"/>
    <mergeCell ref="AE33:AE46"/>
    <mergeCell ref="AF33:AF46"/>
    <mergeCell ref="AG33:AG46"/>
    <mergeCell ref="AH33:AH46"/>
    <mergeCell ref="W33:W46"/>
    <mergeCell ref="X33:X46"/>
    <mergeCell ref="Y33:Y46"/>
    <mergeCell ref="Z33:Z46"/>
    <mergeCell ref="AA33:AA46"/>
    <mergeCell ref="AB33:AB46"/>
    <mergeCell ref="O33:O46"/>
    <mergeCell ref="P33:P46"/>
    <mergeCell ref="Q33:Q40"/>
    <mergeCell ref="T33:T38"/>
    <mergeCell ref="U33:U38"/>
    <mergeCell ref="V33:V46"/>
    <mergeCell ref="T40:T46"/>
    <mergeCell ref="U40:U46"/>
    <mergeCell ref="AM23:AM31"/>
    <mergeCell ref="AN23:AN31"/>
    <mergeCell ref="Q30:Q31"/>
    <mergeCell ref="G33:G40"/>
    <mergeCell ref="H33:H40"/>
    <mergeCell ref="I33:I40"/>
    <mergeCell ref="J33:J40"/>
    <mergeCell ref="L33:L46"/>
    <mergeCell ref="M33:M46"/>
    <mergeCell ref="N33:N40"/>
    <mergeCell ref="AG23:AG31"/>
    <mergeCell ref="AH23:AH31"/>
    <mergeCell ref="AI23:AI31"/>
    <mergeCell ref="AJ23:AJ31"/>
    <mergeCell ref="AK23:AK31"/>
    <mergeCell ref="AL23:AL31"/>
    <mergeCell ref="AA23:AA31"/>
    <mergeCell ref="AB23:AB31"/>
    <mergeCell ref="AC23:AC31"/>
    <mergeCell ref="AD23:AD31"/>
    <mergeCell ref="AE23:AE31"/>
    <mergeCell ref="AF23:AF31"/>
    <mergeCell ref="U23:U31"/>
    <mergeCell ref="V23:V31"/>
    <mergeCell ref="W23:W31"/>
    <mergeCell ref="X23:X31"/>
    <mergeCell ref="Y23:Y31"/>
    <mergeCell ref="Z23:Z31"/>
    <mergeCell ref="M23:M31"/>
    <mergeCell ref="N23:N31"/>
    <mergeCell ref="O23:O31"/>
    <mergeCell ref="P23:P31"/>
    <mergeCell ref="Q23:Q29"/>
    <mergeCell ref="T23:T31"/>
    <mergeCell ref="G23:G31"/>
    <mergeCell ref="H23:H31"/>
    <mergeCell ref="I23:I31"/>
    <mergeCell ref="J23:J31"/>
    <mergeCell ref="K23:K31"/>
    <mergeCell ref="L23:L31"/>
    <mergeCell ref="AL13:AL20"/>
    <mergeCell ref="AM13:AM20"/>
    <mergeCell ref="AN13:AN20"/>
    <mergeCell ref="G17:G20"/>
    <mergeCell ref="H17:H20"/>
    <mergeCell ref="I17:I20"/>
    <mergeCell ref="J17:J20"/>
    <mergeCell ref="N17:N20"/>
    <mergeCell ref="Q17:Q20"/>
    <mergeCell ref="AF13:AF20"/>
    <mergeCell ref="AG13:AG20"/>
    <mergeCell ref="AH13:AH20"/>
    <mergeCell ref="AI13:AI20"/>
    <mergeCell ref="AJ13:AJ20"/>
    <mergeCell ref="AK13:AK20"/>
    <mergeCell ref="Z13:Z20"/>
    <mergeCell ref="AA13:AA20"/>
    <mergeCell ref="AB13:AB20"/>
    <mergeCell ref="AC13:AC20"/>
    <mergeCell ref="AD13:AD20"/>
    <mergeCell ref="AE13:AE20"/>
    <mergeCell ref="T13:T20"/>
    <mergeCell ref="U13:U20"/>
    <mergeCell ref="V13:V20"/>
    <mergeCell ref="W13:W20"/>
    <mergeCell ref="X13:X20"/>
    <mergeCell ref="Y13:Y20"/>
    <mergeCell ref="L13:L20"/>
    <mergeCell ref="M13:M20"/>
    <mergeCell ref="N13:N16"/>
    <mergeCell ref="O13:O20"/>
    <mergeCell ref="P13:P20"/>
    <mergeCell ref="Q13:Q16"/>
    <mergeCell ref="E13:F20"/>
    <mergeCell ref="G13:G16"/>
    <mergeCell ref="H13:H16"/>
    <mergeCell ref="I13:I16"/>
    <mergeCell ref="J13:J16"/>
    <mergeCell ref="K13:K20"/>
    <mergeCell ref="AK7:AK8"/>
    <mergeCell ref="AL7:AL8"/>
    <mergeCell ref="AM7:AM8"/>
    <mergeCell ref="AN7:AN9"/>
    <mergeCell ref="R7:R9"/>
    <mergeCell ref="S7:S8"/>
    <mergeCell ref="T7:T9"/>
    <mergeCell ref="U7:U9"/>
    <mergeCell ref="V7:W7"/>
    <mergeCell ref="X7:AA7"/>
    <mergeCell ref="A1:AM4"/>
    <mergeCell ref="A5:J6"/>
    <mergeCell ref="K5:AN5"/>
    <mergeCell ref="V6:AK6"/>
    <mergeCell ref="AL6:AN6"/>
    <mergeCell ref="A7:A9"/>
    <mergeCell ref="B7:B9"/>
    <mergeCell ref="C7:C9"/>
    <mergeCell ref="D7:D9"/>
    <mergeCell ref="E7:E9"/>
    <mergeCell ref="L7:L9"/>
    <mergeCell ref="M7:M9"/>
    <mergeCell ref="N7:N9"/>
    <mergeCell ref="O7:O9"/>
    <mergeCell ref="P7:P9"/>
    <mergeCell ref="Q7:Q9"/>
    <mergeCell ref="F7:F9"/>
    <mergeCell ref="G7:G9"/>
    <mergeCell ref="H7:H9"/>
    <mergeCell ref="I7:I9"/>
    <mergeCell ref="J7:J8"/>
    <mergeCell ref="K7:K9"/>
    <mergeCell ref="AB7:AG7"/>
    <mergeCell ref="AH7:AJ7"/>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BK23"/>
  <sheetViews>
    <sheetView showGridLines="0" topLeftCell="P4" zoomScale="70" zoomScaleNormal="70" workbookViewId="0">
      <selection activeCell="K7" sqref="K7:K8"/>
    </sheetView>
  </sheetViews>
  <sheetFormatPr baseColWidth="10" defaultColWidth="11.42578125" defaultRowHeight="27" customHeight="1" x14ac:dyDescent="0.2"/>
  <cols>
    <col min="1" max="1" width="13.140625" style="135" customWidth="1"/>
    <col min="2" max="2" width="4" style="4" customWidth="1"/>
    <col min="3" max="3" width="16.28515625" style="4" customWidth="1"/>
    <col min="4" max="4" width="14.7109375" style="4" customWidth="1"/>
    <col min="5" max="5" width="10" style="4" customWidth="1"/>
    <col min="6" max="6" width="11.7109375" style="4" customWidth="1"/>
    <col min="7" max="7" width="18.5703125" style="4" customWidth="1"/>
    <col min="8" max="8" width="8.5703125" style="4" customWidth="1"/>
    <col min="9" max="9" width="18.7109375" style="4" customWidth="1"/>
    <col min="10" max="10" width="19.5703125" style="4" customWidth="1"/>
    <col min="11" max="11" width="28.5703125" style="111" customWidth="1"/>
    <col min="12" max="12" width="20" style="3" customWidth="1"/>
    <col min="13" max="13" width="24.7109375" style="3" customWidth="1"/>
    <col min="14" max="14" width="35.140625" style="3" customWidth="1"/>
    <col min="15" max="15" width="20.85546875" style="13" customWidth="1"/>
    <col min="16" max="16" width="21.140625" style="111" customWidth="1"/>
    <col min="17" max="17" width="12.7109375" style="671" customWidth="1"/>
    <col min="18" max="18" width="26.42578125" style="672" customWidth="1"/>
    <col min="19" max="19" width="23.5703125" style="111" customWidth="1"/>
    <col min="20" max="20" width="22.42578125" style="111" customWidth="1"/>
    <col min="21" max="21" width="33.5703125" style="111" customWidth="1"/>
    <col min="22" max="22" width="26" style="133" customWidth="1"/>
    <col min="23" max="23" width="16.28515625" style="116" customWidth="1"/>
    <col min="24" max="24" width="18.5703125" style="673" customWidth="1"/>
    <col min="25" max="28" width="11.5703125" style="4" customWidth="1"/>
    <col min="29" max="29" width="13.5703125" style="4" customWidth="1"/>
    <col min="30" max="30" width="13.28515625" style="4" customWidth="1"/>
    <col min="31" max="39" width="11.5703125" style="4" customWidth="1"/>
    <col min="40" max="40" width="10" style="4" customWidth="1"/>
    <col min="41" max="41" width="22.7109375" style="674" customWidth="1"/>
    <col min="42" max="42" width="24.7109375" style="675" customWidth="1"/>
    <col min="43" max="43" width="26" style="676" customWidth="1"/>
    <col min="44" max="16384" width="11.42578125" style="4"/>
  </cols>
  <sheetData>
    <row r="1" spans="1:63" ht="17.25" customHeight="1" x14ac:dyDescent="0.2">
      <c r="A1" s="2153" t="s">
        <v>629</v>
      </c>
      <c r="B1" s="2154"/>
      <c r="C1" s="2154"/>
      <c r="D1" s="2154"/>
      <c r="E1" s="2154"/>
      <c r="F1" s="2154"/>
      <c r="G1" s="2154"/>
      <c r="H1" s="2154"/>
      <c r="I1" s="2154"/>
      <c r="J1" s="2154"/>
      <c r="K1" s="2154"/>
      <c r="L1" s="2154"/>
      <c r="M1" s="2154"/>
      <c r="N1" s="2154"/>
      <c r="O1" s="2154"/>
      <c r="P1" s="2154"/>
      <c r="Q1" s="2154"/>
      <c r="R1" s="2154"/>
      <c r="S1" s="2154"/>
      <c r="T1" s="2154"/>
      <c r="U1" s="2154"/>
      <c r="V1" s="2154"/>
      <c r="W1" s="2154"/>
      <c r="X1" s="2154"/>
      <c r="Y1" s="2154"/>
      <c r="Z1" s="2154"/>
      <c r="AA1" s="2154"/>
      <c r="AB1" s="2154"/>
      <c r="AC1" s="2154"/>
      <c r="AD1" s="2154"/>
      <c r="AE1" s="2154"/>
      <c r="AF1" s="2154"/>
      <c r="AG1" s="2154"/>
      <c r="AH1" s="2154"/>
      <c r="AI1" s="2154"/>
      <c r="AJ1" s="2154"/>
      <c r="AK1" s="2154"/>
      <c r="AL1" s="2154"/>
      <c r="AM1" s="2154"/>
      <c r="AN1" s="2154"/>
      <c r="AO1" s="2155"/>
      <c r="AP1" s="1" t="s">
        <v>0</v>
      </c>
      <c r="AQ1" s="649" t="s">
        <v>1</v>
      </c>
      <c r="AR1" s="3"/>
      <c r="AS1" s="3"/>
      <c r="AT1" s="3"/>
      <c r="AU1" s="3"/>
      <c r="AV1" s="3"/>
      <c r="AW1" s="3"/>
      <c r="AX1" s="3"/>
      <c r="AY1" s="3"/>
      <c r="AZ1" s="3"/>
      <c r="BA1" s="3"/>
      <c r="BB1" s="3"/>
      <c r="BC1" s="3"/>
      <c r="BD1" s="3"/>
      <c r="BE1" s="3"/>
      <c r="BF1" s="3"/>
      <c r="BG1" s="3"/>
      <c r="BH1" s="3"/>
      <c r="BI1" s="3"/>
      <c r="BJ1" s="3"/>
      <c r="BK1" s="3"/>
    </row>
    <row r="2" spans="1:63" ht="17.25" customHeight="1" x14ac:dyDescent="0.2">
      <c r="A2" s="2156"/>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c r="AC2" s="2124"/>
      <c r="AD2" s="2124"/>
      <c r="AE2" s="2124"/>
      <c r="AF2" s="2124"/>
      <c r="AG2" s="2124"/>
      <c r="AH2" s="2124"/>
      <c r="AI2" s="2124"/>
      <c r="AJ2" s="2124"/>
      <c r="AK2" s="2124"/>
      <c r="AL2" s="2124"/>
      <c r="AM2" s="2124"/>
      <c r="AN2" s="2124"/>
      <c r="AO2" s="2125"/>
      <c r="AP2" s="5" t="s">
        <v>2</v>
      </c>
      <c r="AQ2" s="650" t="s">
        <v>3</v>
      </c>
      <c r="AR2" s="3"/>
      <c r="AS2" s="3"/>
      <c r="AT2" s="3"/>
      <c r="AU2" s="3"/>
      <c r="AV2" s="3"/>
      <c r="AW2" s="3"/>
      <c r="AX2" s="3"/>
      <c r="AY2" s="3"/>
      <c r="AZ2" s="3"/>
      <c r="BA2" s="3"/>
      <c r="BB2" s="3"/>
      <c r="BC2" s="3"/>
      <c r="BD2" s="3"/>
      <c r="BE2" s="3"/>
      <c r="BF2" s="3"/>
      <c r="BG2" s="3"/>
      <c r="BH2" s="3"/>
      <c r="BI2" s="3"/>
      <c r="BJ2" s="3"/>
      <c r="BK2" s="3"/>
    </row>
    <row r="3" spans="1:63" ht="17.25" customHeight="1" x14ac:dyDescent="0.2">
      <c r="A3" s="2156"/>
      <c r="B3" s="2124"/>
      <c r="C3" s="2124"/>
      <c r="D3" s="2124"/>
      <c r="E3" s="2124"/>
      <c r="F3" s="2124"/>
      <c r="G3" s="2124"/>
      <c r="H3" s="2124"/>
      <c r="I3" s="2124"/>
      <c r="J3" s="2124"/>
      <c r="K3" s="2124"/>
      <c r="L3" s="2124"/>
      <c r="M3" s="2124"/>
      <c r="N3" s="2124"/>
      <c r="O3" s="2124"/>
      <c r="P3" s="2124"/>
      <c r="Q3" s="2124"/>
      <c r="R3" s="2124"/>
      <c r="S3" s="2124"/>
      <c r="T3" s="2124"/>
      <c r="U3" s="2124"/>
      <c r="V3" s="2124"/>
      <c r="W3" s="2124"/>
      <c r="X3" s="2124"/>
      <c r="Y3" s="2124"/>
      <c r="Z3" s="2124"/>
      <c r="AA3" s="2124"/>
      <c r="AB3" s="2124"/>
      <c r="AC3" s="2124"/>
      <c r="AD3" s="2124"/>
      <c r="AE3" s="2124"/>
      <c r="AF3" s="2124"/>
      <c r="AG3" s="2124"/>
      <c r="AH3" s="2124"/>
      <c r="AI3" s="2124"/>
      <c r="AJ3" s="2124"/>
      <c r="AK3" s="2124"/>
      <c r="AL3" s="2124"/>
      <c r="AM3" s="2124"/>
      <c r="AN3" s="2124"/>
      <c r="AO3" s="2125"/>
      <c r="AP3" s="7" t="s">
        <v>4</v>
      </c>
      <c r="AQ3" s="651" t="s">
        <v>5</v>
      </c>
      <c r="AR3" s="3"/>
      <c r="AS3" s="3"/>
      <c r="AT3" s="3"/>
      <c r="AU3" s="3"/>
      <c r="AV3" s="3"/>
      <c r="AW3" s="3"/>
      <c r="AX3" s="3"/>
      <c r="AY3" s="3"/>
      <c r="AZ3" s="3"/>
      <c r="BA3" s="3"/>
      <c r="BB3" s="3"/>
      <c r="BC3" s="3"/>
      <c r="BD3" s="3"/>
      <c r="BE3" s="3"/>
      <c r="BF3" s="3"/>
      <c r="BG3" s="3"/>
      <c r="BH3" s="3"/>
      <c r="BI3" s="3"/>
      <c r="BJ3" s="3"/>
      <c r="BK3" s="3"/>
    </row>
    <row r="4" spans="1:63" ht="17.25" customHeight="1" x14ac:dyDescent="0.2">
      <c r="A4" s="2157"/>
      <c r="B4" s="2126"/>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7"/>
      <c r="AP4" s="7" t="s">
        <v>6</v>
      </c>
      <c r="AQ4" s="652" t="s">
        <v>7</v>
      </c>
      <c r="AR4" s="3"/>
      <c r="AS4" s="3"/>
      <c r="AT4" s="3"/>
      <c r="AU4" s="3"/>
      <c r="AV4" s="3"/>
      <c r="AW4" s="3"/>
      <c r="AX4" s="3"/>
      <c r="AY4" s="3"/>
      <c r="AZ4" s="3"/>
      <c r="BA4" s="3"/>
      <c r="BB4" s="3"/>
      <c r="BC4" s="3"/>
      <c r="BD4" s="3"/>
      <c r="BE4" s="3"/>
      <c r="BF4" s="3"/>
      <c r="BG4" s="3"/>
      <c r="BH4" s="3"/>
      <c r="BI4" s="3"/>
      <c r="BJ4" s="3"/>
      <c r="BK4" s="3"/>
    </row>
    <row r="5" spans="1:63" ht="17.25" customHeight="1" x14ac:dyDescent="0.2">
      <c r="A5" s="2254" t="s">
        <v>8</v>
      </c>
      <c r="B5" s="2128"/>
      <c r="C5" s="2128"/>
      <c r="D5" s="2128"/>
      <c r="E5" s="2128"/>
      <c r="F5" s="2128"/>
      <c r="G5" s="2128"/>
      <c r="H5" s="2128"/>
      <c r="I5" s="2128"/>
      <c r="J5" s="2128"/>
      <c r="K5" s="2128"/>
      <c r="L5" s="2128"/>
      <c r="M5" s="2128"/>
      <c r="N5" s="2130" t="s">
        <v>9</v>
      </c>
      <c r="O5" s="2130"/>
      <c r="P5" s="2130"/>
      <c r="Q5" s="2130"/>
      <c r="R5" s="2130"/>
      <c r="S5" s="2130"/>
      <c r="T5" s="2130"/>
      <c r="U5" s="2130"/>
      <c r="V5" s="2130"/>
      <c r="W5" s="2130"/>
      <c r="X5" s="2130"/>
      <c r="Y5" s="2130"/>
      <c r="Z5" s="2130"/>
      <c r="AA5" s="2130"/>
      <c r="AB5" s="2130"/>
      <c r="AC5" s="2130"/>
      <c r="AD5" s="2130"/>
      <c r="AE5" s="2130"/>
      <c r="AF5" s="2130"/>
      <c r="AG5" s="2130"/>
      <c r="AH5" s="2130"/>
      <c r="AI5" s="2130"/>
      <c r="AJ5" s="2130"/>
      <c r="AK5" s="2130"/>
      <c r="AL5" s="2130"/>
      <c r="AM5" s="2130"/>
      <c r="AN5" s="2130"/>
      <c r="AO5" s="2130"/>
      <c r="AP5" s="2130"/>
      <c r="AQ5" s="2162"/>
      <c r="AR5" s="3"/>
      <c r="AS5" s="3"/>
      <c r="AT5" s="3"/>
      <c r="AU5" s="3"/>
      <c r="AV5" s="3"/>
      <c r="AW5" s="3"/>
      <c r="AX5" s="3"/>
      <c r="AY5" s="3"/>
      <c r="AZ5" s="3"/>
      <c r="BA5" s="3"/>
      <c r="BB5" s="3"/>
      <c r="BC5" s="3"/>
      <c r="BD5" s="3"/>
      <c r="BE5" s="3"/>
      <c r="BF5" s="3"/>
      <c r="BG5" s="3"/>
      <c r="BH5" s="3"/>
      <c r="BI5" s="3"/>
      <c r="BJ5" s="3"/>
      <c r="BK5" s="3"/>
    </row>
    <row r="6" spans="1:63" ht="17.25" customHeight="1" x14ac:dyDescent="0.2">
      <c r="A6" s="2255"/>
      <c r="B6" s="2129"/>
      <c r="C6" s="2129"/>
      <c r="D6" s="2129"/>
      <c r="E6" s="2129"/>
      <c r="F6" s="2129"/>
      <c r="G6" s="2129"/>
      <c r="H6" s="2129"/>
      <c r="I6" s="2129"/>
      <c r="J6" s="2129"/>
      <c r="K6" s="2129"/>
      <c r="L6" s="2129"/>
      <c r="M6" s="2129"/>
      <c r="N6" s="653"/>
      <c r="O6" s="370"/>
      <c r="P6" s="370"/>
      <c r="Q6" s="370"/>
      <c r="R6" s="370"/>
      <c r="S6" s="370"/>
      <c r="T6" s="370"/>
      <c r="U6" s="370"/>
      <c r="V6" s="370"/>
      <c r="W6" s="370"/>
      <c r="X6" s="370"/>
      <c r="Y6" s="2131" t="s">
        <v>10</v>
      </c>
      <c r="Z6" s="2129"/>
      <c r="AA6" s="2129"/>
      <c r="AB6" s="2129"/>
      <c r="AC6" s="2129"/>
      <c r="AD6" s="2129"/>
      <c r="AE6" s="2129"/>
      <c r="AF6" s="2129"/>
      <c r="AG6" s="2129"/>
      <c r="AH6" s="2129"/>
      <c r="AI6" s="2129"/>
      <c r="AJ6" s="2129"/>
      <c r="AK6" s="2129"/>
      <c r="AL6" s="2129"/>
      <c r="AM6" s="2132"/>
      <c r="AN6" s="371"/>
      <c r="AO6" s="370"/>
      <c r="AP6" s="370"/>
      <c r="AQ6" s="654"/>
      <c r="AR6" s="3"/>
      <c r="AS6" s="3"/>
      <c r="AT6" s="3"/>
      <c r="AU6" s="3"/>
      <c r="AV6" s="3"/>
      <c r="AW6" s="3"/>
      <c r="AX6" s="3"/>
      <c r="AY6" s="3"/>
      <c r="AZ6" s="3"/>
      <c r="BA6" s="3"/>
      <c r="BB6" s="3"/>
      <c r="BC6" s="3"/>
      <c r="BD6" s="3"/>
      <c r="BE6" s="3"/>
      <c r="BF6" s="3"/>
      <c r="BG6" s="3"/>
      <c r="BH6" s="3"/>
      <c r="BI6" s="3"/>
      <c r="BJ6" s="3"/>
      <c r="BK6" s="3"/>
    </row>
    <row r="7" spans="1:63" ht="38.25" customHeight="1" x14ac:dyDescent="0.2">
      <c r="A7" s="2256" t="s">
        <v>11</v>
      </c>
      <c r="B7" s="2136" t="s">
        <v>12</v>
      </c>
      <c r="C7" s="2137"/>
      <c r="D7" s="2137" t="s">
        <v>11</v>
      </c>
      <c r="E7" s="2136" t="s">
        <v>13</v>
      </c>
      <c r="F7" s="2137"/>
      <c r="G7" s="2137" t="s">
        <v>11</v>
      </c>
      <c r="H7" s="2136" t="s">
        <v>14</v>
      </c>
      <c r="I7" s="2137"/>
      <c r="J7" s="2137" t="s">
        <v>11</v>
      </c>
      <c r="K7" s="2136" t="s">
        <v>15</v>
      </c>
      <c r="L7" s="2119" t="s">
        <v>16</v>
      </c>
      <c r="M7" s="2119" t="s">
        <v>17</v>
      </c>
      <c r="N7" s="2119" t="s">
        <v>18</v>
      </c>
      <c r="O7" s="2119" t="s">
        <v>19</v>
      </c>
      <c r="P7" s="2119" t="s">
        <v>9</v>
      </c>
      <c r="Q7" s="2180" t="s">
        <v>20</v>
      </c>
      <c r="R7" s="2145" t="s">
        <v>21</v>
      </c>
      <c r="S7" s="2763" t="s">
        <v>22</v>
      </c>
      <c r="T7" s="2136" t="s">
        <v>23</v>
      </c>
      <c r="U7" s="2119" t="s">
        <v>24</v>
      </c>
      <c r="V7" s="2116" t="s">
        <v>21</v>
      </c>
      <c r="W7" s="373"/>
      <c r="X7" s="2119" t="s">
        <v>25</v>
      </c>
      <c r="Y7" s="2122" t="s">
        <v>26</v>
      </c>
      <c r="Z7" s="2122"/>
      <c r="AA7" s="2109" t="s">
        <v>27</v>
      </c>
      <c r="AB7" s="2109"/>
      <c r="AC7" s="2109"/>
      <c r="AD7" s="2109"/>
      <c r="AE7" s="2106" t="s">
        <v>28</v>
      </c>
      <c r="AF7" s="2107"/>
      <c r="AG7" s="2107"/>
      <c r="AH7" s="2107"/>
      <c r="AI7" s="2107"/>
      <c r="AJ7" s="2108"/>
      <c r="AK7" s="2109" t="s">
        <v>29</v>
      </c>
      <c r="AL7" s="2109"/>
      <c r="AM7" s="2109"/>
      <c r="AN7" s="2092" t="s">
        <v>30</v>
      </c>
      <c r="AO7" s="2095" t="s">
        <v>31</v>
      </c>
      <c r="AP7" s="2095" t="s">
        <v>32</v>
      </c>
      <c r="AQ7" s="2167" t="s">
        <v>33</v>
      </c>
      <c r="AR7" s="3"/>
      <c r="AS7" s="3"/>
      <c r="AT7" s="3"/>
      <c r="AU7" s="3"/>
      <c r="AV7" s="3"/>
      <c r="AW7" s="3"/>
      <c r="AX7" s="3"/>
      <c r="AY7" s="3"/>
      <c r="AZ7" s="3"/>
      <c r="BA7" s="3"/>
      <c r="BB7" s="3"/>
      <c r="BC7" s="3"/>
      <c r="BD7" s="3"/>
      <c r="BE7" s="3"/>
      <c r="BF7" s="3"/>
      <c r="BG7" s="3"/>
      <c r="BH7" s="3"/>
      <c r="BI7" s="3"/>
      <c r="BJ7" s="3"/>
      <c r="BK7" s="3"/>
    </row>
    <row r="8" spans="1:63" ht="119.25" customHeight="1" x14ac:dyDescent="0.2">
      <c r="A8" s="2257"/>
      <c r="B8" s="2138"/>
      <c r="C8" s="2139"/>
      <c r="D8" s="2139"/>
      <c r="E8" s="2138"/>
      <c r="F8" s="2139"/>
      <c r="G8" s="2139"/>
      <c r="H8" s="2138"/>
      <c r="I8" s="2139"/>
      <c r="J8" s="2139"/>
      <c r="K8" s="2138"/>
      <c r="L8" s="2120"/>
      <c r="M8" s="2120"/>
      <c r="N8" s="2120"/>
      <c r="O8" s="2120"/>
      <c r="P8" s="2120"/>
      <c r="Q8" s="2181"/>
      <c r="R8" s="2146"/>
      <c r="S8" s="2764"/>
      <c r="T8" s="2138"/>
      <c r="U8" s="2120"/>
      <c r="V8" s="2117"/>
      <c r="W8" s="374" t="s">
        <v>11</v>
      </c>
      <c r="X8" s="2120"/>
      <c r="Y8" s="375" t="s">
        <v>34</v>
      </c>
      <c r="Z8" s="376" t="s">
        <v>35</v>
      </c>
      <c r="AA8" s="655" t="s">
        <v>36</v>
      </c>
      <c r="AB8" s="655" t="s">
        <v>37</v>
      </c>
      <c r="AC8" s="655" t="s">
        <v>257</v>
      </c>
      <c r="AD8" s="655" t="s">
        <v>39</v>
      </c>
      <c r="AE8" s="655" t="s">
        <v>40</v>
      </c>
      <c r="AF8" s="655" t="s">
        <v>41</v>
      </c>
      <c r="AG8" s="655" t="s">
        <v>42</v>
      </c>
      <c r="AH8" s="655" t="s">
        <v>43</v>
      </c>
      <c r="AI8" s="655" t="s">
        <v>44</v>
      </c>
      <c r="AJ8" s="655" t="s">
        <v>45</v>
      </c>
      <c r="AK8" s="655" t="s">
        <v>46</v>
      </c>
      <c r="AL8" s="655" t="s">
        <v>47</v>
      </c>
      <c r="AM8" s="655" t="s">
        <v>48</v>
      </c>
      <c r="AN8" s="2094"/>
      <c r="AO8" s="2096"/>
      <c r="AP8" s="2096"/>
      <c r="AQ8" s="2168"/>
      <c r="AR8" s="3"/>
      <c r="AS8" s="3"/>
      <c r="AT8" s="3"/>
      <c r="AU8" s="3"/>
      <c r="AV8" s="3"/>
      <c r="AW8" s="3"/>
      <c r="AX8" s="3"/>
      <c r="AY8" s="3"/>
      <c r="AZ8" s="3"/>
      <c r="BA8" s="3"/>
      <c r="BB8" s="3"/>
      <c r="BC8" s="3"/>
      <c r="BD8" s="3"/>
      <c r="BE8" s="3"/>
      <c r="BF8" s="3"/>
      <c r="BG8" s="3"/>
      <c r="BH8" s="3"/>
      <c r="BI8" s="3"/>
      <c r="BJ8" s="3"/>
      <c r="BK8" s="3"/>
    </row>
    <row r="9" spans="1:63" s="26" customFormat="1" ht="12" customHeight="1" x14ac:dyDescent="0.2">
      <c r="A9" s="656">
        <v>5</v>
      </c>
      <c r="B9" s="2171" t="s">
        <v>49</v>
      </c>
      <c r="C9" s="2171"/>
      <c r="D9" s="2171"/>
      <c r="E9" s="2171"/>
      <c r="F9" s="2171"/>
      <c r="G9" s="2171"/>
      <c r="H9" s="2171"/>
      <c r="I9" s="2171"/>
      <c r="J9" s="2171"/>
      <c r="K9" s="2171"/>
      <c r="L9" s="2171"/>
      <c r="M9" s="2171"/>
      <c r="N9" s="2171"/>
      <c r="O9" s="2171"/>
      <c r="P9" s="2171"/>
      <c r="Q9" s="2171"/>
      <c r="R9" s="2171"/>
      <c r="S9" s="2171"/>
      <c r="T9" s="2171"/>
      <c r="U9" s="2171"/>
      <c r="V9" s="2171"/>
      <c r="W9" s="2171"/>
      <c r="X9" s="2171"/>
      <c r="Y9" s="2171"/>
      <c r="Z9" s="2171"/>
      <c r="AA9" s="2171"/>
      <c r="AB9" s="2171"/>
      <c r="AC9" s="2171"/>
      <c r="AD9" s="2171"/>
      <c r="AE9" s="2171"/>
      <c r="AF9" s="2171"/>
      <c r="AG9" s="2171"/>
      <c r="AH9" s="2171"/>
      <c r="AI9" s="2171"/>
      <c r="AJ9" s="2171"/>
      <c r="AK9" s="2171"/>
      <c r="AL9" s="2171"/>
      <c r="AM9" s="2171"/>
      <c r="AN9" s="2171"/>
      <c r="AO9" s="2171"/>
      <c r="AP9" s="2171"/>
      <c r="AQ9" s="3184"/>
      <c r="AR9" s="3"/>
      <c r="AS9" s="3"/>
      <c r="AT9" s="3"/>
      <c r="AU9" s="3"/>
      <c r="AV9" s="3"/>
      <c r="AW9" s="3"/>
      <c r="AX9" s="3"/>
      <c r="AY9" s="3"/>
      <c r="AZ9" s="3"/>
      <c r="BA9" s="3"/>
      <c r="BB9" s="3"/>
      <c r="BC9" s="3"/>
      <c r="BD9" s="3"/>
      <c r="BE9" s="3"/>
      <c r="BF9" s="3"/>
      <c r="BG9" s="3"/>
      <c r="BH9" s="3"/>
      <c r="BI9" s="3"/>
      <c r="BJ9" s="3"/>
      <c r="BK9" s="3"/>
    </row>
    <row r="10" spans="1:63" s="3" customFormat="1" ht="12" customHeight="1" x14ac:dyDescent="0.2">
      <c r="A10" s="2760"/>
      <c r="B10" s="2070"/>
      <c r="C10" s="2071"/>
      <c r="D10" s="657">
        <v>25</v>
      </c>
      <c r="E10" s="3178" t="s">
        <v>50</v>
      </c>
      <c r="F10" s="3178"/>
      <c r="G10" s="3178"/>
      <c r="H10" s="3178"/>
      <c r="I10" s="3178"/>
      <c r="J10" s="3178"/>
      <c r="K10" s="3178"/>
      <c r="L10" s="3178"/>
      <c r="M10" s="3178"/>
      <c r="N10" s="3178"/>
      <c r="O10" s="3178"/>
      <c r="P10" s="3178"/>
      <c r="Q10" s="3178"/>
      <c r="R10" s="3178"/>
      <c r="S10" s="3178"/>
      <c r="T10" s="3178"/>
      <c r="U10" s="3178"/>
      <c r="V10" s="3178"/>
      <c r="W10" s="3178"/>
      <c r="X10" s="3178"/>
      <c r="Y10" s="3178"/>
      <c r="Z10" s="3178"/>
      <c r="AA10" s="3178"/>
      <c r="AB10" s="3178"/>
      <c r="AC10" s="3178"/>
      <c r="AD10" s="3178"/>
      <c r="AE10" s="3178"/>
      <c r="AF10" s="3178"/>
      <c r="AG10" s="3178"/>
      <c r="AH10" s="3178"/>
      <c r="AI10" s="3178"/>
      <c r="AJ10" s="3178"/>
      <c r="AK10" s="3178"/>
      <c r="AL10" s="3178"/>
      <c r="AM10" s="3178"/>
      <c r="AN10" s="3178"/>
      <c r="AO10" s="3178"/>
      <c r="AP10" s="3178"/>
      <c r="AQ10" s="3179"/>
    </row>
    <row r="11" spans="1:63" s="3" customFormat="1" ht="12" customHeight="1" x14ac:dyDescent="0.2">
      <c r="A11" s="2761"/>
      <c r="B11" s="2073"/>
      <c r="C11" s="2074"/>
      <c r="D11" s="397"/>
      <c r="E11" s="408"/>
      <c r="F11" s="408"/>
      <c r="G11" s="398">
        <v>83</v>
      </c>
      <c r="H11" s="2183" t="s">
        <v>610</v>
      </c>
      <c r="I11" s="2183"/>
      <c r="J11" s="3180"/>
      <c r="K11" s="2183"/>
      <c r="L11" s="2183"/>
      <c r="M11" s="2183"/>
      <c r="N11" s="2183"/>
      <c r="O11" s="2183"/>
      <c r="P11" s="2183"/>
      <c r="Q11" s="2183"/>
      <c r="R11" s="2183"/>
      <c r="S11" s="2183"/>
      <c r="T11" s="2183"/>
      <c r="U11" s="2183"/>
      <c r="V11" s="2183"/>
      <c r="W11" s="2183"/>
      <c r="X11" s="2183"/>
      <c r="Y11" s="2183"/>
      <c r="Z11" s="2183"/>
      <c r="AA11" s="2183"/>
      <c r="AB11" s="2183"/>
      <c r="AC11" s="2183"/>
      <c r="AD11" s="2183"/>
      <c r="AE11" s="2183"/>
      <c r="AF11" s="2183"/>
      <c r="AG11" s="2183"/>
      <c r="AH11" s="2183"/>
      <c r="AI11" s="2183"/>
      <c r="AJ11" s="2183"/>
      <c r="AK11" s="2183"/>
      <c r="AL11" s="2183"/>
      <c r="AM11" s="2183"/>
      <c r="AN11" s="2183"/>
      <c r="AO11" s="2183"/>
      <c r="AP11" s="2183"/>
      <c r="AQ11" s="3181"/>
    </row>
    <row r="12" spans="1:63" s="3" customFormat="1" ht="69" customHeight="1" x14ac:dyDescent="0.2">
      <c r="A12" s="2761"/>
      <c r="B12" s="2073"/>
      <c r="C12" s="2074"/>
      <c r="D12" s="414"/>
      <c r="E12" s="415"/>
      <c r="F12" s="415"/>
      <c r="G12" s="409"/>
      <c r="H12" s="415"/>
      <c r="I12" s="415"/>
      <c r="J12" s="2628">
        <v>243</v>
      </c>
      <c r="K12" s="3182" t="s">
        <v>611</v>
      </c>
      <c r="L12" s="2057" t="s">
        <v>612</v>
      </c>
      <c r="M12" s="2628">
        <v>6</v>
      </c>
      <c r="N12" s="2057" t="s">
        <v>613</v>
      </c>
      <c r="O12" s="2057" t="s">
        <v>614</v>
      </c>
      <c r="P12" s="2057" t="s">
        <v>615</v>
      </c>
      <c r="Q12" s="3189">
        <v>1</v>
      </c>
      <c r="R12" s="2059">
        <v>72000000</v>
      </c>
      <c r="S12" s="2057" t="s">
        <v>616</v>
      </c>
      <c r="T12" s="2098" t="s">
        <v>617</v>
      </c>
      <c r="U12" s="2057" t="s">
        <v>618</v>
      </c>
      <c r="V12" s="2731">
        <v>18000000</v>
      </c>
      <c r="W12" s="2243">
        <v>20</v>
      </c>
      <c r="X12" s="2628" t="s">
        <v>619</v>
      </c>
      <c r="Y12" s="3187">
        <v>289394</v>
      </c>
      <c r="Z12" s="2626">
        <v>279112</v>
      </c>
      <c r="AA12" s="2626">
        <v>118243</v>
      </c>
      <c r="AB12" s="2626">
        <v>45607</v>
      </c>
      <c r="AC12" s="2626">
        <v>365607</v>
      </c>
      <c r="AD12" s="2626">
        <v>75612</v>
      </c>
      <c r="AE12" s="2626">
        <v>2145</v>
      </c>
      <c r="AF12" s="2626">
        <v>12718</v>
      </c>
      <c r="AG12" s="2626">
        <v>26</v>
      </c>
      <c r="AH12" s="2626">
        <v>37</v>
      </c>
      <c r="AI12" s="658"/>
      <c r="AJ12" s="658"/>
      <c r="AK12" s="2626">
        <v>78</v>
      </c>
      <c r="AL12" s="2626">
        <v>16897</v>
      </c>
      <c r="AM12" s="2626">
        <v>852</v>
      </c>
      <c r="AN12" s="2626">
        <v>568506</v>
      </c>
      <c r="AO12" s="2723">
        <v>43102</v>
      </c>
      <c r="AP12" s="2723">
        <v>43465</v>
      </c>
      <c r="AQ12" s="3188" t="s">
        <v>620</v>
      </c>
    </row>
    <row r="13" spans="1:63" s="3" customFormat="1" ht="150.75" customHeight="1" x14ac:dyDescent="0.2">
      <c r="A13" s="2761"/>
      <c r="B13" s="2073"/>
      <c r="C13" s="2074"/>
      <c r="D13" s="414"/>
      <c r="E13" s="2084"/>
      <c r="F13" s="2084"/>
      <c r="G13" s="414"/>
      <c r="H13" s="2084"/>
      <c r="I13" s="2084"/>
      <c r="J13" s="2629"/>
      <c r="K13" s="3183"/>
      <c r="L13" s="2630"/>
      <c r="M13" s="2629"/>
      <c r="N13" s="2630"/>
      <c r="O13" s="2630"/>
      <c r="P13" s="2630"/>
      <c r="Q13" s="3190"/>
      <c r="R13" s="3185"/>
      <c r="S13" s="2630"/>
      <c r="T13" s="2327"/>
      <c r="U13" s="2648"/>
      <c r="V13" s="3186"/>
      <c r="W13" s="2729"/>
      <c r="X13" s="2629"/>
      <c r="Y13" s="2409"/>
      <c r="Z13" s="2627"/>
      <c r="AA13" s="2627"/>
      <c r="AB13" s="2627"/>
      <c r="AC13" s="2627"/>
      <c r="AD13" s="2627"/>
      <c r="AE13" s="2627"/>
      <c r="AF13" s="2627"/>
      <c r="AG13" s="2627"/>
      <c r="AH13" s="2627"/>
      <c r="AI13" s="659"/>
      <c r="AJ13" s="659"/>
      <c r="AK13" s="2627"/>
      <c r="AL13" s="2627"/>
      <c r="AM13" s="2627"/>
      <c r="AN13" s="2627"/>
      <c r="AO13" s="2724"/>
      <c r="AP13" s="2724"/>
      <c r="AQ13" s="2726"/>
    </row>
    <row r="14" spans="1:63" s="3" customFormat="1" ht="24.75" customHeight="1" x14ac:dyDescent="0.2">
      <c r="A14" s="2761"/>
      <c r="B14" s="2073"/>
      <c r="C14" s="2074"/>
      <c r="D14" s="414"/>
      <c r="E14" s="415"/>
      <c r="F14" s="415"/>
      <c r="G14" s="414"/>
      <c r="H14" s="415"/>
      <c r="I14" s="415"/>
      <c r="J14" s="2629"/>
      <c r="K14" s="3183"/>
      <c r="L14" s="2630"/>
      <c r="M14" s="2629"/>
      <c r="N14" s="2630"/>
      <c r="O14" s="2630"/>
      <c r="P14" s="2630"/>
      <c r="Q14" s="3190"/>
      <c r="R14" s="3185"/>
      <c r="S14" s="2630"/>
      <c r="T14" s="2327"/>
      <c r="U14" s="2057" t="s">
        <v>621</v>
      </c>
      <c r="V14" s="2731">
        <v>18000000</v>
      </c>
      <c r="W14" s="2729"/>
      <c r="X14" s="2629"/>
      <c r="Y14" s="2409"/>
      <c r="Z14" s="2627"/>
      <c r="AA14" s="2627"/>
      <c r="AB14" s="2627"/>
      <c r="AC14" s="2627"/>
      <c r="AD14" s="2627"/>
      <c r="AE14" s="2627"/>
      <c r="AF14" s="2627"/>
      <c r="AG14" s="2627"/>
      <c r="AH14" s="2627"/>
      <c r="AI14" s="659"/>
      <c r="AJ14" s="659"/>
      <c r="AK14" s="2627"/>
      <c r="AL14" s="2627"/>
      <c r="AM14" s="2627"/>
      <c r="AN14" s="2627"/>
      <c r="AO14" s="2724"/>
      <c r="AP14" s="2724"/>
      <c r="AQ14" s="2726"/>
    </row>
    <row r="15" spans="1:63" s="3" customFormat="1" ht="85.5" customHeight="1" x14ac:dyDescent="0.2">
      <c r="A15" s="2761"/>
      <c r="B15" s="2073"/>
      <c r="C15" s="2074"/>
      <c r="D15" s="414"/>
      <c r="E15" s="415"/>
      <c r="F15" s="415"/>
      <c r="G15" s="414"/>
      <c r="H15" s="415"/>
      <c r="I15" s="415"/>
      <c r="J15" s="2629"/>
      <c r="K15" s="3183"/>
      <c r="L15" s="2630"/>
      <c r="M15" s="2629"/>
      <c r="N15" s="2630"/>
      <c r="O15" s="2630"/>
      <c r="P15" s="2630"/>
      <c r="Q15" s="3190"/>
      <c r="R15" s="3185"/>
      <c r="S15" s="2630"/>
      <c r="T15" s="2099"/>
      <c r="U15" s="2648"/>
      <c r="V15" s="3186"/>
      <c r="W15" s="2729"/>
      <c r="X15" s="2629"/>
      <c r="Y15" s="2409"/>
      <c r="Z15" s="2627"/>
      <c r="AA15" s="2627"/>
      <c r="AB15" s="2627"/>
      <c r="AC15" s="2627"/>
      <c r="AD15" s="2627"/>
      <c r="AE15" s="2627"/>
      <c r="AF15" s="2627"/>
      <c r="AG15" s="2627"/>
      <c r="AH15" s="2627"/>
      <c r="AI15" s="659"/>
      <c r="AJ15" s="659"/>
      <c r="AK15" s="2627"/>
      <c r="AL15" s="2627"/>
      <c r="AM15" s="2627"/>
      <c r="AN15" s="2627"/>
      <c r="AO15" s="2724"/>
      <c r="AP15" s="2724"/>
      <c r="AQ15" s="2726"/>
    </row>
    <row r="16" spans="1:63" s="3" customFormat="1" ht="69" customHeight="1" x14ac:dyDescent="0.2">
      <c r="A16" s="2761"/>
      <c r="B16" s="2073"/>
      <c r="C16" s="2074"/>
      <c r="D16" s="414"/>
      <c r="E16" s="415"/>
      <c r="F16" s="415"/>
      <c r="G16" s="414"/>
      <c r="H16" s="415"/>
      <c r="I16" s="415"/>
      <c r="J16" s="2629"/>
      <c r="K16" s="3183"/>
      <c r="L16" s="2630"/>
      <c r="M16" s="2629"/>
      <c r="N16" s="2630"/>
      <c r="O16" s="2630"/>
      <c r="P16" s="2630"/>
      <c r="Q16" s="3190"/>
      <c r="R16" s="3185"/>
      <c r="S16" s="2630"/>
      <c r="T16" s="2057" t="s">
        <v>622</v>
      </c>
      <c r="U16" s="2057" t="s">
        <v>623</v>
      </c>
      <c r="V16" s="2731">
        <v>18000000</v>
      </c>
      <c r="W16" s="2729"/>
      <c r="X16" s="2629"/>
      <c r="Y16" s="2409"/>
      <c r="Z16" s="2627"/>
      <c r="AA16" s="2627"/>
      <c r="AB16" s="2627"/>
      <c r="AC16" s="2627"/>
      <c r="AD16" s="2627"/>
      <c r="AE16" s="2627"/>
      <c r="AF16" s="2627"/>
      <c r="AG16" s="2627"/>
      <c r="AH16" s="2627"/>
      <c r="AI16" s="659"/>
      <c r="AJ16" s="659"/>
      <c r="AK16" s="2627"/>
      <c r="AL16" s="2627"/>
      <c r="AM16" s="2627"/>
      <c r="AN16" s="2627"/>
      <c r="AO16" s="2724"/>
      <c r="AP16" s="2724"/>
      <c r="AQ16" s="2726"/>
    </row>
    <row r="17" spans="1:43" s="3" customFormat="1" ht="81.75" customHeight="1" x14ac:dyDescent="0.2">
      <c r="A17" s="2761"/>
      <c r="B17" s="2073"/>
      <c r="C17" s="2074"/>
      <c r="D17" s="414"/>
      <c r="E17" s="415"/>
      <c r="F17" s="415"/>
      <c r="G17" s="414"/>
      <c r="H17" s="415"/>
      <c r="I17" s="415"/>
      <c r="J17" s="2629"/>
      <c r="K17" s="3183"/>
      <c r="L17" s="2630"/>
      <c r="M17" s="2629"/>
      <c r="N17" s="2630"/>
      <c r="O17" s="2630"/>
      <c r="P17" s="2630"/>
      <c r="Q17" s="3190"/>
      <c r="R17" s="3185"/>
      <c r="S17" s="2630"/>
      <c r="T17" s="2630"/>
      <c r="U17" s="2648"/>
      <c r="V17" s="3186"/>
      <c r="W17" s="2729"/>
      <c r="X17" s="2629"/>
      <c r="Y17" s="2409"/>
      <c r="Z17" s="2627"/>
      <c r="AA17" s="2627"/>
      <c r="AB17" s="2627"/>
      <c r="AC17" s="2627"/>
      <c r="AD17" s="2627"/>
      <c r="AE17" s="2627"/>
      <c r="AF17" s="2627"/>
      <c r="AG17" s="2627"/>
      <c r="AH17" s="2627"/>
      <c r="AI17" s="659"/>
      <c r="AJ17" s="659"/>
      <c r="AK17" s="2627"/>
      <c r="AL17" s="2627"/>
      <c r="AM17" s="2627"/>
      <c r="AN17" s="2627"/>
      <c r="AO17" s="2724"/>
      <c r="AP17" s="2724"/>
      <c r="AQ17" s="2726"/>
    </row>
    <row r="18" spans="1:43" s="3" customFormat="1" ht="45" customHeight="1" x14ac:dyDescent="0.2">
      <c r="A18" s="2761"/>
      <c r="B18" s="2073"/>
      <c r="C18" s="2074"/>
      <c r="D18" s="414"/>
      <c r="E18" s="2084"/>
      <c r="F18" s="2084"/>
      <c r="G18" s="414"/>
      <c r="H18" s="2084"/>
      <c r="I18" s="2084"/>
      <c r="J18" s="2629"/>
      <c r="K18" s="3183"/>
      <c r="L18" s="2630"/>
      <c r="M18" s="2629"/>
      <c r="N18" s="2630"/>
      <c r="O18" s="2630"/>
      <c r="P18" s="2630"/>
      <c r="Q18" s="3190"/>
      <c r="R18" s="3185"/>
      <c r="S18" s="2630"/>
      <c r="T18" s="2630"/>
      <c r="U18" s="2057" t="s">
        <v>624</v>
      </c>
      <c r="V18" s="2731">
        <v>18000000</v>
      </c>
      <c r="W18" s="2729"/>
      <c r="X18" s="2629"/>
      <c r="Y18" s="2409"/>
      <c r="Z18" s="2627"/>
      <c r="AA18" s="2627"/>
      <c r="AB18" s="2627"/>
      <c r="AC18" s="2627"/>
      <c r="AD18" s="2627"/>
      <c r="AE18" s="2627"/>
      <c r="AF18" s="2627"/>
      <c r="AG18" s="2627"/>
      <c r="AH18" s="2627"/>
      <c r="AI18" s="659"/>
      <c r="AJ18" s="659"/>
      <c r="AK18" s="2627"/>
      <c r="AL18" s="2627"/>
      <c r="AM18" s="2627"/>
      <c r="AN18" s="2627"/>
      <c r="AO18" s="2724"/>
      <c r="AP18" s="2724"/>
      <c r="AQ18" s="2726"/>
    </row>
    <row r="19" spans="1:43" s="3" customFormat="1" ht="63" customHeight="1" thickBot="1" x14ac:dyDescent="0.25">
      <c r="A19" s="2761"/>
      <c r="B19" s="2073"/>
      <c r="C19" s="2074"/>
      <c r="D19" s="414"/>
      <c r="E19" s="2084"/>
      <c r="F19" s="2084"/>
      <c r="G19" s="414"/>
      <c r="H19" s="2084"/>
      <c r="I19" s="2084"/>
      <c r="J19" s="2629"/>
      <c r="K19" s="3183"/>
      <c r="L19" s="2630"/>
      <c r="M19" s="2629"/>
      <c r="N19" s="2630"/>
      <c r="O19" s="2630"/>
      <c r="P19" s="2630"/>
      <c r="Q19" s="3190"/>
      <c r="R19" s="3185"/>
      <c r="S19" s="2630"/>
      <c r="T19" s="2630"/>
      <c r="U19" s="2630"/>
      <c r="V19" s="2732"/>
      <c r="W19" s="2729"/>
      <c r="X19" s="2629"/>
      <c r="Y19" s="2409"/>
      <c r="Z19" s="2627"/>
      <c r="AA19" s="2627"/>
      <c r="AB19" s="2627"/>
      <c r="AC19" s="2627"/>
      <c r="AD19" s="2627"/>
      <c r="AE19" s="2627"/>
      <c r="AF19" s="2627"/>
      <c r="AG19" s="2627"/>
      <c r="AH19" s="2627"/>
      <c r="AI19" s="659"/>
      <c r="AJ19" s="659"/>
      <c r="AK19" s="2627"/>
      <c r="AL19" s="2627"/>
      <c r="AM19" s="2627"/>
      <c r="AN19" s="2627"/>
      <c r="AO19" s="2724"/>
      <c r="AP19" s="2724"/>
      <c r="AQ19" s="2726"/>
    </row>
    <row r="20" spans="1:43" ht="27" customHeight="1" thickBot="1" x14ac:dyDescent="0.25">
      <c r="A20" s="660"/>
      <c r="B20" s="661"/>
      <c r="C20" s="661"/>
      <c r="D20" s="661"/>
      <c r="E20" s="661"/>
      <c r="F20" s="661"/>
      <c r="G20" s="661"/>
      <c r="H20" s="661"/>
      <c r="I20" s="661"/>
      <c r="J20" s="661"/>
      <c r="K20" s="455"/>
      <c r="L20" s="452"/>
      <c r="M20" s="452"/>
      <c r="N20" s="452"/>
      <c r="O20" s="662"/>
      <c r="P20" s="455"/>
      <c r="Q20" s="663"/>
      <c r="R20" s="664">
        <f>SUM(R12:R19)</f>
        <v>72000000</v>
      </c>
      <c r="S20" s="455"/>
      <c r="T20" s="455"/>
      <c r="U20" s="466"/>
      <c r="V20" s="664">
        <f>SUM(V12:V19)</f>
        <v>72000000</v>
      </c>
      <c r="W20" s="462"/>
      <c r="X20" s="665"/>
      <c r="Y20" s="661"/>
      <c r="Z20" s="661"/>
      <c r="AA20" s="661"/>
      <c r="AB20" s="661"/>
      <c r="AC20" s="661"/>
      <c r="AD20" s="661"/>
      <c r="AE20" s="661"/>
      <c r="AF20" s="661"/>
      <c r="AG20" s="661"/>
      <c r="AH20" s="661"/>
      <c r="AI20" s="661"/>
      <c r="AJ20" s="661"/>
      <c r="AK20" s="661"/>
      <c r="AL20" s="661"/>
      <c r="AM20" s="661"/>
      <c r="AN20" s="661"/>
      <c r="AO20" s="666"/>
      <c r="AP20" s="667"/>
      <c r="AQ20" s="668"/>
    </row>
    <row r="21" spans="1:43" ht="57" customHeight="1" x14ac:dyDescent="0.2">
      <c r="J21" s="669"/>
      <c r="K21" s="670"/>
    </row>
    <row r="22" spans="1:43" ht="18" customHeight="1" x14ac:dyDescent="0.2">
      <c r="J22" s="26"/>
      <c r="K22" s="677"/>
    </row>
    <row r="23" spans="1:43" ht="18" customHeight="1" x14ac:dyDescent="0.2"/>
  </sheetData>
  <sheetProtection password="CBEB" sheet="1" objects="1" scenarios="1"/>
  <mergeCells count="81">
    <mergeCell ref="V16:V17"/>
    <mergeCell ref="E18:F18"/>
    <mergeCell ref="H18:I18"/>
    <mergeCell ref="U18:U19"/>
    <mergeCell ref="L12:L19"/>
    <mergeCell ref="M12:M19"/>
    <mergeCell ref="N12:N19"/>
    <mergeCell ref="O12:O19"/>
    <mergeCell ref="P12:P19"/>
    <mergeCell ref="Q12:Q19"/>
    <mergeCell ref="E19:F19"/>
    <mergeCell ref="H19:I19"/>
    <mergeCell ref="E13:F13"/>
    <mergeCell ref="H13:I13"/>
    <mergeCell ref="U14:U15"/>
    <mergeCell ref="AQ12:AQ19"/>
    <mergeCell ref="AD12:AD19"/>
    <mergeCell ref="AE12:AE19"/>
    <mergeCell ref="AF12:AF19"/>
    <mergeCell ref="AG12:AG19"/>
    <mergeCell ref="AH12:AH19"/>
    <mergeCell ref="AK12:AK19"/>
    <mergeCell ref="AL12:AL19"/>
    <mergeCell ref="AM12:AM19"/>
    <mergeCell ref="AN12:AN19"/>
    <mergeCell ref="AO12:AO19"/>
    <mergeCell ref="AP12:AP19"/>
    <mergeCell ref="AC12:AC19"/>
    <mergeCell ref="R12:R19"/>
    <mergeCell ref="S12:S19"/>
    <mergeCell ref="T12:T15"/>
    <mergeCell ref="U12:U13"/>
    <mergeCell ref="V12:V13"/>
    <mergeCell ref="W12:W19"/>
    <mergeCell ref="V18:V19"/>
    <mergeCell ref="X12:X19"/>
    <mergeCell ref="Y12:Y19"/>
    <mergeCell ref="Z12:Z19"/>
    <mergeCell ref="AA12:AA19"/>
    <mergeCell ref="AB12:AB19"/>
    <mergeCell ref="V14:V15"/>
    <mergeCell ref="T16:T19"/>
    <mergeCell ref="U16:U17"/>
    <mergeCell ref="AK7:AM7"/>
    <mergeCell ref="P7:P8"/>
    <mergeCell ref="Q7:Q8"/>
    <mergeCell ref="R7:R8"/>
    <mergeCell ref="S7:S8"/>
    <mergeCell ref="T7:T8"/>
    <mergeCell ref="O7:O8"/>
    <mergeCell ref="A10:C19"/>
    <mergeCell ref="E10:AQ10"/>
    <mergeCell ref="H11:AQ11"/>
    <mergeCell ref="J12:J19"/>
    <mergeCell ref="K12:K19"/>
    <mergeCell ref="AN7:AN8"/>
    <mergeCell ref="AO7:AO8"/>
    <mergeCell ref="AP7:AP8"/>
    <mergeCell ref="AQ7:AQ8"/>
    <mergeCell ref="B9:AQ9"/>
    <mergeCell ref="V7:V8"/>
    <mergeCell ref="X7:X8"/>
    <mergeCell ref="Y7:Z7"/>
    <mergeCell ref="AA7:AD7"/>
    <mergeCell ref="AE7:AJ7"/>
    <mergeCell ref="A1:AO4"/>
    <mergeCell ref="A5:M6"/>
    <mergeCell ref="N5:AQ5"/>
    <mergeCell ref="Y6:AM6"/>
    <mergeCell ref="A7:A8"/>
    <mergeCell ref="B7:C8"/>
    <mergeCell ref="D7:D8"/>
    <mergeCell ref="E7:F8"/>
    <mergeCell ref="G7:G8"/>
    <mergeCell ref="H7:I8"/>
    <mergeCell ref="U7:U8"/>
    <mergeCell ref="J7:J8"/>
    <mergeCell ref="K7:K8"/>
    <mergeCell ref="L7:L8"/>
    <mergeCell ref="M7:M8"/>
    <mergeCell ref="N7:N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MI281"/>
  <sheetViews>
    <sheetView showGridLines="0" topLeftCell="S6" zoomScale="70" zoomScaleNormal="70" workbookViewId="0">
      <selection activeCell="U16" sqref="U16"/>
    </sheetView>
  </sheetViews>
  <sheetFormatPr baseColWidth="10" defaultColWidth="11.42578125" defaultRowHeight="15" x14ac:dyDescent="0.2"/>
  <cols>
    <col min="1" max="1" width="11.85546875" style="1243" customWidth="1"/>
    <col min="2" max="3" width="5.42578125" style="1243" customWidth="1"/>
    <col min="4" max="4" width="7.85546875" style="1243" customWidth="1"/>
    <col min="5" max="6" width="4.28515625" style="1243" customWidth="1"/>
    <col min="7" max="7" width="11.140625" style="1243" customWidth="1"/>
    <col min="8" max="8" width="8.5703125" style="1243" customWidth="1"/>
    <col min="9" max="9" width="3" style="1243" customWidth="1"/>
    <col min="10" max="10" width="10.42578125" style="1243" customWidth="1"/>
    <col min="11" max="11" width="41.42578125" style="1452" customWidth="1"/>
    <col min="12" max="12" width="9.5703125" style="1286" customWidth="1"/>
    <col min="13" max="13" width="9.42578125" style="1286" customWidth="1"/>
    <col min="14" max="14" width="34.7109375" style="1453" customWidth="1"/>
    <col min="15" max="15" width="15.5703125" style="1286" customWidth="1"/>
    <col min="16" max="16" width="21.42578125" style="1452" customWidth="1"/>
    <col min="17" max="17" width="13.42578125" style="1454" customWidth="1"/>
    <col min="18" max="18" width="30.28515625" style="1286" customWidth="1"/>
    <col min="19" max="19" width="28.140625" style="1286" customWidth="1"/>
    <col min="20" max="20" width="37.7109375" style="1452" customWidth="1"/>
    <col min="21" max="21" width="43.7109375" style="1455" customWidth="1"/>
    <col min="22" max="22" width="29" style="1455" customWidth="1"/>
    <col min="23" max="23" width="16.140625" style="1454" customWidth="1"/>
    <col min="24" max="24" width="21.7109375" style="1454" customWidth="1"/>
    <col min="25" max="26" width="11.140625" style="1457" customWidth="1"/>
    <col min="27" max="27" width="11.42578125" style="1458" customWidth="1"/>
    <col min="28" max="30" width="11.42578125" style="1457" customWidth="1"/>
    <col min="31" max="31" width="11.140625" style="1457" customWidth="1"/>
    <col min="32" max="32" width="11.140625" style="1459" customWidth="1"/>
    <col min="33" max="33" width="11.140625" style="1457" customWidth="1"/>
    <col min="34" max="34" width="11.140625" style="1458" customWidth="1"/>
    <col min="35" max="36" width="11.140625" style="1457" customWidth="1"/>
    <col min="37" max="40" width="11.140625" style="1458" customWidth="1"/>
    <col min="41" max="41" width="26.28515625" style="1242" customWidth="1"/>
    <col min="42" max="42" width="21.85546875" style="1243" customWidth="1"/>
    <col min="43" max="43" width="22.140625" style="1243" customWidth="1"/>
    <col min="44" max="16384" width="11.42578125" style="1243"/>
  </cols>
  <sheetData>
    <row r="1" spans="1:63" s="485" customFormat="1" ht="19.5" customHeight="1" x14ac:dyDescent="0.2">
      <c r="A1" s="2153" t="s">
        <v>1299</v>
      </c>
      <c r="B1" s="2154"/>
      <c r="C1" s="2154"/>
      <c r="D1" s="2154"/>
      <c r="E1" s="2154"/>
      <c r="F1" s="2154"/>
      <c r="G1" s="2154"/>
      <c r="H1" s="2154"/>
      <c r="I1" s="2154"/>
      <c r="J1" s="2154"/>
      <c r="K1" s="2154"/>
      <c r="L1" s="2154"/>
      <c r="M1" s="2154"/>
      <c r="N1" s="2154"/>
      <c r="O1" s="2154"/>
      <c r="P1" s="2154"/>
      <c r="Q1" s="2154"/>
      <c r="R1" s="2154"/>
      <c r="S1" s="2154"/>
      <c r="T1" s="2154"/>
      <c r="U1" s="2154"/>
      <c r="V1" s="2154"/>
      <c r="W1" s="2154"/>
      <c r="X1" s="2154"/>
      <c r="Y1" s="2154"/>
      <c r="Z1" s="2154"/>
      <c r="AA1" s="2154"/>
      <c r="AB1" s="2154"/>
      <c r="AC1" s="2154"/>
      <c r="AD1" s="2154"/>
      <c r="AE1" s="2154"/>
      <c r="AF1" s="2154"/>
      <c r="AG1" s="2154"/>
      <c r="AH1" s="2154"/>
      <c r="AI1" s="2154"/>
      <c r="AJ1" s="2154"/>
      <c r="AK1" s="2154"/>
      <c r="AL1" s="2154"/>
      <c r="AM1" s="2154"/>
      <c r="AN1" s="2154"/>
      <c r="AO1" s="2155"/>
      <c r="AP1" s="1234" t="s">
        <v>0</v>
      </c>
      <c r="AQ1" s="1235" t="s">
        <v>1</v>
      </c>
      <c r="AR1" s="467"/>
      <c r="AS1" s="467"/>
      <c r="AT1" s="467"/>
      <c r="AU1" s="467"/>
      <c r="AV1" s="467"/>
      <c r="AW1" s="467"/>
      <c r="AX1" s="467"/>
      <c r="AY1" s="467"/>
      <c r="AZ1" s="467"/>
      <c r="BA1" s="467"/>
      <c r="BB1" s="467"/>
      <c r="BC1" s="467"/>
      <c r="BD1" s="467"/>
      <c r="BE1" s="467"/>
      <c r="BF1" s="467"/>
      <c r="BG1" s="467"/>
      <c r="BH1" s="467"/>
      <c r="BI1" s="467"/>
      <c r="BJ1" s="467"/>
      <c r="BK1" s="467"/>
    </row>
    <row r="2" spans="1:63" s="485" customFormat="1" ht="19.5" customHeight="1" x14ac:dyDescent="0.2">
      <c r="A2" s="2156"/>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c r="AC2" s="2124"/>
      <c r="AD2" s="2124"/>
      <c r="AE2" s="2124"/>
      <c r="AF2" s="2124"/>
      <c r="AG2" s="2124"/>
      <c r="AH2" s="2124"/>
      <c r="AI2" s="2124"/>
      <c r="AJ2" s="2124"/>
      <c r="AK2" s="2124"/>
      <c r="AL2" s="2124"/>
      <c r="AM2" s="2124"/>
      <c r="AN2" s="2124"/>
      <c r="AO2" s="2125"/>
      <c r="AP2" s="1236" t="s">
        <v>2</v>
      </c>
      <c r="AQ2" s="1237" t="s">
        <v>3</v>
      </c>
      <c r="AR2" s="467"/>
      <c r="AS2" s="467"/>
      <c r="AT2" s="467"/>
      <c r="AU2" s="467"/>
      <c r="AV2" s="467"/>
      <c r="AW2" s="467"/>
      <c r="AX2" s="467"/>
      <c r="AY2" s="467"/>
      <c r="AZ2" s="467"/>
      <c r="BA2" s="467"/>
      <c r="BB2" s="467"/>
      <c r="BC2" s="467"/>
      <c r="BD2" s="467"/>
      <c r="BE2" s="467"/>
      <c r="BF2" s="467"/>
      <c r="BG2" s="467"/>
      <c r="BH2" s="467"/>
      <c r="BI2" s="467"/>
      <c r="BJ2" s="467"/>
      <c r="BK2" s="467"/>
    </row>
    <row r="3" spans="1:63" s="485" customFormat="1" ht="19.5" customHeight="1" x14ac:dyDescent="0.2">
      <c r="A3" s="2156"/>
      <c r="B3" s="2124"/>
      <c r="C3" s="2124"/>
      <c r="D3" s="2124"/>
      <c r="E3" s="2124"/>
      <c r="F3" s="2124"/>
      <c r="G3" s="2124"/>
      <c r="H3" s="2124"/>
      <c r="I3" s="2124"/>
      <c r="J3" s="2124"/>
      <c r="K3" s="2124"/>
      <c r="L3" s="2124"/>
      <c r="M3" s="2124"/>
      <c r="N3" s="2124"/>
      <c r="O3" s="2124"/>
      <c r="P3" s="2124"/>
      <c r="Q3" s="2124"/>
      <c r="R3" s="2124"/>
      <c r="S3" s="2124"/>
      <c r="T3" s="2124"/>
      <c r="U3" s="2124"/>
      <c r="V3" s="2124"/>
      <c r="W3" s="2124"/>
      <c r="X3" s="2124"/>
      <c r="Y3" s="2124"/>
      <c r="Z3" s="2124"/>
      <c r="AA3" s="2124"/>
      <c r="AB3" s="2124"/>
      <c r="AC3" s="2124"/>
      <c r="AD3" s="2124"/>
      <c r="AE3" s="2124"/>
      <c r="AF3" s="2124"/>
      <c r="AG3" s="2124"/>
      <c r="AH3" s="2124"/>
      <c r="AI3" s="2124"/>
      <c r="AJ3" s="2124"/>
      <c r="AK3" s="2124"/>
      <c r="AL3" s="2124"/>
      <c r="AM3" s="2124"/>
      <c r="AN3" s="2124"/>
      <c r="AO3" s="2125"/>
      <c r="AP3" s="1238" t="s">
        <v>4</v>
      </c>
      <c r="AQ3" s="1239" t="s">
        <v>5</v>
      </c>
      <c r="AR3" s="467"/>
      <c r="AS3" s="467"/>
      <c r="AT3" s="467"/>
      <c r="AU3" s="467"/>
      <c r="AV3" s="467"/>
      <c r="AW3" s="467"/>
      <c r="AX3" s="467"/>
      <c r="AY3" s="467"/>
      <c r="AZ3" s="467"/>
      <c r="BA3" s="467"/>
      <c r="BB3" s="467"/>
      <c r="BC3" s="467"/>
      <c r="BD3" s="467"/>
      <c r="BE3" s="467"/>
      <c r="BF3" s="467"/>
      <c r="BG3" s="467"/>
      <c r="BH3" s="467"/>
      <c r="BI3" s="467"/>
      <c r="BJ3" s="467"/>
      <c r="BK3" s="467"/>
    </row>
    <row r="4" spans="1:63" s="485" customFormat="1" ht="19.5" customHeight="1" x14ac:dyDescent="0.2">
      <c r="A4" s="2157"/>
      <c r="B4" s="2126"/>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7"/>
      <c r="AP4" s="1238" t="s">
        <v>6</v>
      </c>
      <c r="AQ4" s="1240" t="s">
        <v>7</v>
      </c>
      <c r="AR4" s="467"/>
      <c r="AS4" s="467"/>
      <c r="AT4" s="467"/>
      <c r="AU4" s="467"/>
      <c r="AV4" s="467"/>
      <c r="AW4" s="467"/>
      <c r="AX4" s="467"/>
      <c r="AY4" s="467"/>
      <c r="AZ4" s="467"/>
      <c r="BA4" s="467"/>
      <c r="BB4" s="467"/>
      <c r="BC4" s="467"/>
      <c r="BD4" s="467"/>
      <c r="BE4" s="467"/>
      <c r="BF4" s="467"/>
      <c r="BG4" s="467"/>
      <c r="BH4" s="467"/>
      <c r="BI4" s="467"/>
      <c r="BJ4" s="467"/>
      <c r="BK4" s="467"/>
    </row>
    <row r="5" spans="1:63" ht="20.100000000000001" customHeight="1" x14ac:dyDescent="0.2">
      <c r="A5" s="3200" t="s">
        <v>8</v>
      </c>
      <c r="B5" s="3201"/>
      <c r="C5" s="3201"/>
      <c r="D5" s="3201"/>
      <c r="E5" s="3201"/>
      <c r="F5" s="3201"/>
      <c r="G5" s="3201"/>
      <c r="H5" s="3201"/>
      <c r="I5" s="3201"/>
      <c r="J5" s="3201"/>
      <c r="K5" s="3201"/>
      <c r="L5" s="3201"/>
      <c r="M5" s="3201"/>
      <c r="N5" s="1241"/>
      <c r="O5" s="1241"/>
      <c r="P5" s="3204" t="s">
        <v>9</v>
      </c>
      <c r="Q5" s="3204"/>
      <c r="R5" s="3204"/>
      <c r="S5" s="3204"/>
      <c r="T5" s="3204"/>
      <c r="U5" s="3204"/>
      <c r="V5" s="3204"/>
      <c r="W5" s="3204"/>
      <c r="X5" s="3204"/>
      <c r="Y5" s="3204"/>
      <c r="Z5" s="3204"/>
      <c r="AA5" s="3204"/>
      <c r="AB5" s="3204"/>
      <c r="AC5" s="3204"/>
      <c r="AD5" s="3204"/>
      <c r="AE5" s="3204"/>
      <c r="AF5" s="3204"/>
      <c r="AG5" s="3204"/>
      <c r="AH5" s="3204"/>
      <c r="AI5" s="3204"/>
      <c r="AJ5" s="3204"/>
      <c r="AK5" s="3204"/>
      <c r="AL5" s="3204"/>
      <c r="AM5" s="3204"/>
      <c r="AN5" s="3204"/>
      <c r="AO5" s="3204"/>
      <c r="AP5" s="3204"/>
      <c r="AQ5" s="3205"/>
      <c r="AR5" s="1242"/>
      <c r="AS5" s="1242"/>
    </row>
    <row r="6" spans="1:63" ht="23.45" customHeight="1" x14ac:dyDescent="0.2">
      <c r="A6" s="3202"/>
      <c r="B6" s="3203"/>
      <c r="C6" s="3203"/>
      <c r="D6" s="3203"/>
      <c r="E6" s="3203"/>
      <c r="F6" s="3203"/>
      <c r="G6" s="3203"/>
      <c r="H6" s="3203"/>
      <c r="I6" s="3203"/>
      <c r="J6" s="3203"/>
      <c r="K6" s="3203"/>
      <c r="L6" s="3203"/>
      <c r="M6" s="3203"/>
      <c r="N6" s="1244"/>
      <c r="O6" s="1244"/>
      <c r="P6" s="3206"/>
      <c r="Q6" s="3207"/>
      <c r="R6" s="3207"/>
      <c r="S6" s="3207"/>
      <c r="T6" s="3207"/>
      <c r="U6" s="3207"/>
      <c r="V6" s="3207"/>
      <c r="W6" s="3207"/>
      <c r="X6" s="3208"/>
      <c r="Y6" s="3209" t="s">
        <v>10</v>
      </c>
      <c r="Z6" s="3210"/>
      <c r="AA6" s="3210"/>
      <c r="AB6" s="3210"/>
      <c r="AC6" s="3210"/>
      <c r="AD6" s="3210"/>
      <c r="AE6" s="3210"/>
      <c r="AF6" s="3210"/>
      <c r="AG6" s="3210"/>
      <c r="AH6" s="3210"/>
      <c r="AI6" s="3210"/>
      <c r="AJ6" s="3210"/>
      <c r="AK6" s="3210"/>
      <c r="AL6" s="3210"/>
      <c r="AM6" s="3210"/>
      <c r="AN6" s="3211"/>
      <c r="AO6" s="3206"/>
      <c r="AP6" s="3207"/>
      <c r="AQ6" s="3212"/>
      <c r="AR6" s="1242"/>
      <c r="AS6" s="1242"/>
    </row>
    <row r="7" spans="1:63" ht="30" customHeight="1" x14ac:dyDescent="0.2">
      <c r="A7" s="3191" t="s">
        <v>11</v>
      </c>
      <c r="B7" s="3194" t="s">
        <v>12</v>
      </c>
      <c r="C7" s="3195"/>
      <c r="D7" s="3195" t="s">
        <v>11</v>
      </c>
      <c r="E7" s="3194" t="s">
        <v>13</v>
      </c>
      <c r="F7" s="3195"/>
      <c r="G7" s="3195" t="s">
        <v>11</v>
      </c>
      <c r="H7" s="3194" t="s">
        <v>14</v>
      </c>
      <c r="I7" s="3195"/>
      <c r="J7" s="3195" t="s">
        <v>11</v>
      </c>
      <c r="K7" s="3216" t="s">
        <v>15</v>
      </c>
      <c r="L7" s="3213" t="s">
        <v>16</v>
      </c>
      <c r="M7" s="3213" t="s">
        <v>17</v>
      </c>
      <c r="N7" s="3213" t="s">
        <v>18</v>
      </c>
      <c r="O7" s="3195" t="s">
        <v>344</v>
      </c>
      <c r="P7" s="3213" t="s">
        <v>9</v>
      </c>
      <c r="Q7" s="3213" t="s">
        <v>20</v>
      </c>
      <c r="R7" s="3194" t="s">
        <v>21</v>
      </c>
      <c r="S7" s="3194" t="s">
        <v>22</v>
      </c>
      <c r="T7" s="3194" t="s">
        <v>23</v>
      </c>
      <c r="U7" s="3213" t="s">
        <v>24</v>
      </c>
      <c r="V7" s="3213" t="s">
        <v>21</v>
      </c>
      <c r="W7" s="3213" t="s">
        <v>11</v>
      </c>
      <c r="X7" s="3229" t="s">
        <v>25</v>
      </c>
      <c r="Y7" s="3230" t="s">
        <v>26</v>
      </c>
      <c r="Z7" s="3231"/>
      <c r="AA7" s="3232" t="s">
        <v>27</v>
      </c>
      <c r="AB7" s="3233"/>
      <c r="AC7" s="3233"/>
      <c r="AD7" s="3233"/>
      <c r="AE7" s="3234" t="s">
        <v>28</v>
      </c>
      <c r="AF7" s="3234"/>
      <c r="AG7" s="3234"/>
      <c r="AH7" s="3234"/>
      <c r="AI7" s="3234"/>
      <c r="AJ7" s="3234"/>
      <c r="AK7" s="3233" t="s">
        <v>29</v>
      </c>
      <c r="AL7" s="3233"/>
      <c r="AM7" s="3233"/>
      <c r="AN7" s="3238" t="s">
        <v>30</v>
      </c>
      <c r="AO7" s="3219" t="s">
        <v>31</v>
      </c>
      <c r="AP7" s="3219" t="s">
        <v>32</v>
      </c>
      <c r="AQ7" s="3222" t="s">
        <v>33</v>
      </c>
      <c r="AR7" s="1242"/>
      <c r="AS7" s="1242"/>
    </row>
    <row r="8" spans="1:63" ht="28.5" customHeight="1" x14ac:dyDescent="0.2">
      <c r="A8" s="3192"/>
      <c r="B8" s="3196"/>
      <c r="C8" s="3197"/>
      <c r="D8" s="3197"/>
      <c r="E8" s="3196"/>
      <c r="F8" s="3197"/>
      <c r="G8" s="3197"/>
      <c r="H8" s="3196"/>
      <c r="I8" s="3197"/>
      <c r="J8" s="3197"/>
      <c r="K8" s="3217"/>
      <c r="L8" s="3214"/>
      <c r="M8" s="3214"/>
      <c r="N8" s="3214"/>
      <c r="O8" s="3197"/>
      <c r="P8" s="3214"/>
      <c r="Q8" s="3214"/>
      <c r="R8" s="3196"/>
      <c r="S8" s="3196"/>
      <c r="T8" s="3196"/>
      <c r="U8" s="3214"/>
      <c r="V8" s="3214"/>
      <c r="W8" s="3214"/>
      <c r="X8" s="3229"/>
      <c r="Y8" s="3223" t="s">
        <v>1300</v>
      </c>
      <c r="Z8" s="3223" t="s">
        <v>35</v>
      </c>
      <c r="AA8" s="3226" t="s">
        <v>1301</v>
      </c>
      <c r="AB8" s="3226" t="s">
        <v>1302</v>
      </c>
      <c r="AC8" s="3226" t="s">
        <v>1303</v>
      </c>
      <c r="AD8" s="3226" t="s">
        <v>1304</v>
      </c>
      <c r="AE8" s="3226" t="s">
        <v>1305</v>
      </c>
      <c r="AF8" s="3235" t="s">
        <v>1306</v>
      </c>
      <c r="AG8" s="3226" t="s">
        <v>1307</v>
      </c>
      <c r="AH8" s="3226" t="s">
        <v>1308</v>
      </c>
      <c r="AI8" s="3226" t="s">
        <v>1309</v>
      </c>
      <c r="AJ8" s="3226" t="s">
        <v>1310</v>
      </c>
      <c r="AK8" s="3226" t="s">
        <v>1311</v>
      </c>
      <c r="AL8" s="3235" t="s">
        <v>1312</v>
      </c>
      <c r="AM8" s="3226" t="s">
        <v>1313</v>
      </c>
      <c r="AN8" s="3239"/>
      <c r="AO8" s="3220"/>
      <c r="AP8" s="3220"/>
      <c r="AQ8" s="3222"/>
      <c r="AR8" s="1242"/>
      <c r="AS8" s="1242"/>
    </row>
    <row r="9" spans="1:63" ht="28.5" customHeight="1" x14ac:dyDescent="0.2">
      <c r="A9" s="3192"/>
      <c r="B9" s="3196"/>
      <c r="C9" s="3197"/>
      <c r="D9" s="3197"/>
      <c r="E9" s="3196"/>
      <c r="F9" s="3197"/>
      <c r="G9" s="3197"/>
      <c r="H9" s="3196"/>
      <c r="I9" s="3197"/>
      <c r="J9" s="3197"/>
      <c r="K9" s="3217"/>
      <c r="L9" s="3214"/>
      <c r="M9" s="3214"/>
      <c r="N9" s="3214"/>
      <c r="O9" s="3197"/>
      <c r="P9" s="3214"/>
      <c r="Q9" s="3214"/>
      <c r="R9" s="3196"/>
      <c r="S9" s="3196"/>
      <c r="T9" s="3196"/>
      <c r="U9" s="3214"/>
      <c r="V9" s="3214"/>
      <c r="W9" s="3214"/>
      <c r="X9" s="3229"/>
      <c r="Y9" s="3224"/>
      <c r="Z9" s="3224"/>
      <c r="AA9" s="3227"/>
      <c r="AB9" s="3227"/>
      <c r="AC9" s="3227"/>
      <c r="AD9" s="3227"/>
      <c r="AE9" s="3227"/>
      <c r="AF9" s="3236"/>
      <c r="AG9" s="3227"/>
      <c r="AH9" s="3227"/>
      <c r="AI9" s="3227"/>
      <c r="AJ9" s="3227"/>
      <c r="AK9" s="3227"/>
      <c r="AL9" s="3236"/>
      <c r="AM9" s="3227"/>
      <c r="AN9" s="3239"/>
      <c r="AO9" s="3220"/>
      <c r="AP9" s="3220"/>
      <c r="AQ9" s="3222"/>
      <c r="AR9" s="1242"/>
      <c r="AS9" s="1242"/>
    </row>
    <row r="10" spans="1:63" ht="28.5" customHeight="1" x14ac:dyDescent="0.2">
      <c r="A10" s="3192"/>
      <c r="B10" s="3196"/>
      <c r="C10" s="3197"/>
      <c r="D10" s="3197"/>
      <c r="E10" s="3196"/>
      <c r="F10" s="3197"/>
      <c r="G10" s="3197"/>
      <c r="H10" s="3196"/>
      <c r="I10" s="3197"/>
      <c r="J10" s="3197"/>
      <c r="K10" s="3217"/>
      <c r="L10" s="3214"/>
      <c r="M10" s="3214"/>
      <c r="N10" s="3214"/>
      <c r="O10" s="3197"/>
      <c r="P10" s="3214"/>
      <c r="Q10" s="3214"/>
      <c r="R10" s="3196"/>
      <c r="S10" s="3196"/>
      <c r="T10" s="3196"/>
      <c r="U10" s="3214"/>
      <c r="V10" s="3214"/>
      <c r="W10" s="3214"/>
      <c r="X10" s="3229"/>
      <c r="Y10" s="3224"/>
      <c r="Z10" s="3224"/>
      <c r="AA10" s="3227"/>
      <c r="AB10" s="3227"/>
      <c r="AC10" s="3227"/>
      <c r="AD10" s="3227"/>
      <c r="AE10" s="3227"/>
      <c r="AF10" s="3236"/>
      <c r="AG10" s="3227"/>
      <c r="AH10" s="3227"/>
      <c r="AI10" s="3227"/>
      <c r="AJ10" s="3227"/>
      <c r="AK10" s="3227"/>
      <c r="AL10" s="3236"/>
      <c r="AM10" s="3227"/>
      <c r="AN10" s="3239"/>
      <c r="AO10" s="3220"/>
      <c r="AP10" s="3220"/>
      <c r="AQ10" s="3222"/>
      <c r="AR10" s="1242"/>
      <c r="AS10" s="1242"/>
    </row>
    <row r="11" spans="1:63" ht="28.5" customHeight="1" x14ac:dyDescent="0.2">
      <c r="A11" s="3192"/>
      <c r="B11" s="3196"/>
      <c r="C11" s="3197"/>
      <c r="D11" s="3197"/>
      <c r="E11" s="3196"/>
      <c r="F11" s="3197"/>
      <c r="G11" s="3197"/>
      <c r="H11" s="3196"/>
      <c r="I11" s="3197"/>
      <c r="J11" s="3197"/>
      <c r="K11" s="3217"/>
      <c r="L11" s="3214"/>
      <c r="M11" s="3214"/>
      <c r="N11" s="3214"/>
      <c r="O11" s="3197"/>
      <c r="P11" s="3214"/>
      <c r="Q11" s="3214"/>
      <c r="R11" s="3196"/>
      <c r="S11" s="3196"/>
      <c r="T11" s="3196"/>
      <c r="U11" s="3214"/>
      <c r="V11" s="3214"/>
      <c r="W11" s="3214"/>
      <c r="X11" s="3229"/>
      <c r="Y11" s="3224"/>
      <c r="Z11" s="3224"/>
      <c r="AA11" s="3227"/>
      <c r="AB11" s="3227"/>
      <c r="AC11" s="3227"/>
      <c r="AD11" s="3227"/>
      <c r="AE11" s="3227"/>
      <c r="AF11" s="3236"/>
      <c r="AG11" s="3227"/>
      <c r="AH11" s="3227"/>
      <c r="AI11" s="3227"/>
      <c r="AJ11" s="3227"/>
      <c r="AK11" s="3227"/>
      <c r="AL11" s="3236"/>
      <c r="AM11" s="3227"/>
      <c r="AN11" s="3239"/>
      <c r="AO11" s="3220"/>
      <c r="AP11" s="3220"/>
      <c r="AQ11" s="3222"/>
      <c r="AR11" s="1242"/>
      <c r="AS11" s="1242"/>
    </row>
    <row r="12" spans="1:63" ht="28.5" customHeight="1" x14ac:dyDescent="0.2">
      <c r="A12" s="3192"/>
      <c r="B12" s="3196"/>
      <c r="C12" s="3197"/>
      <c r="D12" s="3197"/>
      <c r="E12" s="3196"/>
      <c r="F12" s="3197"/>
      <c r="G12" s="3197"/>
      <c r="H12" s="3196"/>
      <c r="I12" s="3197"/>
      <c r="J12" s="3197"/>
      <c r="K12" s="3217"/>
      <c r="L12" s="3214"/>
      <c r="M12" s="3214"/>
      <c r="N12" s="3214"/>
      <c r="O12" s="3197"/>
      <c r="P12" s="3214"/>
      <c r="Q12" s="3214"/>
      <c r="R12" s="3196"/>
      <c r="S12" s="3196"/>
      <c r="T12" s="3196"/>
      <c r="U12" s="3214"/>
      <c r="V12" s="3214"/>
      <c r="W12" s="3214"/>
      <c r="X12" s="3229"/>
      <c r="Y12" s="3224"/>
      <c r="Z12" s="3224"/>
      <c r="AA12" s="3227"/>
      <c r="AB12" s="3227"/>
      <c r="AC12" s="3227"/>
      <c r="AD12" s="3227"/>
      <c r="AE12" s="3227"/>
      <c r="AF12" s="3236"/>
      <c r="AG12" s="3227"/>
      <c r="AH12" s="3227"/>
      <c r="AI12" s="3227"/>
      <c r="AJ12" s="3227"/>
      <c r="AK12" s="3227"/>
      <c r="AL12" s="3236"/>
      <c r="AM12" s="3227"/>
      <c r="AN12" s="3239"/>
      <c r="AO12" s="3220"/>
      <c r="AP12" s="3220"/>
      <c r="AQ12" s="3222"/>
      <c r="AR12" s="1242"/>
      <c r="AS12" s="1242"/>
    </row>
    <row r="13" spans="1:63" ht="28.5" customHeight="1" x14ac:dyDescent="0.2">
      <c r="A13" s="3193"/>
      <c r="B13" s="3198"/>
      <c r="C13" s="3199"/>
      <c r="D13" s="3199"/>
      <c r="E13" s="3198"/>
      <c r="F13" s="3199"/>
      <c r="G13" s="3199"/>
      <c r="H13" s="3198"/>
      <c r="I13" s="3199"/>
      <c r="J13" s="3199"/>
      <c r="K13" s="3218"/>
      <c r="L13" s="3215"/>
      <c r="M13" s="3215"/>
      <c r="N13" s="3215"/>
      <c r="O13" s="3199"/>
      <c r="P13" s="3215"/>
      <c r="Q13" s="3215"/>
      <c r="R13" s="3198"/>
      <c r="S13" s="3198"/>
      <c r="T13" s="3198"/>
      <c r="U13" s="3215"/>
      <c r="V13" s="3215"/>
      <c r="W13" s="3215"/>
      <c r="X13" s="3229"/>
      <c r="Y13" s="3225"/>
      <c r="Z13" s="3225"/>
      <c r="AA13" s="3228"/>
      <c r="AB13" s="3228"/>
      <c r="AC13" s="3228"/>
      <c r="AD13" s="3228"/>
      <c r="AE13" s="3228"/>
      <c r="AF13" s="3237"/>
      <c r="AG13" s="3228"/>
      <c r="AH13" s="3228"/>
      <c r="AI13" s="3228"/>
      <c r="AJ13" s="3228"/>
      <c r="AK13" s="3228"/>
      <c r="AL13" s="3237"/>
      <c r="AM13" s="3228"/>
      <c r="AN13" s="3240"/>
      <c r="AO13" s="3221"/>
      <c r="AP13" s="3221"/>
      <c r="AQ13" s="3222"/>
      <c r="AR13" s="1242"/>
      <c r="AS13" s="1242"/>
    </row>
    <row r="14" spans="1:63" s="1254" customFormat="1" ht="27.75" customHeight="1" x14ac:dyDescent="0.2">
      <c r="A14" s="1245">
        <v>3</v>
      </c>
      <c r="B14" s="1246" t="s">
        <v>1314</v>
      </c>
      <c r="C14" s="1246"/>
      <c r="D14" s="1246"/>
      <c r="E14" s="1246"/>
      <c r="F14" s="1246"/>
      <c r="G14" s="1246"/>
      <c r="H14" s="1246"/>
      <c r="I14" s="1246"/>
      <c r="J14" s="1246"/>
      <c r="K14" s="1247"/>
      <c r="L14" s="1246"/>
      <c r="M14" s="1246"/>
      <c r="N14" s="1248"/>
      <c r="O14" s="1246"/>
      <c r="P14" s="1247"/>
      <c r="Q14" s="1246"/>
      <c r="R14" s="1246"/>
      <c r="S14" s="1246"/>
      <c r="T14" s="1247"/>
      <c r="U14" s="1247"/>
      <c r="V14" s="1249"/>
      <c r="W14" s="1248"/>
      <c r="X14" s="1248"/>
      <c r="Y14" s="1250"/>
      <c r="Z14" s="1250"/>
      <c r="AA14" s="1251"/>
      <c r="AB14" s="1250"/>
      <c r="AC14" s="1250"/>
      <c r="AD14" s="1250"/>
      <c r="AE14" s="1250"/>
      <c r="AF14" s="1252"/>
      <c r="AG14" s="1250"/>
      <c r="AH14" s="1251"/>
      <c r="AI14" s="1250"/>
      <c r="AJ14" s="1250"/>
      <c r="AK14" s="1251"/>
      <c r="AL14" s="1251"/>
      <c r="AM14" s="1251"/>
      <c r="AN14" s="1251"/>
      <c r="AO14" s="1246"/>
      <c r="AP14" s="1246"/>
      <c r="AQ14" s="1253"/>
    </row>
    <row r="15" spans="1:63" s="1254" customFormat="1" ht="24.75" customHeight="1" x14ac:dyDescent="0.2">
      <c r="A15" s="3241"/>
      <c r="B15" s="3242"/>
      <c r="C15" s="3243"/>
      <c r="D15" s="1255">
        <v>11</v>
      </c>
      <c r="E15" s="1256" t="s">
        <v>1315</v>
      </c>
      <c r="F15" s="1256"/>
      <c r="G15" s="1257"/>
      <c r="H15" s="1257"/>
      <c r="I15" s="1257"/>
      <c r="J15" s="1257"/>
      <c r="K15" s="1258"/>
      <c r="L15" s="1257"/>
      <c r="M15" s="1257"/>
      <c r="N15" s="1259"/>
      <c r="O15" s="1257"/>
      <c r="P15" s="1258"/>
      <c r="Q15" s="1257"/>
      <c r="R15" s="1257"/>
      <c r="S15" s="1257"/>
      <c r="T15" s="1258"/>
      <c r="U15" s="1258"/>
      <c r="V15" s="1260"/>
      <c r="W15" s="1259"/>
      <c r="X15" s="1259"/>
      <c r="Y15" s="1261"/>
      <c r="Z15" s="1261"/>
      <c r="AA15" s="1262"/>
      <c r="AB15" s="1261"/>
      <c r="AC15" s="1261"/>
      <c r="AD15" s="1261"/>
      <c r="AE15" s="1261"/>
      <c r="AF15" s="1263"/>
      <c r="AG15" s="1261"/>
      <c r="AH15" s="1262"/>
      <c r="AI15" s="1261"/>
      <c r="AJ15" s="1261"/>
      <c r="AK15" s="1262"/>
      <c r="AL15" s="1262"/>
      <c r="AM15" s="1262"/>
      <c r="AN15" s="1262"/>
      <c r="AO15" s="1257"/>
      <c r="AP15" s="1257"/>
      <c r="AQ15" s="1264"/>
    </row>
    <row r="16" spans="1:63" s="1254" customFormat="1" ht="27.75" customHeight="1" x14ac:dyDescent="0.2">
      <c r="A16" s="1265"/>
      <c r="B16" s="1266"/>
      <c r="C16" s="1267"/>
      <c r="D16" s="1268"/>
      <c r="E16" s="1268"/>
      <c r="F16" s="1269"/>
      <c r="G16" s="1270">
        <v>35</v>
      </c>
      <c r="H16" s="1271" t="s">
        <v>1316</v>
      </c>
      <c r="I16" s="1271"/>
      <c r="J16" s="1271"/>
      <c r="K16" s="1272"/>
      <c r="L16" s="1271"/>
      <c r="M16" s="1271"/>
      <c r="N16" s="1273"/>
      <c r="O16" s="1271"/>
      <c r="P16" s="1272"/>
      <c r="Q16" s="1271"/>
      <c r="R16" s="1271"/>
      <c r="S16" s="1271"/>
      <c r="T16" s="1272"/>
      <c r="U16" s="1272"/>
      <c r="V16" s="1274"/>
      <c r="W16" s="1273"/>
      <c r="X16" s="1273"/>
      <c r="Y16" s="1275"/>
      <c r="Z16" s="1275"/>
      <c r="AA16" s="1276"/>
      <c r="AB16" s="1275"/>
      <c r="AC16" s="1275"/>
      <c r="AD16" s="1275"/>
      <c r="AE16" s="1275"/>
      <c r="AF16" s="1277"/>
      <c r="AG16" s="1275"/>
      <c r="AH16" s="1276"/>
      <c r="AI16" s="1275"/>
      <c r="AJ16" s="1275"/>
      <c r="AK16" s="1276"/>
      <c r="AL16" s="1276"/>
      <c r="AM16" s="1276"/>
      <c r="AN16" s="1276"/>
      <c r="AO16" s="1271"/>
      <c r="AP16" s="1271"/>
      <c r="AQ16" s="1278"/>
    </row>
    <row r="17" spans="1:43" s="1286" customFormat="1" ht="80.25" customHeight="1" x14ac:dyDescent="0.2">
      <c r="A17" s="1279"/>
      <c r="B17" s="1280"/>
      <c r="C17" s="1281"/>
      <c r="D17" s="1280"/>
      <c r="E17" s="1280"/>
      <c r="F17" s="1281"/>
      <c r="G17" s="1282"/>
      <c r="H17" s="1283"/>
      <c r="I17" s="1284"/>
      <c r="J17" s="3244">
        <v>127</v>
      </c>
      <c r="K17" s="3247" t="s">
        <v>1317</v>
      </c>
      <c r="L17" s="3244" t="s">
        <v>1318</v>
      </c>
      <c r="M17" s="3244">
        <v>1</v>
      </c>
      <c r="N17" s="3244" t="s">
        <v>1319</v>
      </c>
      <c r="O17" s="3244">
        <v>132</v>
      </c>
      <c r="P17" s="3247" t="s">
        <v>1320</v>
      </c>
      <c r="Q17" s="2622">
        <f>+(V17+V18+V19+V20+V21+V22)/R17</f>
        <v>0.50625953193403628</v>
      </c>
      <c r="R17" s="3256">
        <f>SUM(V17:V33)</f>
        <v>182282000</v>
      </c>
      <c r="S17" s="3247" t="s">
        <v>1321</v>
      </c>
      <c r="T17" s="3259" t="s">
        <v>1322</v>
      </c>
      <c r="U17" s="1285" t="s">
        <v>1323</v>
      </c>
      <c r="V17" s="265">
        <v>61282000</v>
      </c>
      <c r="W17" s="3272">
        <v>61</v>
      </c>
      <c r="X17" s="3244" t="s">
        <v>1324</v>
      </c>
      <c r="Y17" s="3244" t="s">
        <v>1325</v>
      </c>
      <c r="Z17" s="3244" t="s">
        <v>1325</v>
      </c>
      <c r="AA17" s="3250">
        <v>64149</v>
      </c>
      <c r="AB17" s="3253" t="s">
        <v>1325</v>
      </c>
      <c r="AC17" s="3269" t="s">
        <v>1325</v>
      </c>
      <c r="AD17" s="3253" t="s">
        <v>1325</v>
      </c>
      <c r="AE17" s="3253" t="s">
        <v>1325</v>
      </c>
      <c r="AF17" s="3253" t="s">
        <v>1325</v>
      </c>
      <c r="AG17" s="3253" t="s">
        <v>1325</v>
      </c>
      <c r="AH17" s="3253" t="s">
        <v>1325</v>
      </c>
      <c r="AI17" s="3253" t="s">
        <v>1325</v>
      </c>
      <c r="AJ17" s="3269" t="s">
        <v>1325</v>
      </c>
      <c r="AK17" s="3253" t="s">
        <v>1325</v>
      </c>
      <c r="AL17" s="3253" t="s">
        <v>1325</v>
      </c>
      <c r="AM17" s="3269" t="s">
        <v>1325</v>
      </c>
      <c r="AN17" s="3269" t="s">
        <v>1325</v>
      </c>
      <c r="AO17" s="3262">
        <v>43101</v>
      </c>
      <c r="AP17" s="3262">
        <v>43465</v>
      </c>
      <c r="AQ17" s="3265" t="s">
        <v>1326</v>
      </c>
    </row>
    <row r="18" spans="1:43" s="1286" customFormat="1" ht="102" customHeight="1" x14ac:dyDescent="0.2">
      <c r="A18" s="1279"/>
      <c r="B18" s="1280"/>
      <c r="C18" s="1281"/>
      <c r="D18" s="1280"/>
      <c r="E18" s="1280"/>
      <c r="F18" s="1281"/>
      <c r="G18" s="1287"/>
      <c r="H18" s="1280"/>
      <c r="I18" s="1281"/>
      <c r="J18" s="3245"/>
      <c r="K18" s="3248"/>
      <c r="L18" s="3245"/>
      <c r="M18" s="3245"/>
      <c r="N18" s="3245"/>
      <c r="O18" s="3245"/>
      <c r="P18" s="3248"/>
      <c r="Q18" s="2623"/>
      <c r="R18" s="3257"/>
      <c r="S18" s="3248"/>
      <c r="T18" s="3260"/>
      <c r="U18" s="1285" t="s">
        <v>1327</v>
      </c>
      <c r="V18" s="265">
        <v>5000000</v>
      </c>
      <c r="W18" s="3273"/>
      <c r="X18" s="3245"/>
      <c r="Y18" s="3245"/>
      <c r="Z18" s="3245"/>
      <c r="AA18" s="3251"/>
      <c r="AB18" s="3254"/>
      <c r="AC18" s="3270"/>
      <c r="AD18" s="3254"/>
      <c r="AE18" s="3254"/>
      <c r="AF18" s="3254"/>
      <c r="AG18" s="3254"/>
      <c r="AH18" s="3254"/>
      <c r="AI18" s="3254"/>
      <c r="AJ18" s="3270"/>
      <c r="AK18" s="3254"/>
      <c r="AL18" s="3254"/>
      <c r="AM18" s="3270"/>
      <c r="AN18" s="3270"/>
      <c r="AO18" s="3263"/>
      <c r="AP18" s="3263"/>
      <c r="AQ18" s="3266"/>
    </row>
    <row r="19" spans="1:43" s="1286" customFormat="1" ht="66" customHeight="1" x14ac:dyDescent="0.2">
      <c r="A19" s="1279"/>
      <c r="B19" s="1280"/>
      <c r="C19" s="1281"/>
      <c r="D19" s="1280"/>
      <c r="E19" s="1280"/>
      <c r="F19" s="1281"/>
      <c r="G19" s="1287"/>
      <c r="H19" s="1280"/>
      <c r="I19" s="1281"/>
      <c r="J19" s="3245"/>
      <c r="K19" s="3248"/>
      <c r="L19" s="3245"/>
      <c r="M19" s="3245"/>
      <c r="N19" s="3245"/>
      <c r="O19" s="3245"/>
      <c r="P19" s="3248"/>
      <c r="Q19" s="2623"/>
      <c r="R19" s="3257"/>
      <c r="S19" s="3248"/>
      <c r="T19" s="3260"/>
      <c r="U19" s="1285" t="s">
        <v>1328</v>
      </c>
      <c r="V19" s="265">
        <v>5000000</v>
      </c>
      <c r="W19" s="3273"/>
      <c r="X19" s="3245"/>
      <c r="Y19" s="3245"/>
      <c r="Z19" s="3245"/>
      <c r="AA19" s="3251"/>
      <c r="AB19" s="3254"/>
      <c r="AC19" s="3270"/>
      <c r="AD19" s="3254"/>
      <c r="AE19" s="3254"/>
      <c r="AF19" s="3254"/>
      <c r="AG19" s="3254"/>
      <c r="AH19" s="3254"/>
      <c r="AI19" s="3254"/>
      <c r="AJ19" s="3270"/>
      <c r="AK19" s="3254"/>
      <c r="AL19" s="3254"/>
      <c r="AM19" s="3270"/>
      <c r="AN19" s="3270"/>
      <c r="AO19" s="3263"/>
      <c r="AP19" s="3263"/>
      <c r="AQ19" s="3266"/>
    </row>
    <row r="20" spans="1:43" s="1286" customFormat="1" ht="78" customHeight="1" x14ac:dyDescent="0.2">
      <c r="A20" s="1279"/>
      <c r="B20" s="1280"/>
      <c r="C20" s="1281"/>
      <c r="D20" s="1280"/>
      <c r="E20" s="1280"/>
      <c r="F20" s="1281"/>
      <c r="G20" s="1287"/>
      <c r="H20" s="1280"/>
      <c r="I20" s="1281"/>
      <c r="J20" s="3245"/>
      <c r="K20" s="3248"/>
      <c r="L20" s="3245"/>
      <c r="M20" s="3245"/>
      <c r="N20" s="3245"/>
      <c r="O20" s="3245"/>
      <c r="P20" s="3248"/>
      <c r="Q20" s="2623"/>
      <c r="R20" s="3257"/>
      <c r="S20" s="3248"/>
      <c r="T20" s="3260"/>
      <c r="U20" s="1285" t="s">
        <v>1329</v>
      </c>
      <c r="V20" s="265">
        <v>1000000</v>
      </c>
      <c r="W20" s="3273"/>
      <c r="X20" s="3245"/>
      <c r="Y20" s="3245"/>
      <c r="Z20" s="3245"/>
      <c r="AA20" s="3251"/>
      <c r="AB20" s="3254"/>
      <c r="AC20" s="3270"/>
      <c r="AD20" s="3254"/>
      <c r="AE20" s="3254"/>
      <c r="AF20" s="3254"/>
      <c r="AG20" s="3254"/>
      <c r="AH20" s="3254"/>
      <c r="AI20" s="3254"/>
      <c r="AJ20" s="3270"/>
      <c r="AK20" s="3254"/>
      <c r="AL20" s="3254"/>
      <c r="AM20" s="3270"/>
      <c r="AN20" s="3270"/>
      <c r="AO20" s="3263"/>
      <c r="AP20" s="3263"/>
      <c r="AQ20" s="3266"/>
    </row>
    <row r="21" spans="1:43" s="1286" customFormat="1" ht="108" customHeight="1" x14ac:dyDescent="0.2">
      <c r="A21" s="1279"/>
      <c r="B21" s="1280"/>
      <c r="C21" s="1281"/>
      <c r="D21" s="1280"/>
      <c r="E21" s="1280"/>
      <c r="F21" s="1281"/>
      <c r="G21" s="1287"/>
      <c r="H21" s="1280"/>
      <c r="I21" s="1281"/>
      <c r="J21" s="3245"/>
      <c r="K21" s="3248"/>
      <c r="L21" s="3245"/>
      <c r="M21" s="3245"/>
      <c r="N21" s="3245"/>
      <c r="O21" s="3245"/>
      <c r="P21" s="3248"/>
      <c r="Q21" s="2623"/>
      <c r="R21" s="3257"/>
      <c r="S21" s="3248"/>
      <c r="T21" s="3260"/>
      <c r="U21" s="1285" t="s">
        <v>1330</v>
      </c>
      <c r="V21" s="265">
        <v>10000000</v>
      </c>
      <c r="W21" s="3273"/>
      <c r="X21" s="3245"/>
      <c r="Y21" s="3245"/>
      <c r="Z21" s="3245"/>
      <c r="AA21" s="3251"/>
      <c r="AB21" s="3254"/>
      <c r="AC21" s="3270"/>
      <c r="AD21" s="3254"/>
      <c r="AE21" s="3254"/>
      <c r="AF21" s="3254"/>
      <c r="AG21" s="3254"/>
      <c r="AH21" s="3254"/>
      <c r="AI21" s="3254"/>
      <c r="AJ21" s="3270"/>
      <c r="AK21" s="3254"/>
      <c r="AL21" s="3254"/>
      <c r="AM21" s="3270"/>
      <c r="AN21" s="3270"/>
      <c r="AO21" s="3263"/>
      <c r="AP21" s="3263"/>
      <c r="AQ21" s="3266"/>
    </row>
    <row r="22" spans="1:43" s="1286" customFormat="1" ht="81" customHeight="1" x14ac:dyDescent="0.2">
      <c r="A22" s="1279"/>
      <c r="B22" s="1280"/>
      <c r="C22" s="1281"/>
      <c r="D22" s="1280"/>
      <c r="E22" s="1280"/>
      <c r="F22" s="1281"/>
      <c r="G22" s="1287"/>
      <c r="H22" s="1280"/>
      <c r="I22" s="1281"/>
      <c r="J22" s="3246"/>
      <c r="K22" s="3249"/>
      <c r="L22" s="3246"/>
      <c r="M22" s="3246"/>
      <c r="N22" s="3245"/>
      <c r="O22" s="3245"/>
      <c r="P22" s="3248"/>
      <c r="Q22" s="2651"/>
      <c r="R22" s="3257"/>
      <c r="S22" s="3248"/>
      <c r="T22" s="3261"/>
      <c r="U22" s="1285" t="s">
        <v>1331</v>
      </c>
      <c r="V22" s="265">
        <v>10000000</v>
      </c>
      <c r="W22" s="3273"/>
      <c r="X22" s="3245"/>
      <c r="Y22" s="3245"/>
      <c r="Z22" s="3245"/>
      <c r="AA22" s="3251"/>
      <c r="AB22" s="3254"/>
      <c r="AC22" s="3270"/>
      <c r="AD22" s="3254"/>
      <c r="AE22" s="3254"/>
      <c r="AF22" s="3254"/>
      <c r="AG22" s="3254"/>
      <c r="AH22" s="3254"/>
      <c r="AI22" s="3254"/>
      <c r="AJ22" s="3270"/>
      <c r="AK22" s="3254"/>
      <c r="AL22" s="3254"/>
      <c r="AM22" s="3270"/>
      <c r="AN22" s="3270"/>
      <c r="AO22" s="3263"/>
      <c r="AP22" s="3263"/>
      <c r="AQ22" s="3266"/>
    </row>
    <row r="23" spans="1:43" s="1286" customFormat="1" ht="88.5" customHeight="1" x14ac:dyDescent="0.2">
      <c r="A23" s="1279"/>
      <c r="B23" s="1280"/>
      <c r="C23" s="1281"/>
      <c r="D23" s="1280"/>
      <c r="E23" s="1280"/>
      <c r="F23" s="1281"/>
      <c r="G23" s="1287"/>
      <c r="H23" s="1280"/>
      <c r="I23" s="1281"/>
      <c r="J23" s="3244">
        <v>128</v>
      </c>
      <c r="K23" s="3247" t="s">
        <v>1332</v>
      </c>
      <c r="L23" s="3244" t="s">
        <v>1318</v>
      </c>
      <c r="M23" s="3244">
        <v>1</v>
      </c>
      <c r="N23" s="3245"/>
      <c r="O23" s="3245"/>
      <c r="P23" s="3248"/>
      <c r="Q23" s="2622">
        <f>+(V23+V24+V25+V26+V27)/R17</f>
        <v>0.20298219242711843</v>
      </c>
      <c r="R23" s="3257"/>
      <c r="S23" s="3248"/>
      <c r="T23" s="3247" t="s">
        <v>1333</v>
      </c>
      <c r="U23" s="1288" t="s">
        <v>1334</v>
      </c>
      <c r="V23" s="261">
        <v>7400000</v>
      </c>
      <c r="W23" s="3273"/>
      <c r="X23" s="3245"/>
      <c r="Y23" s="3245"/>
      <c r="Z23" s="3245"/>
      <c r="AA23" s="3251"/>
      <c r="AB23" s="3254"/>
      <c r="AC23" s="3270"/>
      <c r="AD23" s="3254"/>
      <c r="AE23" s="3254"/>
      <c r="AF23" s="3254"/>
      <c r="AG23" s="3254"/>
      <c r="AH23" s="3254"/>
      <c r="AI23" s="3254"/>
      <c r="AJ23" s="3270"/>
      <c r="AK23" s="3254"/>
      <c r="AL23" s="3254"/>
      <c r="AM23" s="3270"/>
      <c r="AN23" s="3270"/>
      <c r="AO23" s="3263"/>
      <c r="AP23" s="3263"/>
      <c r="AQ23" s="3266"/>
    </row>
    <row r="24" spans="1:43" s="1286" customFormat="1" ht="60" customHeight="1" x14ac:dyDescent="0.2">
      <c r="A24" s="1279"/>
      <c r="B24" s="1280"/>
      <c r="C24" s="1281"/>
      <c r="D24" s="1280"/>
      <c r="E24" s="1280"/>
      <c r="F24" s="1281"/>
      <c r="G24" s="1287"/>
      <c r="H24" s="1280"/>
      <c r="I24" s="1281"/>
      <c r="J24" s="3245"/>
      <c r="K24" s="3248"/>
      <c r="L24" s="3245"/>
      <c r="M24" s="3245"/>
      <c r="N24" s="3245"/>
      <c r="O24" s="3245"/>
      <c r="P24" s="3248"/>
      <c r="Q24" s="2623"/>
      <c r="R24" s="3257"/>
      <c r="S24" s="3248"/>
      <c r="T24" s="3248"/>
      <c r="U24" s="1288" t="s">
        <v>1335</v>
      </c>
      <c r="V24" s="261">
        <v>7400000</v>
      </c>
      <c r="W24" s="3273"/>
      <c r="X24" s="3245"/>
      <c r="Y24" s="3245"/>
      <c r="Z24" s="3245"/>
      <c r="AA24" s="3251"/>
      <c r="AB24" s="3254"/>
      <c r="AC24" s="3270"/>
      <c r="AD24" s="3254"/>
      <c r="AE24" s="3254"/>
      <c r="AF24" s="3254"/>
      <c r="AG24" s="3254"/>
      <c r="AH24" s="3254"/>
      <c r="AI24" s="3254"/>
      <c r="AJ24" s="3270"/>
      <c r="AK24" s="3254"/>
      <c r="AL24" s="3254"/>
      <c r="AM24" s="3270"/>
      <c r="AN24" s="3270"/>
      <c r="AO24" s="3263"/>
      <c r="AP24" s="3263"/>
      <c r="AQ24" s="3266"/>
    </row>
    <row r="25" spans="1:43" s="1286" customFormat="1" ht="58.5" customHeight="1" x14ac:dyDescent="0.2">
      <c r="A25" s="1279"/>
      <c r="B25" s="1280"/>
      <c r="C25" s="1281"/>
      <c r="D25" s="1280"/>
      <c r="E25" s="1280"/>
      <c r="F25" s="1281"/>
      <c r="G25" s="1287"/>
      <c r="H25" s="1280"/>
      <c r="I25" s="1281"/>
      <c r="J25" s="3245"/>
      <c r="K25" s="3248"/>
      <c r="L25" s="3245"/>
      <c r="M25" s="3245"/>
      <c r="N25" s="3245"/>
      <c r="O25" s="3245"/>
      <c r="P25" s="3248"/>
      <c r="Q25" s="2623"/>
      <c r="R25" s="3257"/>
      <c r="S25" s="3248"/>
      <c r="T25" s="3248"/>
      <c r="U25" s="1288" t="s">
        <v>1336</v>
      </c>
      <c r="V25" s="261">
        <v>7400000</v>
      </c>
      <c r="W25" s="3273"/>
      <c r="X25" s="3245"/>
      <c r="Y25" s="3245"/>
      <c r="Z25" s="3245"/>
      <c r="AA25" s="3251"/>
      <c r="AB25" s="3254"/>
      <c r="AC25" s="3270"/>
      <c r="AD25" s="3254"/>
      <c r="AE25" s="3254"/>
      <c r="AF25" s="3254"/>
      <c r="AG25" s="3254"/>
      <c r="AH25" s="3254"/>
      <c r="AI25" s="3254"/>
      <c r="AJ25" s="3270"/>
      <c r="AK25" s="3254"/>
      <c r="AL25" s="3254"/>
      <c r="AM25" s="3270"/>
      <c r="AN25" s="3270"/>
      <c r="AO25" s="3263"/>
      <c r="AP25" s="3263"/>
      <c r="AQ25" s="3266"/>
    </row>
    <row r="26" spans="1:43" s="1286" customFormat="1" ht="51" customHeight="1" x14ac:dyDescent="0.2">
      <c r="A26" s="1279"/>
      <c r="B26" s="1280"/>
      <c r="C26" s="1281"/>
      <c r="D26" s="1280"/>
      <c r="E26" s="1280"/>
      <c r="F26" s="1281"/>
      <c r="G26" s="1287"/>
      <c r="H26" s="1280"/>
      <c r="I26" s="1281"/>
      <c r="J26" s="3245"/>
      <c r="K26" s="3248"/>
      <c r="L26" s="3245"/>
      <c r="M26" s="3245"/>
      <c r="N26" s="3245"/>
      <c r="O26" s="3245"/>
      <c r="P26" s="3248"/>
      <c r="Q26" s="2623"/>
      <c r="R26" s="3257"/>
      <c r="S26" s="3248"/>
      <c r="T26" s="3248"/>
      <c r="U26" s="1288" t="s">
        <v>1337</v>
      </c>
      <c r="V26" s="261">
        <v>7400000</v>
      </c>
      <c r="W26" s="3273"/>
      <c r="X26" s="3245"/>
      <c r="Y26" s="3245"/>
      <c r="Z26" s="3245"/>
      <c r="AA26" s="3251"/>
      <c r="AB26" s="3254"/>
      <c r="AC26" s="3270"/>
      <c r="AD26" s="3254"/>
      <c r="AE26" s="3254"/>
      <c r="AF26" s="3254"/>
      <c r="AG26" s="3254"/>
      <c r="AH26" s="3254"/>
      <c r="AI26" s="3254"/>
      <c r="AJ26" s="3270"/>
      <c r="AK26" s="3254"/>
      <c r="AL26" s="3254"/>
      <c r="AM26" s="3270"/>
      <c r="AN26" s="3270"/>
      <c r="AO26" s="3263"/>
      <c r="AP26" s="3263"/>
      <c r="AQ26" s="3266"/>
    </row>
    <row r="27" spans="1:43" s="1286" customFormat="1" ht="84" customHeight="1" x14ac:dyDescent="0.2">
      <c r="A27" s="1279"/>
      <c r="B27" s="1280"/>
      <c r="C27" s="1281"/>
      <c r="D27" s="1280"/>
      <c r="E27" s="1280"/>
      <c r="F27" s="1281"/>
      <c r="G27" s="1287"/>
      <c r="H27" s="1280"/>
      <c r="I27" s="1281"/>
      <c r="J27" s="3245"/>
      <c r="K27" s="3248"/>
      <c r="L27" s="3245"/>
      <c r="M27" s="3245"/>
      <c r="N27" s="3245"/>
      <c r="O27" s="3245"/>
      <c r="P27" s="3248"/>
      <c r="Q27" s="2623"/>
      <c r="R27" s="3257"/>
      <c r="S27" s="3248"/>
      <c r="T27" s="3248"/>
      <c r="U27" s="1288" t="s">
        <v>1338</v>
      </c>
      <c r="V27" s="261">
        <v>7400000</v>
      </c>
      <c r="W27" s="3273"/>
      <c r="X27" s="3245"/>
      <c r="Y27" s="3245"/>
      <c r="Z27" s="3245"/>
      <c r="AA27" s="3251"/>
      <c r="AB27" s="3254"/>
      <c r="AC27" s="3270"/>
      <c r="AD27" s="3254"/>
      <c r="AE27" s="3254"/>
      <c r="AF27" s="3254"/>
      <c r="AG27" s="3254"/>
      <c r="AH27" s="3254"/>
      <c r="AI27" s="3254"/>
      <c r="AJ27" s="3270"/>
      <c r="AK27" s="3254"/>
      <c r="AL27" s="3254"/>
      <c r="AM27" s="3270"/>
      <c r="AN27" s="3270"/>
      <c r="AO27" s="3263"/>
      <c r="AP27" s="3263"/>
      <c r="AQ27" s="3266"/>
    </row>
    <row r="28" spans="1:43" s="1286" customFormat="1" ht="81" customHeight="1" x14ac:dyDescent="0.2">
      <c r="A28" s="1279"/>
      <c r="B28" s="1280"/>
      <c r="C28" s="1281"/>
      <c r="D28" s="1280"/>
      <c r="E28" s="1280"/>
      <c r="F28" s="1281"/>
      <c r="G28" s="1287"/>
      <c r="H28" s="1280"/>
      <c r="I28" s="1281"/>
      <c r="J28" s="3268">
        <v>129</v>
      </c>
      <c r="K28" s="3247" t="s">
        <v>1339</v>
      </c>
      <c r="L28" s="3244" t="s">
        <v>1318</v>
      </c>
      <c r="M28" s="3244">
        <v>6</v>
      </c>
      <c r="N28" s="3245"/>
      <c r="O28" s="3245"/>
      <c r="P28" s="3248"/>
      <c r="Q28" s="2622">
        <f>+(V28+V29+V30+V31+V32+V33)/R17</f>
        <v>0.29075827563884532</v>
      </c>
      <c r="R28" s="3257"/>
      <c r="S28" s="3248"/>
      <c r="T28" s="3247" t="s">
        <v>1340</v>
      </c>
      <c r="U28" s="1288" t="s">
        <v>1341</v>
      </c>
      <c r="V28" s="261">
        <v>9000000</v>
      </c>
      <c r="W28" s="3273"/>
      <c r="X28" s="3245"/>
      <c r="Y28" s="3245"/>
      <c r="Z28" s="3245"/>
      <c r="AA28" s="3251"/>
      <c r="AB28" s="3254"/>
      <c r="AC28" s="3270"/>
      <c r="AD28" s="3254"/>
      <c r="AE28" s="3254"/>
      <c r="AF28" s="3254"/>
      <c r="AG28" s="3254"/>
      <c r="AH28" s="3254"/>
      <c r="AI28" s="3254"/>
      <c r="AJ28" s="3270"/>
      <c r="AK28" s="3254"/>
      <c r="AL28" s="3254"/>
      <c r="AM28" s="3270"/>
      <c r="AN28" s="3270"/>
      <c r="AO28" s="3263"/>
      <c r="AP28" s="3263"/>
      <c r="AQ28" s="3266"/>
    </row>
    <row r="29" spans="1:43" s="1286" customFormat="1" ht="72" customHeight="1" x14ac:dyDescent="0.2">
      <c r="A29" s="1279"/>
      <c r="B29" s="1280"/>
      <c r="C29" s="1281"/>
      <c r="D29" s="1280"/>
      <c r="E29" s="1280"/>
      <c r="F29" s="1281"/>
      <c r="G29" s="1287"/>
      <c r="H29" s="1280"/>
      <c r="I29" s="1281"/>
      <c r="J29" s="3268"/>
      <c r="K29" s="3248"/>
      <c r="L29" s="3245"/>
      <c r="M29" s="3245"/>
      <c r="N29" s="3245"/>
      <c r="O29" s="3245"/>
      <c r="P29" s="3248"/>
      <c r="Q29" s="2623"/>
      <c r="R29" s="3257"/>
      <c r="S29" s="3248"/>
      <c r="T29" s="3248"/>
      <c r="U29" s="1288" t="s">
        <v>1342</v>
      </c>
      <c r="V29" s="261">
        <v>9000000</v>
      </c>
      <c r="W29" s="3273"/>
      <c r="X29" s="3245"/>
      <c r="Y29" s="3245"/>
      <c r="Z29" s="3245"/>
      <c r="AA29" s="3251"/>
      <c r="AB29" s="3254"/>
      <c r="AC29" s="3270"/>
      <c r="AD29" s="3254"/>
      <c r="AE29" s="3254"/>
      <c r="AF29" s="3254"/>
      <c r="AG29" s="3254"/>
      <c r="AH29" s="3254"/>
      <c r="AI29" s="3254"/>
      <c r="AJ29" s="3270"/>
      <c r="AK29" s="3254"/>
      <c r="AL29" s="3254"/>
      <c r="AM29" s="3270"/>
      <c r="AN29" s="3270"/>
      <c r="AO29" s="3263"/>
      <c r="AP29" s="3263"/>
      <c r="AQ29" s="3266"/>
    </row>
    <row r="30" spans="1:43" s="1286" customFormat="1" ht="63" customHeight="1" x14ac:dyDescent="0.2">
      <c r="A30" s="1279"/>
      <c r="B30" s="1280"/>
      <c r="C30" s="1281"/>
      <c r="D30" s="1280"/>
      <c r="E30" s="1280"/>
      <c r="F30" s="1281"/>
      <c r="G30" s="1287"/>
      <c r="H30" s="1280"/>
      <c r="I30" s="1281"/>
      <c r="J30" s="3268"/>
      <c r="K30" s="3248"/>
      <c r="L30" s="3245"/>
      <c r="M30" s="3245"/>
      <c r="N30" s="3245"/>
      <c r="O30" s="3245"/>
      <c r="P30" s="3248"/>
      <c r="Q30" s="2623"/>
      <c r="R30" s="3257"/>
      <c r="S30" s="3248"/>
      <c r="T30" s="3248"/>
      <c r="U30" s="1288" t="s">
        <v>1343</v>
      </c>
      <c r="V30" s="261">
        <v>9000000</v>
      </c>
      <c r="W30" s="3273"/>
      <c r="X30" s="3245"/>
      <c r="Y30" s="3245"/>
      <c r="Z30" s="3245"/>
      <c r="AA30" s="3251"/>
      <c r="AB30" s="3254"/>
      <c r="AC30" s="3270"/>
      <c r="AD30" s="3254"/>
      <c r="AE30" s="3254"/>
      <c r="AF30" s="3254"/>
      <c r="AG30" s="3254"/>
      <c r="AH30" s="3254"/>
      <c r="AI30" s="3254"/>
      <c r="AJ30" s="3270"/>
      <c r="AK30" s="3254"/>
      <c r="AL30" s="3254"/>
      <c r="AM30" s="3270"/>
      <c r="AN30" s="3270"/>
      <c r="AO30" s="3263"/>
      <c r="AP30" s="3263"/>
      <c r="AQ30" s="3266"/>
    </row>
    <row r="31" spans="1:43" s="1286" customFormat="1" ht="87" customHeight="1" x14ac:dyDescent="0.2">
      <c r="A31" s="1279"/>
      <c r="B31" s="1280"/>
      <c r="C31" s="1281"/>
      <c r="D31" s="1280"/>
      <c r="E31" s="1280"/>
      <c r="F31" s="1281"/>
      <c r="G31" s="1287"/>
      <c r="H31" s="1280"/>
      <c r="I31" s="1281"/>
      <c r="J31" s="3268"/>
      <c r="K31" s="3248"/>
      <c r="L31" s="3245"/>
      <c r="M31" s="3245"/>
      <c r="N31" s="3245"/>
      <c r="O31" s="3245"/>
      <c r="P31" s="3248"/>
      <c r="Q31" s="2623"/>
      <c r="R31" s="3257"/>
      <c r="S31" s="3248"/>
      <c r="T31" s="3248"/>
      <c r="U31" s="1288" t="s">
        <v>1344</v>
      </c>
      <c r="V31" s="261">
        <v>9000000</v>
      </c>
      <c r="W31" s="3273"/>
      <c r="X31" s="3245"/>
      <c r="Y31" s="3245"/>
      <c r="Z31" s="3245"/>
      <c r="AA31" s="3251"/>
      <c r="AB31" s="3254"/>
      <c r="AC31" s="3270"/>
      <c r="AD31" s="3254"/>
      <c r="AE31" s="3254"/>
      <c r="AF31" s="3254"/>
      <c r="AG31" s="3254"/>
      <c r="AH31" s="3254"/>
      <c r="AI31" s="3254"/>
      <c r="AJ31" s="3270"/>
      <c r="AK31" s="3254"/>
      <c r="AL31" s="3254"/>
      <c r="AM31" s="3270"/>
      <c r="AN31" s="3270"/>
      <c r="AO31" s="3263"/>
      <c r="AP31" s="3263"/>
      <c r="AQ31" s="3266"/>
    </row>
    <row r="32" spans="1:43" s="1286" customFormat="1" ht="61.5" customHeight="1" x14ac:dyDescent="0.2">
      <c r="A32" s="1279"/>
      <c r="B32" s="1280"/>
      <c r="C32" s="1281"/>
      <c r="D32" s="1280"/>
      <c r="E32" s="1280"/>
      <c r="F32" s="1281"/>
      <c r="G32" s="1287"/>
      <c r="H32" s="1280"/>
      <c r="I32" s="1281"/>
      <c r="J32" s="3268"/>
      <c r="K32" s="3248"/>
      <c r="L32" s="3245"/>
      <c r="M32" s="3245"/>
      <c r="N32" s="3245"/>
      <c r="O32" s="3245"/>
      <c r="P32" s="3248"/>
      <c r="Q32" s="2623"/>
      <c r="R32" s="3257"/>
      <c r="S32" s="3248"/>
      <c r="T32" s="3248"/>
      <c r="U32" s="1288" t="s">
        <v>1345</v>
      </c>
      <c r="V32" s="261">
        <v>9000000</v>
      </c>
      <c r="W32" s="3273"/>
      <c r="X32" s="3245"/>
      <c r="Y32" s="3245"/>
      <c r="Z32" s="3245"/>
      <c r="AA32" s="3251"/>
      <c r="AB32" s="3254"/>
      <c r="AC32" s="3270"/>
      <c r="AD32" s="3254"/>
      <c r="AE32" s="3254"/>
      <c r="AF32" s="3254"/>
      <c r="AG32" s="3254"/>
      <c r="AH32" s="3254"/>
      <c r="AI32" s="3254"/>
      <c r="AJ32" s="3270"/>
      <c r="AK32" s="3254"/>
      <c r="AL32" s="3254"/>
      <c r="AM32" s="3270"/>
      <c r="AN32" s="3270"/>
      <c r="AO32" s="3263"/>
      <c r="AP32" s="3263"/>
      <c r="AQ32" s="3266"/>
    </row>
    <row r="33" spans="1:43" s="1286" customFormat="1" ht="61.5" customHeight="1" x14ac:dyDescent="0.2">
      <c r="A33" s="1279"/>
      <c r="B33" s="1280"/>
      <c r="C33" s="1281"/>
      <c r="D33" s="1289"/>
      <c r="E33" s="1289"/>
      <c r="F33" s="1290"/>
      <c r="G33" s="1291"/>
      <c r="H33" s="1289"/>
      <c r="I33" s="1290"/>
      <c r="J33" s="3268"/>
      <c r="K33" s="3249"/>
      <c r="L33" s="3246"/>
      <c r="M33" s="3246"/>
      <c r="N33" s="3246"/>
      <c r="O33" s="3246"/>
      <c r="P33" s="3249"/>
      <c r="Q33" s="2651"/>
      <c r="R33" s="3258"/>
      <c r="S33" s="3249"/>
      <c r="T33" s="3249"/>
      <c r="U33" s="1288" t="s">
        <v>1346</v>
      </c>
      <c r="V33" s="261">
        <v>8000000</v>
      </c>
      <c r="W33" s="3274"/>
      <c r="X33" s="3246"/>
      <c r="Y33" s="3246"/>
      <c r="Z33" s="3246"/>
      <c r="AA33" s="3252"/>
      <c r="AB33" s="3255"/>
      <c r="AC33" s="3271"/>
      <c r="AD33" s="3255"/>
      <c r="AE33" s="3255"/>
      <c r="AF33" s="3255"/>
      <c r="AG33" s="3255"/>
      <c r="AH33" s="3255"/>
      <c r="AI33" s="3255"/>
      <c r="AJ33" s="3271"/>
      <c r="AK33" s="3255"/>
      <c r="AL33" s="3255"/>
      <c r="AM33" s="3271"/>
      <c r="AN33" s="3271"/>
      <c r="AO33" s="3264"/>
      <c r="AP33" s="3264"/>
      <c r="AQ33" s="3267"/>
    </row>
    <row r="34" spans="1:43" s="1254" customFormat="1" ht="36" customHeight="1" x14ac:dyDescent="0.2">
      <c r="A34" s="1265"/>
      <c r="C34" s="1292"/>
      <c r="D34" s="1293">
        <v>12</v>
      </c>
      <c r="E34" s="1294" t="s">
        <v>1347</v>
      </c>
      <c r="F34" s="1295"/>
      <c r="G34" s="1257"/>
      <c r="H34" s="1257"/>
      <c r="I34" s="1257"/>
      <c r="J34" s="1257"/>
      <c r="K34" s="1258"/>
      <c r="L34" s="1257"/>
      <c r="M34" s="1257"/>
      <c r="N34" s="1259"/>
      <c r="O34" s="1257"/>
      <c r="P34" s="1258"/>
      <c r="Q34" s="1257"/>
      <c r="R34" s="1257"/>
      <c r="S34" s="1257"/>
      <c r="T34" s="1258"/>
      <c r="U34" s="1258"/>
      <c r="V34" s="1296"/>
      <c r="W34" s="1297"/>
      <c r="X34" s="1259"/>
      <c r="Y34" s="1259"/>
      <c r="Z34" s="1259"/>
      <c r="AA34" s="1298"/>
      <c r="AB34" s="1298"/>
      <c r="AC34" s="1259"/>
      <c r="AD34" s="1298"/>
      <c r="AE34" s="1298"/>
      <c r="AF34" s="1298"/>
      <c r="AG34" s="1298"/>
      <c r="AH34" s="1298"/>
      <c r="AI34" s="1298"/>
      <c r="AJ34" s="1259"/>
      <c r="AK34" s="1298"/>
      <c r="AL34" s="1298"/>
      <c r="AM34" s="1259"/>
      <c r="AN34" s="1298"/>
      <c r="AO34" s="1257"/>
      <c r="AP34" s="1257"/>
      <c r="AQ34" s="1264"/>
    </row>
    <row r="35" spans="1:43" s="1254" customFormat="1" ht="36" customHeight="1" x14ac:dyDescent="0.2">
      <c r="A35" s="1265"/>
      <c r="B35" s="1266"/>
      <c r="C35" s="1267"/>
      <c r="D35" s="1268"/>
      <c r="E35" s="1268"/>
      <c r="F35" s="1269"/>
      <c r="G35" s="1299">
        <v>36</v>
      </c>
      <c r="H35" s="1271" t="s">
        <v>1348</v>
      </c>
      <c r="I35" s="1271"/>
      <c r="J35" s="1271"/>
      <c r="K35" s="1272"/>
      <c r="L35" s="1271"/>
      <c r="M35" s="1271"/>
      <c r="N35" s="1273"/>
      <c r="O35" s="1271"/>
      <c r="P35" s="1272"/>
      <c r="Q35" s="1271"/>
      <c r="R35" s="1271"/>
      <c r="S35" s="1271"/>
      <c r="T35" s="1272"/>
      <c r="U35" s="1272"/>
      <c r="V35" s="1300"/>
      <c r="W35" s="1301"/>
      <c r="X35" s="1273"/>
      <c r="Y35" s="1273"/>
      <c r="Z35" s="1273"/>
      <c r="AA35" s="1302"/>
      <c r="AB35" s="1302"/>
      <c r="AC35" s="1273"/>
      <c r="AD35" s="1302"/>
      <c r="AE35" s="1302"/>
      <c r="AF35" s="1302"/>
      <c r="AG35" s="1302"/>
      <c r="AH35" s="1302"/>
      <c r="AI35" s="1302"/>
      <c r="AJ35" s="1273"/>
      <c r="AK35" s="1302"/>
      <c r="AL35" s="1302"/>
      <c r="AM35" s="1273"/>
      <c r="AN35" s="1302"/>
      <c r="AO35" s="1271"/>
      <c r="AP35" s="1271"/>
      <c r="AQ35" s="1278"/>
    </row>
    <row r="36" spans="1:43" s="1286" customFormat="1" ht="78" customHeight="1" x14ac:dyDescent="0.2">
      <c r="A36" s="1279"/>
      <c r="B36" s="1280"/>
      <c r="C36" s="1281"/>
      <c r="D36" s="1280"/>
      <c r="E36" s="1280"/>
      <c r="F36" s="1281"/>
      <c r="G36" s="1282"/>
      <c r="H36" s="1283"/>
      <c r="I36" s="1284"/>
      <c r="J36" s="3244">
        <v>130</v>
      </c>
      <c r="K36" s="3247" t="s">
        <v>1349</v>
      </c>
      <c r="L36" s="3244" t="s">
        <v>1318</v>
      </c>
      <c r="M36" s="3244">
        <v>1</v>
      </c>
      <c r="N36" s="3244" t="s">
        <v>1350</v>
      </c>
      <c r="O36" s="3244">
        <v>133</v>
      </c>
      <c r="P36" s="3247" t="s">
        <v>1351</v>
      </c>
      <c r="Q36" s="2665">
        <f>(V36+V38+V37)/R36</f>
        <v>0.64137931034482754</v>
      </c>
      <c r="R36" s="3276">
        <f>SUM(V36:V40)</f>
        <v>145000000</v>
      </c>
      <c r="S36" s="3247" t="s">
        <v>1352</v>
      </c>
      <c r="T36" s="3247" t="s">
        <v>1353</v>
      </c>
      <c r="U36" s="1288" t="s">
        <v>1354</v>
      </c>
      <c r="V36" s="261">
        <v>20000000</v>
      </c>
      <c r="W36" s="3272">
        <v>61</v>
      </c>
      <c r="X36" s="3244" t="s">
        <v>1324</v>
      </c>
      <c r="Y36" s="3250">
        <v>292684</v>
      </c>
      <c r="Z36" s="3250">
        <v>282326</v>
      </c>
      <c r="AA36" s="3282">
        <v>135912</v>
      </c>
      <c r="AB36" s="3275">
        <v>45122</v>
      </c>
      <c r="AC36" s="3275">
        <v>307101</v>
      </c>
      <c r="AD36" s="3275">
        <v>86875</v>
      </c>
      <c r="AE36" s="3275">
        <v>2145</v>
      </c>
      <c r="AF36" s="3275">
        <v>12718</v>
      </c>
      <c r="AG36" s="3275">
        <v>26</v>
      </c>
      <c r="AH36" s="3275">
        <v>37</v>
      </c>
      <c r="AI36" s="3275">
        <v>16897</v>
      </c>
      <c r="AJ36" s="3275" t="s">
        <v>1325</v>
      </c>
      <c r="AK36" s="3275">
        <v>53164</v>
      </c>
      <c r="AL36" s="3275">
        <v>16982</v>
      </c>
      <c r="AM36" s="3275">
        <v>60013</v>
      </c>
      <c r="AN36" s="3279">
        <v>575010</v>
      </c>
      <c r="AO36" s="3262">
        <v>43101</v>
      </c>
      <c r="AP36" s="3262">
        <v>43465</v>
      </c>
      <c r="AQ36" s="3265" t="s">
        <v>1326</v>
      </c>
    </row>
    <row r="37" spans="1:43" s="1286" customFormat="1" ht="45" x14ac:dyDescent="0.2">
      <c r="A37" s="1279"/>
      <c r="B37" s="1280"/>
      <c r="C37" s="1281"/>
      <c r="D37" s="1280"/>
      <c r="E37" s="1280"/>
      <c r="F37" s="1281"/>
      <c r="G37" s="1287"/>
      <c r="H37" s="1280"/>
      <c r="I37" s="1281"/>
      <c r="J37" s="3245"/>
      <c r="K37" s="3248"/>
      <c r="L37" s="3245"/>
      <c r="M37" s="3245"/>
      <c r="N37" s="3245"/>
      <c r="O37" s="3245"/>
      <c r="P37" s="3248"/>
      <c r="Q37" s="2666"/>
      <c r="R37" s="3277"/>
      <c r="S37" s="3248"/>
      <c r="T37" s="3248"/>
      <c r="U37" s="1288" t="s">
        <v>1355</v>
      </c>
      <c r="V37" s="261">
        <v>20000000</v>
      </c>
      <c r="W37" s="3273"/>
      <c r="X37" s="3245"/>
      <c r="Y37" s="3251"/>
      <c r="Z37" s="3251"/>
      <c r="AA37" s="3283"/>
      <c r="AB37" s="3275"/>
      <c r="AC37" s="3275"/>
      <c r="AD37" s="3275"/>
      <c r="AE37" s="3275"/>
      <c r="AF37" s="3275"/>
      <c r="AG37" s="3275"/>
      <c r="AH37" s="3275"/>
      <c r="AI37" s="3275"/>
      <c r="AJ37" s="3275"/>
      <c r="AK37" s="3275"/>
      <c r="AL37" s="3275"/>
      <c r="AM37" s="3275"/>
      <c r="AN37" s="3280"/>
      <c r="AO37" s="3263"/>
      <c r="AP37" s="3263"/>
      <c r="AQ37" s="3266"/>
    </row>
    <row r="38" spans="1:43" s="1286" customFormat="1" ht="135" x14ac:dyDescent="0.2">
      <c r="A38" s="1279"/>
      <c r="B38" s="1280"/>
      <c r="C38" s="1281"/>
      <c r="D38" s="1280"/>
      <c r="E38" s="1280"/>
      <c r="F38" s="1281"/>
      <c r="G38" s="1287"/>
      <c r="H38" s="1280"/>
      <c r="I38" s="1281"/>
      <c r="J38" s="3246"/>
      <c r="K38" s="3249"/>
      <c r="L38" s="3246"/>
      <c r="M38" s="3246"/>
      <c r="N38" s="3245"/>
      <c r="O38" s="3245"/>
      <c r="P38" s="3248"/>
      <c r="Q38" s="2667"/>
      <c r="R38" s="3277"/>
      <c r="S38" s="3248"/>
      <c r="T38" s="3249"/>
      <c r="U38" s="1288" t="s">
        <v>1356</v>
      </c>
      <c r="V38" s="261">
        <v>53000000</v>
      </c>
      <c r="W38" s="3273"/>
      <c r="X38" s="3245"/>
      <c r="Y38" s="3251"/>
      <c r="Z38" s="3251"/>
      <c r="AA38" s="3283"/>
      <c r="AB38" s="3275"/>
      <c r="AC38" s="3275"/>
      <c r="AD38" s="3275"/>
      <c r="AE38" s="3275"/>
      <c r="AF38" s="3275"/>
      <c r="AG38" s="3275"/>
      <c r="AH38" s="3275"/>
      <c r="AI38" s="3275"/>
      <c r="AJ38" s="3275"/>
      <c r="AK38" s="3275"/>
      <c r="AL38" s="3275"/>
      <c r="AM38" s="3275"/>
      <c r="AN38" s="3280"/>
      <c r="AO38" s="3263"/>
      <c r="AP38" s="3263"/>
      <c r="AQ38" s="3266"/>
    </row>
    <row r="39" spans="1:43" s="1286" customFormat="1" ht="90" x14ac:dyDescent="0.2">
      <c r="A39" s="1279"/>
      <c r="B39" s="1280"/>
      <c r="C39" s="1281"/>
      <c r="D39" s="1280"/>
      <c r="E39" s="1280"/>
      <c r="F39" s="1281"/>
      <c r="G39" s="1287"/>
      <c r="H39" s="1280"/>
      <c r="I39" s="1281"/>
      <c r="J39" s="3244">
        <v>131</v>
      </c>
      <c r="K39" s="3247" t="s">
        <v>1357</v>
      </c>
      <c r="L39" s="3244" t="s">
        <v>1318</v>
      </c>
      <c r="M39" s="3244">
        <v>5</v>
      </c>
      <c r="N39" s="3245"/>
      <c r="O39" s="3245"/>
      <c r="P39" s="3248"/>
      <c r="Q39" s="2665">
        <f>(V39+V40)/R36</f>
        <v>0.35862068965517241</v>
      </c>
      <c r="R39" s="3277"/>
      <c r="S39" s="3248"/>
      <c r="T39" s="3247" t="s">
        <v>1358</v>
      </c>
      <c r="U39" s="1288" t="s">
        <v>1359</v>
      </c>
      <c r="V39" s="261">
        <v>26000000</v>
      </c>
      <c r="W39" s="3273"/>
      <c r="X39" s="3245"/>
      <c r="Y39" s="3251"/>
      <c r="Z39" s="3251"/>
      <c r="AA39" s="3283"/>
      <c r="AB39" s="3275"/>
      <c r="AC39" s="3275"/>
      <c r="AD39" s="3275"/>
      <c r="AE39" s="3275"/>
      <c r="AF39" s="3275"/>
      <c r="AG39" s="3275"/>
      <c r="AH39" s="3275"/>
      <c r="AI39" s="3275"/>
      <c r="AJ39" s="3275"/>
      <c r="AK39" s="3275"/>
      <c r="AL39" s="3275"/>
      <c r="AM39" s="3275"/>
      <c r="AN39" s="3280"/>
      <c r="AO39" s="3263"/>
      <c r="AP39" s="3263"/>
      <c r="AQ39" s="3266"/>
    </row>
    <row r="40" spans="1:43" s="1286" customFormat="1" ht="75" x14ac:dyDescent="0.2">
      <c r="A40" s="1279"/>
      <c r="B40" s="1280"/>
      <c r="C40" s="1281"/>
      <c r="D40" s="1280"/>
      <c r="E40" s="1280"/>
      <c r="F40" s="1281"/>
      <c r="G40" s="1291"/>
      <c r="H40" s="1289"/>
      <c r="I40" s="1290"/>
      <c r="J40" s="3246"/>
      <c r="K40" s="3249"/>
      <c r="L40" s="3246"/>
      <c r="M40" s="3246"/>
      <c r="N40" s="3246"/>
      <c r="O40" s="3246"/>
      <c r="P40" s="3249"/>
      <c r="Q40" s="2667"/>
      <c r="R40" s="3278"/>
      <c r="S40" s="3249"/>
      <c r="T40" s="3249"/>
      <c r="U40" s="1288" t="s">
        <v>1360</v>
      </c>
      <c r="V40" s="261">
        <v>26000000</v>
      </c>
      <c r="W40" s="3274"/>
      <c r="X40" s="3246"/>
      <c r="Y40" s="3252"/>
      <c r="Z40" s="3252"/>
      <c r="AA40" s="3284"/>
      <c r="AB40" s="3275"/>
      <c r="AC40" s="3275"/>
      <c r="AD40" s="3275"/>
      <c r="AE40" s="3275"/>
      <c r="AF40" s="3275"/>
      <c r="AG40" s="3275"/>
      <c r="AH40" s="3275"/>
      <c r="AI40" s="3275"/>
      <c r="AJ40" s="3275"/>
      <c r="AK40" s="3275"/>
      <c r="AL40" s="3275"/>
      <c r="AM40" s="3275"/>
      <c r="AN40" s="3281"/>
      <c r="AO40" s="3264"/>
      <c r="AP40" s="3264"/>
      <c r="AQ40" s="3267"/>
    </row>
    <row r="41" spans="1:43" s="1303" customFormat="1" ht="36" customHeight="1" x14ac:dyDescent="0.2">
      <c r="A41" s="1265"/>
      <c r="B41" s="1266"/>
      <c r="C41" s="1267"/>
      <c r="D41" s="1266"/>
      <c r="E41" s="1266"/>
      <c r="F41" s="1267"/>
      <c r="G41" s="1299">
        <v>37</v>
      </c>
      <c r="H41" s="1271" t="s">
        <v>1361</v>
      </c>
      <c r="I41" s="1271"/>
      <c r="J41" s="1271"/>
      <c r="K41" s="1272"/>
      <c r="L41" s="1271"/>
      <c r="M41" s="1271"/>
      <c r="N41" s="1273"/>
      <c r="O41" s="1271"/>
      <c r="P41" s="1272"/>
      <c r="Q41" s="1271"/>
      <c r="R41" s="1271"/>
      <c r="S41" s="1271"/>
      <c r="T41" s="1272"/>
      <c r="U41" s="1272"/>
      <c r="V41" s="1300"/>
      <c r="W41" s="1301"/>
      <c r="X41" s="1273"/>
      <c r="Y41" s="1273"/>
      <c r="Z41" s="1273"/>
      <c r="AA41" s="1302"/>
      <c r="AB41" s="1302"/>
      <c r="AC41" s="1273"/>
      <c r="AD41" s="1302"/>
      <c r="AE41" s="1302"/>
      <c r="AF41" s="1302"/>
      <c r="AG41" s="1302"/>
      <c r="AH41" s="1302"/>
      <c r="AI41" s="1302"/>
      <c r="AJ41" s="1273"/>
      <c r="AK41" s="1302"/>
      <c r="AL41" s="1302"/>
      <c r="AM41" s="1273"/>
      <c r="AN41" s="1302"/>
      <c r="AO41" s="1271"/>
      <c r="AP41" s="1271"/>
      <c r="AQ41" s="1278"/>
    </row>
    <row r="42" spans="1:43" s="1286" customFormat="1" ht="180" customHeight="1" x14ac:dyDescent="0.2">
      <c r="A42" s="1304"/>
      <c r="B42" s="1305"/>
      <c r="C42" s="1306"/>
      <c r="D42" s="1305"/>
      <c r="E42" s="1305"/>
      <c r="F42" s="1306"/>
      <c r="G42" s="1307"/>
      <c r="H42" s="1308"/>
      <c r="I42" s="1309"/>
      <c r="J42" s="3244">
        <v>132</v>
      </c>
      <c r="K42" s="3247" t="s">
        <v>1362</v>
      </c>
      <c r="L42" s="3244" t="s">
        <v>1318</v>
      </c>
      <c r="M42" s="3244">
        <v>8</v>
      </c>
      <c r="N42" s="3244" t="s">
        <v>1363</v>
      </c>
      <c r="O42" s="3244">
        <v>134</v>
      </c>
      <c r="P42" s="3247" t="s">
        <v>1364</v>
      </c>
      <c r="Q42" s="2622">
        <f>(V42+V43+V44)/R42</f>
        <v>0.22424242424242424</v>
      </c>
      <c r="R42" s="3276">
        <f>SUM(V42:V69)</f>
        <v>165000000</v>
      </c>
      <c r="S42" s="3247" t="s">
        <v>1365</v>
      </c>
      <c r="T42" s="3247" t="s">
        <v>1366</v>
      </c>
      <c r="U42" s="1288" t="s">
        <v>1367</v>
      </c>
      <c r="V42" s="265">
        <v>18000000</v>
      </c>
      <c r="W42" s="3272">
        <v>61</v>
      </c>
      <c r="X42" s="3244" t="s">
        <v>1324</v>
      </c>
      <c r="Y42" s="3244">
        <v>292684</v>
      </c>
      <c r="Z42" s="3244">
        <v>282326</v>
      </c>
      <c r="AA42" s="3253">
        <v>135912</v>
      </c>
      <c r="AB42" s="3253">
        <v>45122</v>
      </c>
      <c r="AC42" s="3253">
        <f>SUM(AC36)</f>
        <v>307101</v>
      </c>
      <c r="AD42" s="3253">
        <f>SUM(AD36)</f>
        <v>86875</v>
      </c>
      <c r="AE42" s="3285">
        <v>2145</v>
      </c>
      <c r="AF42" s="3285">
        <v>12718</v>
      </c>
      <c r="AG42" s="3288" t="e">
        <f>SUM(#REF!*0.25)</f>
        <v>#REF!</v>
      </c>
      <c r="AH42" s="3285">
        <v>37</v>
      </c>
      <c r="AI42" s="3285" t="s">
        <v>1325</v>
      </c>
      <c r="AJ42" s="3285" t="s">
        <v>1325</v>
      </c>
      <c r="AK42" s="3253">
        <v>53164</v>
      </c>
      <c r="AL42" s="3253">
        <v>16982</v>
      </c>
      <c r="AM42" s="3253">
        <v>60013</v>
      </c>
      <c r="AN42" s="3253">
        <v>575010</v>
      </c>
      <c r="AO42" s="3262">
        <v>43101</v>
      </c>
      <c r="AP42" s="3262">
        <v>43465</v>
      </c>
      <c r="AQ42" s="3265" t="s">
        <v>1326</v>
      </c>
    </row>
    <row r="43" spans="1:43" s="1286" customFormat="1" ht="90" x14ac:dyDescent="0.2">
      <c r="A43" s="1304"/>
      <c r="B43" s="1305"/>
      <c r="C43" s="1306"/>
      <c r="D43" s="1305"/>
      <c r="E43" s="1305"/>
      <c r="F43" s="1306"/>
      <c r="G43" s="1310"/>
      <c r="H43" s="1305"/>
      <c r="I43" s="1306"/>
      <c r="J43" s="3245"/>
      <c r="K43" s="3248"/>
      <c r="L43" s="3245"/>
      <c r="M43" s="3245"/>
      <c r="N43" s="3245"/>
      <c r="O43" s="3245"/>
      <c r="P43" s="3248"/>
      <c r="Q43" s="2623"/>
      <c r="R43" s="3277"/>
      <c r="S43" s="3248"/>
      <c r="T43" s="3248"/>
      <c r="U43" s="1288" t="s">
        <v>1368</v>
      </c>
      <c r="V43" s="265">
        <v>1000000</v>
      </c>
      <c r="W43" s="3273"/>
      <c r="X43" s="3245"/>
      <c r="Y43" s="3245"/>
      <c r="Z43" s="3245"/>
      <c r="AA43" s="3254"/>
      <c r="AB43" s="3254"/>
      <c r="AC43" s="3254"/>
      <c r="AD43" s="3254"/>
      <c r="AE43" s="3286"/>
      <c r="AF43" s="3286"/>
      <c r="AG43" s="3289"/>
      <c r="AH43" s="3286"/>
      <c r="AI43" s="3286"/>
      <c r="AJ43" s="3286"/>
      <c r="AK43" s="3254"/>
      <c r="AL43" s="3254"/>
      <c r="AM43" s="3254"/>
      <c r="AN43" s="3254"/>
      <c r="AO43" s="3263"/>
      <c r="AP43" s="3263"/>
      <c r="AQ43" s="3266"/>
    </row>
    <row r="44" spans="1:43" s="1286" customFormat="1" ht="75" x14ac:dyDescent="0.2">
      <c r="A44" s="1304"/>
      <c r="B44" s="1305"/>
      <c r="C44" s="1306"/>
      <c r="D44" s="1305"/>
      <c r="E44" s="1305"/>
      <c r="F44" s="1306"/>
      <c r="G44" s="1310"/>
      <c r="H44" s="1305"/>
      <c r="I44" s="1306"/>
      <c r="J44" s="3246"/>
      <c r="K44" s="3249"/>
      <c r="L44" s="3246"/>
      <c r="M44" s="3246"/>
      <c r="N44" s="3245"/>
      <c r="O44" s="3245"/>
      <c r="P44" s="3248"/>
      <c r="Q44" s="2651"/>
      <c r="R44" s="3277"/>
      <c r="S44" s="3248"/>
      <c r="T44" s="3248"/>
      <c r="U44" s="1288" t="s">
        <v>1369</v>
      </c>
      <c r="V44" s="265">
        <v>18000000</v>
      </c>
      <c r="W44" s="3273"/>
      <c r="X44" s="3245"/>
      <c r="Y44" s="3245"/>
      <c r="Z44" s="3245"/>
      <c r="AA44" s="3254"/>
      <c r="AB44" s="3254"/>
      <c r="AC44" s="3254"/>
      <c r="AD44" s="3254"/>
      <c r="AE44" s="3286"/>
      <c r="AF44" s="3286"/>
      <c r="AG44" s="3289"/>
      <c r="AH44" s="3286"/>
      <c r="AI44" s="3286"/>
      <c r="AJ44" s="3286"/>
      <c r="AK44" s="3254"/>
      <c r="AL44" s="3254"/>
      <c r="AM44" s="3254"/>
      <c r="AN44" s="3254"/>
      <c r="AO44" s="3263"/>
      <c r="AP44" s="3263"/>
      <c r="AQ44" s="3266"/>
    </row>
    <row r="45" spans="1:43" s="1286" customFormat="1" ht="105" x14ac:dyDescent="0.2">
      <c r="A45" s="1304"/>
      <c r="B45" s="1305"/>
      <c r="C45" s="1306"/>
      <c r="D45" s="1305"/>
      <c r="E45" s="1305"/>
      <c r="F45" s="1306"/>
      <c r="G45" s="1310"/>
      <c r="H45" s="1305"/>
      <c r="I45" s="1306"/>
      <c r="J45" s="3244">
        <v>133</v>
      </c>
      <c r="K45" s="3247" t="s">
        <v>1370</v>
      </c>
      <c r="L45" s="3244" t="s">
        <v>1318</v>
      </c>
      <c r="M45" s="3244">
        <v>12</v>
      </c>
      <c r="N45" s="3245"/>
      <c r="O45" s="3245"/>
      <c r="P45" s="3248"/>
      <c r="Q45" s="2622">
        <f>(V45+V46+V47+V51+V48+V49+V50)/R42</f>
        <v>0.1463030303030303</v>
      </c>
      <c r="R45" s="3277"/>
      <c r="S45" s="3248"/>
      <c r="T45" s="3248"/>
      <c r="U45" s="1288" t="s">
        <v>1371</v>
      </c>
      <c r="V45" s="265">
        <v>7640000</v>
      </c>
      <c r="W45" s="3273"/>
      <c r="X45" s="3245"/>
      <c r="Y45" s="3245"/>
      <c r="Z45" s="3245"/>
      <c r="AA45" s="3254"/>
      <c r="AB45" s="3254"/>
      <c r="AC45" s="3254"/>
      <c r="AD45" s="3254"/>
      <c r="AE45" s="3286"/>
      <c r="AF45" s="3286"/>
      <c r="AG45" s="3289"/>
      <c r="AH45" s="3286"/>
      <c r="AI45" s="3286"/>
      <c r="AJ45" s="3286"/>
      <c r="AK45" s="3254"/>
      <c r="AL45" s="3254"/>
      <c r="AM45" s="3254"/>
      <c r="AN45" s="3254"/>
      <c r="AO45" s="3263"/>
      <c r="AP45" s="3263"/>
      <c r="AQ45" s="3266"/>
    </row>
    <row r="46" spans="1:43" s="1286" customFormat="1" ht="105" x14ac:dyDescent="0.2">
      <c r="A46" s="1304"/>
      <c r="B46" s="1305"/>
      <c r="C46" s="1306"/>
      <c r="D46" s="1305"/>
      <c r="E46" s="1305"/>
      <c r="F46" s="1306"/>
      <c r="G46" s="1310"/>
      <c r="H46" s="1305"/>
      <c r="I46" s="1306"/>
      <c r="J46" s="3245"/>
      <c r="K46" s="3248"/>
      <c r="L46" s="3245"/>
      <c r="M46" s="3245"/>
      <c r="N46" s="3245"/>
      <c r="O46" s="3245"/>
      <c r="P46" s="3248"/>
      <c r="Q46" s="2623"/>
      <c r="R46" s="3277"/>
      <c r="S46" s="3248"/>
      <c r="T46" s="3248"/>
      <c r="U46" s="1288" t="s">
        <v>1372</v>
      </c>
      <c r="V46" s="265">
        <v>3500000</v>
      </c>
      <c r="W46" s="3273"/>
      <c r="X46" s="3245"/>
      <c r="Y46" s="3245"/>
      <c r="Z46" s="3245"/>
      <c r="AA46" s="3254"/>
      <c r="AB46" s="3254"/>
      <c r="AC46" s="3254"/>
      <c r="AD46" s="3254"/>
      <c r="AE46" s="3286"/>
      <c r="AF46" s="3286"/>
      <c r="AG46" s="3289"/>
      <c r="AH46" s="3286"/>
      <c r="AI46" s="3286"/>
      <c r="AJ46" s="3286"/>
      <c r="AK46" s="3254"/>
      <c r="AL46" s="3254"/>
      <c r="AM46" s="3254"/>
      <c r="AN46" s="3254"/>
      <c r="AO46" s="3263"/>
      <c r="AP46" s="3263"/>
      <c r="AQ46" s="3266"/>
    </row>
    <row r="47" spans="1:43" s="1286" customFormat="1" ht="75" x14ac:dyDescent="0.2">
      <c r="A47" s="1304"/>
      <c r="B47" s="1305"/>
      <c r="C47" s="1306"/>
      <c r="D47" s="1305"/>
      <c r="E47" s="1305"/>
      <c r="F47" s="1306"/>
      <c r="G47" s="1310"/>
      <c r="H47" s="1305"/>
      <c r="I47" s="1306"/>
      <c r="J47" s="3245"/>
      <c r="K47" s="3248"/>
      <c r="L47" s="3245"/>
      <c r="M47" s="3245"/>
      <c r="N47" s="3245"/>
      <c r="O47" s="3245"/>
      <c r="P47" s="3248"/>
      <c r="Q47" s="2623"/>
      <c r="R47" s="3277"/>
      <c r="S47" s="3248"/>
      <c r="T47" s="3248"/>
      <c r="U47" s="1288" t="s">
        <v>1373</v>
      </c>
      <c r="V47" s="265">
        <v>3000000</v>
      </c>
      <c r="W47" s="3273"/>
      <c r="X47" s="3245"/>
      <c r="Y47" s="3245"/>
      <c r="Z47" s="3245"/>
      <c r="AA47" s="3254"/>
      <c r="AB47" s="3254"/>
      <c r="AC47" s="3254"/>
      <c r="AD47" s="3254"/>
      <c r="AE47" s="3286"/>
      <c r="AF47" s="3286"/>
      <c r="AG47" s="3289"/>
      <c r="AH47" s="3286"/>
      <c r="AI47" s="3286"/>
      <c r="AJ47" s="3286"/>
      <c r="AK47" s="3254"/>
      <c r="AL47" s="3254"/>
      <c r="AM47" s="3254"/>
      <c r="AN47" s="3254"/>
      <c r="AO47" s="3263"/>
      <c r="AP47" s="3263"/>
      <c r="AQ47" s="3266"/>
    </row>
    <row r="48" spans="1:43" s="1286" customFormat="1" ht="105" x14ac:dyDescent="0.2">
      <c r="A48" s="1304"/>
      <c r="B48" s="1305"/>
      <c r="C48" s="1306"/>
      <c r="D48" s="1305"/>
      <c r="E48" s="1305"/>
      <c r="F48" s="1306"/>
      <c r="G48" s="1310"/>
      <c r="H48" s="1305"/>
      <c r="I48" s="1306"/>
      <c r="J48" s="3245"/>
      <c r="K48" s="3248"/>
      <c r="L48" s="3245"/>
      <c r="M48" s="3245"/>
      <c r="N48" s="3245"/>
      <c r="O48" s="3245"/>
      <c r="P48" s="3248"/>
      <c r="Q48" s="2623"/>
      <c r="R48" s="3277"/>
      <c r="S48" s="3248"/>
      <c r="T48" s="3248"/>
      <c r="U48" s="1288" t="s">
        <v>1374</v>
      </c>
      <c r="V48" s="265">
        <v>1000000</v>
      </c>
      <c r="W48" s="3273"/>
      <c r="X48" s="3245"/>
      <c r="Y48" s="3245"/>
      <c r="Z48" s="3245"/>
      <c r="AA48" s="3254"/>
      <c r="AB48" s="3254"/>
      <c r="AC48" s="3254"/>
      <c r="AD48" s="3254"/>
      <c r="AE48" s="3286"/>
      <c r="AF48" s="3286"/>
      <c r="AG48" s="3289"/>
      <c r="AH48" s="3286"/>
      <c r="AI48" s="3286"/>
      <c r="AJ48" s="3286"/>
      <c r="AK48" s="3254"/>
      <c r="AL48" s="3254"/>
      <c r="AM48" s="3254"/>
      <c r="AN48" s="3254"/>
      <c r="AO48" s="3263"/>
      <c r="AP48" s="3263"/>
      <c r="AQ48" s="3266"/>
    </row>
    <row r="49" spans="1:43" s="1286" customFormat="1" ht="90" x14ac:dyDescent="0.2">
      <c r="A49" s="1304"/>
      <c r="B49" s="1305"/>
      <c r="C49" s="1306"/>
      <c r="D49" s="1305"/>
      <c r="E49" s="1305"/>
      <c r="F49" s="1306"/>
      <c r="G49" s="1310"/>
      <c r="H49" s="1305"/>
      <c r="I49" s="1306"/>
      <c r="J49" s="3245"/>
      <c r="K49" s="3248"/>
      <c r="L49" s="3245"/>
      <c r="M49" s="3245"/>
      <c r="N49" s="3245"/>
      <c r="O49" s="3245"/>
      <c r="P49" s="3248"/>
      <c r="Q49" s="2623"/>
      <c r="R49" s="3277"/>
      <c r="S49" s="3248"/>
      <c r="T49" s="3248"/>
      <c r="U49" s="1288" t="s">
        <v>1375</v>
      </c>
      <c r="V49" s="265">
        <v>3000000</v>
      </c>
      <c r="W49" s="3273"/>
      <c r="X49" s="3245"/>
      <c r="Y49" s="3245"/>
      <c r="Z49" s="3245"/>
      <c r="AA49" s="3254"/>
      <c r="AB49" s="3254"/>
      <c r="AC49" s="3254"/>
      <c r="AD49" s="3254"/>
      <c r="AE49" s="3286"/>
      <c r="AF49" s="3286"/>
      <c r="AG49" s="3289"/>
      <c r="AH49" s="3286"/>
      <c r="AI49" s="3286"/>
      <c r="AJ49" s="3286"/>
      <c r="AK49" s="3254"/>
      <c r="AL49" s="3254"/>
      <c r="AM49" s="3254"/>
      <c r="AN49" s="3254"/>
      <c r="AO49" s="3263"/>
      <c r="AP49" s="3263"/>
      <c r="AQ49" s="3266"/>
    </row>
    <row r="50" spans="1:43" s="1286" customFormat="1" ht="86.25" customHeight="1" x14ac:dyDescent="0.2">
      <c r="A50" s="1304"/>
      <c r="B50" s="1305"/>
      <c r="C50" s="1306"/>
      <c r="D50" s="1305"/>
      <c r="E50" s="1305"/>
      <c r="F50" s="1306"/>
      <c r="G50" s="1310"/>
      <c r="H50" s="1305"/>
      <c r="I50" s="1306"/>
      <c r="J50" s="3245"/>
      <c r="K50" s="3248"/>
      <c r="L50" s="3245"/>
      <c r="M50" s="3245"/>
      <c r="N50" s="3245"/>
      <c r="O50" s="3245"/>
      <c r="P50" s="3248"/>
      <c r="Q50" s="2623"/>
      <c r="R50" s="3277"/>
      <c r="S50" s="3248"/>
      <c r="T50" s="3248"/>
      <c r="U50" s="1288" t="s">
        <v>1376</v>
      </c>
      <c r="V50" s="265">
        <v>3000000</v>
      </c>
      <c r="W50" s="3273"/>
      <c r="X50" s="3245"/>
      <c r="Y50" s="3245"/>
      <c r="Z50" s="3245"/>
      <c r="AA50" s="3254"/>
      <c r="AB50" s="3254"/>
      <c r="AC50" s="3254"/>
      <c r="AD50" s="3254"/>
      <c r="AE50" s="3286"/>
      <c r="AF50" s="3286"/>
      <c r="AG50" s="3289"/>
      <c r="AH50" s="3286"/>
      <c r="AI50" s="3286"/>
      <c r="AJ50" s="3286"/>
      <c r="AK50" s="3254"/>
      <c r="AL50" s="3254"/>
      <c r="AM50" s="3254"/>
      <c r="AN50" s="3254"/>
      <c r="AO50" s="3263"/>
      <c r="AP50" s="3263"/>
      <c r="AQ50" s="3266"/>
    </row>
    <row r="51" spans="1:43" s="1286" customFormat="1" ht="60" x14ac:dyDescent="0.2">
      <c r="A51" s="1304"/>
      <c r="B51" s="1305"/>
      <c r="C51" s="1306"/>
      <c r="D51" s="1305"/>
      <c r="E51" s="1305"/>
      <c r="F51" s="1306"/>
      <c r="G51" s="1310"/>
      <c r="H51" s="1305"/>
      <c r="I51" s="1306"/>
      <c r="J51" s="3246"/>
      <c r="K51" s="3249"/>
      <c r="L51" s="3246"/>
      <c r="M51" s="3246"/>
      <c r="N51" s="3245"/>
      <c r="O51" s="3245"/>
      <c r="P51" s="3248"/>
      <c r="Q51" s="2651"/>
      <c r="R51" s="3277"/>
      <c r="S51" s="3248"/>
      <c r="T51" s="3249"/>
      <c r="U51" s="1288" t="s">
        <v>1377</v>
      </c>
      <c r="V51" s="265">
        <v>3000000</v>
      </c>
      <c r="W51" s="3273"/>
      <c r="X51" s="3245"/>
      <c r="Y51" s="3245"/>
      <c r="Z51" s="3245"/>
      <c r="AA51" s="3254"/>
      <c r="AB51" s="3254"/>
      <c r="AC51" s="3254"/>
      <c r="AD51" s="3254"/>
      <c r="AE51" s="3286"/>
      <c r="AF51" s="3286"/>
      <c r="AG51" s="3289"/>
      <c r="AH51" s="3286"/>
      <c r="AI51" s="3286"/>
      <c r="AJ51" s="3286"/>
      <c r="AK51" s="3254"/>
      <c r="AL51" s="3254"/>
      <c r="AM51" s="3254"/>
      <c r="AN51" s="3254"/>
      <c r="AO51" s="3263"/>
      <c r="AP51" s="3263"/>
      <c r="AQ51" s="3266"/>
    </row>
    <row r="52" spans="1:43" s="1286" customFormat="1" ht="75" x14ac:dyDescent="0.2">
      <c r="A52" s="1304"/>
      <c r="B52" s="1305"/>
      <c r="C52" s="1306"/>
      <c r="D52" s="1305"/>
      <c r="E52" s="1305"/>
      <c r="F52" s="1306"/>
      <c r="G52" s="1310"/>
      <c r="H52" s="1305"/>
      <c r="I52" s="1306"/>
      <c r="J52" s="3244">
        <v>134</v>
      </c>
      <c r="K52" s="3247" t="s">
        <v>1378</v>
      </c>
      <c r="L52" s="3244" t="s">
        <v>1318</v>
      </c>
      <c r="M52" s="3244">
        <v>4800</v>
      </c>
      <c r="N52" s="3245"/>
      <c r="O52" s="3245"/>
      <c r="P52" s="3248"/>
      <c r="Q52" s="2622">
        <f>(V52+V53+V54+V55+V56+V57+V58+V59+V60+V61+V62+V63)/R42</f>
        <v>0.41733333333333333</v>
      </c>
      <c r="R52" s="3277"/>
      <c r="S52" s="3248"/>
      <c r="T52" s="3247" t="s">
        <v>1379</v>
      </c>
      <c r="U52" s="1311" t="s">
        <v>1380</v>
      </c>
      <c r="V52" s="265">
        <v>7860000</v>
      </c>
      <c r="W52" s="3273"/>
      <c r="X52" s="3245"/>
      <c r="Y52" s="3245"/>
      <c r="Z52" s="3245"/>
      <c r="AA52" s="3254"/>
      <c r="AB52" s="3254"/>
      <c r="AC52" s="3254"/>
      <c r="AD52" s="3254"/>
      <c r="AE52" s="3286"/>
      <c r="AF52" s="3286"/>
      <c r="AG52" s="3289"/>
      <c r="AH52" s="3286"/>
      <c r="AI52" s="3286"/>
      <c r="AJ52" s="3286"/>
      <c r="AK52" s="3254"/>
      <c r="AL52" s="3254"/>
      <c r="AM52" s="3254"/>
      <c r="AN52" s="3254"/>
      <c r="AO52" s="3263"/>
      <c r="AP52" s="3263"/>
      <c r="AQ52" s="3266"/>
    </row>
    <row r="53" spans="1:43" s="1286" customFormat="1" ht="60" x14ac:dyDescent="0.2">
      <c r="A53" s="1304"/>
      <c r="B53" s="1305"/>
      <c r="C53" s="1306"/>
      <c r="D53" s="1305"/>
      <c r="E53" s="1305"/>
      <c r="F53" s="1306"/>
      <c r="G53" s="1310"/>
      <c r="H53" s="1305"/>
      <c r="I53" s="1306"/>
      <c r="J53" s="3245"/>
      <c r="K53" s="3248"/>
      <c r="L53" s="3245"/>
      <c r="M53" s="3245"/>
      <c r="N53" s="3245"/>
      <c r="O53" s="3245"/>
      <c r="P53" s="3248"/>
      <c r="Q53" s="2623"/>
      <c r="R53" s="3277"/>
      <c r="S53" s="3248"/>
      <c r="T53" s="3248"/>
      <c r="U53" s="1311" t="s">
        <v>1381</v>
      </c>
      <c r="V53" s="265">
        <v>6000000</v>
      </c>
      <c r="W53" s="3273"/>
      <c r="X53" s="3245"/>
      <c r="Y53" s="3245"/>
      <c r="Z53" s="3245"/>
      <c r="AA53" s="3254"/>
      <c r="AB53" s="3254"/>
      <c r="AC53" s="3254"/>
      <c r="AD53" s="3254"/>
      <c r="AE53" s="3286"/>
      <c r="AF53" s="3286"/>
      <c r="AG53" s="3289"/>
      <c r="AH53" s="3286"/>
      <c r="AI53" s="3286"/>
      <c r="AJ53" s="3286"/>
      <c r="AK53" s="3254"/>
      <c r="AL53" s="3254"/>
      <c r="AM53" s="3254"/>
      <c r="AN53" s="3254"/>
      <c r="AO53" s="3263"/>
      <c r="AP53" s="3263"/>
      <c r="AQ53" s="3266"/>
    </row>
    <row r="54" spans="1:43" s="1286" customFormat="1" ht="90" x14ac:dyDescent="0.2">
      <c r="A54" s="1304"/>
      <c r="B54" s="1305"/>
      <c r="C54" s="1306"/>
      <c r="D54" s="1305"/>
      <c r="E54" s="1305"/>
      <c r="F54" s="1306"/>
      <c r="G54" s="1310"/>
      <c r="H54" s="1305"/>
      <c r="I54" s="1306"/>
      <c r="J54" s="3245"/>
      <c r="K54" s="3248"/>
      <c r="L54" s="3245"/>
      <c r="M54" s="3245"/>
      <c r="N54" s="3245"/>
      <c r="O54" s="3245"/>
      <c r="P54" s="3248"/>
      <c r="Q54" s="2623"/>
      <c r="R54" s="3277"/>
      <c r="S54" s="3248"/>
      <c r="T54" s="3248"/>
      <c r="U54" s="1311" t="s">
        <v>1382</v>
      </c>
      <c r="V54" s="265">
        <v>6000000</v>
      </c>
      <c r="W54" s="3273"/>
      <c r="X54" s="3245"/>
      <c r="Y54" s="3245"/>
      <c r="Z54" s="3245"/>
      <c r="AA54" s="3254"/>
      <c r="AB54" s="3254"/>
      <c r="AC54" s="3254"/>
      <c r="AD54" s="3254"/>
      <c r="AE54" s="3286"/>
      <c r="AF54" s="3286"/>
      <c r="AG54" s="3289"/>
      <c r="AH54" s="3286"/>
      <c r="AI54" s="3286"/>
      <c r="AJ54" s="3286"/>
      <c r="AK54" s="3254"/>
      <c r="AL54" s="3254"/>
      <c r="AM54" s="3254"/>
      <c r="AN54" s="3254"/>
      <c r="AO54" s="3263"/>
      <c r="AP54" s="3263"/>
      <c r="AQ54" s="3266"/>
    </row>
    <row r="55" spans="1:43" s="1286" customFormat="1" ht="75" x14ac:dyDescent="0.2">
      <c r="A55" s="1304"/>
      <c r="B55" s="1305"/>
      <c r="C55" s="1306"/>
      <c r="D55" s="1305"/>
      <c r="E55" s="1305"/>
      <c r="F55" s="1306"/>
      <c r="G55" s="1310"/>
      <c r="H55" s="1305"/>
      <c r="I55" s="1306"/>
      <c r="J55" s="3245"/>
      <c r="K55" s="3248"/>
      <c r="L55" s="3245"/>
      <c r="M55" s="3245"/>
      <c r="N55" s="3245"/>
      <c r="O55" s="3245"/>
      <c r="P55" s="3248"/>
      <c r="Q55" s="2623"/>
      <c r="R55" s="3277"/>
      <c r="S55" s="3248"/>
      <c r="T55" s="3248"/>
      <c r="U55" s="1311" t="s">
        <v>1383</v>
      </c>
      <c r="V55" s="265">
        <v>6000000</v>
      </c>
      <c r="W55" s="3273"/>
      <c r="X55" s="3245"/>
      <c r="Y55" s="3245"/>
      <c r="Z55" s="3245"/>
      <c r="AA55" s="3254"/>
      <c r="AB55" s="3254"/>
      <c r="AC55" s="3254"/>
      <c r="AD55" s="3254"/>
      <c r="AE55" s="3286"/>
      <c r="AF55" s="3286"/>
      <c r="AG55" s="3289"/>
      <c r="AH55" s="3286"/>
      <c r="AI55" s="3286"/>
      <c r="AJ55" s="3286"/>
      <c r="AK55" s="3254"/>
      <c r="AL55" s="3254"/>
      <c r="AM55" s="3254"/>
      <c r="AN55" s="3254"/>
      <c r="AO55" s="3263"/>
      <c r="AP55" s="3263"/>
      <c r="AQ55" s="3266"/>
    </row>
    <row r="56" spans="1:43" s="1286" customFormat="1" ht="75" x14ac:dyDescent="0.2">
      <c r="A56" s="1304"/>
      <c r="B56" s="1305"/>
      <c r="C56" s="1306"/>
      <c r="D56" s="1305"/>
      <c r="E56" s="1305"/>
      <c r="F56" s="1306"/>
      <c r="G56" s="1310"/>
      <c r="H56" s="1305"/>
      <c r="I56" s="1306"/>
      <c r="J56" s="3245"/>
      <c r="K56" s="3248"/>
      <c r="L56" s="3245"/>
      <c r="M56" s="3245"/>
      <c r="N56" s="3245"/>
      <c r="O56" s="3245"/>
      <c r="P56" s="3248"/>
      <c r="Q56" s="2623"/>
      <c r="R56" s="3277"/>
      <c r="S56" s="3248"/>
      <c r="T56" s="3248"/>
      <c r="U56" s="1311" t="s">
        <v>1384</v>
      </c>
      <c r="V56" s="265">
        <v>6000000</v>
      </c>
      <c r="W56" s="3273"/>
      <c r="X56" s="3245"/>
      <c r="Y56" s="3245"/>
      <c r="Z56" s="3245"/>
      <c r="AA56" s="3254"/>
      <c r="AB56" s="3254"/>
      <c r="AC56" s="3254"/>
      <c r="AD56" s="3254"/>
      <c r="AE56" s="3286"/>
      <c r="AF56" s="3286"/>
      <c r="AG56" s="3289"/>
      <c r="AH56" s="3286"/>
      <c r="AI56" s="3286"/>
      <c r="AJ56" s="3286"/>
      <c r="AK56" s="3254"/>
      <c r="AL56" s="3254"/>
      <c r="AM56" s="3254"/>
      <c r="AN56" s="3254"/>
      <c r="AO56" s="3263"/>
      <c r="AP56" s="3263"/>
      <c r="AQ56" s="3266"/>
    </row>
    <row r="57" spans="1:43" s="1286" customFormat="1" ht="60" x14ac:dyDescent="0.2">
      <c r="A57" s="1304"/>
      <c r="B57" s="1305"/>
      <c r="C57" s="1306"/>
      <c r="D57" s="1305"/>
      <c r="E57" s="1305"/>
      <c r="F57" s="1306"/>
      <c r="G57" s="1310"/>
      <c r="H57" s="1305"/>
      <c r="I57" s="1306"/>
      <c r="J57" s="3245"/>
      <c r="K57" s="3248"/>
      <c r="L57" s="3245"/>
      <c r="M57" s="3245"/>
      <c r="N57" s="3245"/>
      <c r="O57" s="3245"/>
      <c r="P57" s="3248"/>
      <c r="Q57" s="2623"/>
      <c r="R57" s="3277"/>
      <c r="S57" s="3248"/>
      <c r="T57" s="3248"/>
      <c r="U57" s="1311" t="s">
        <v>1385</v>
      </c>
      <c r="V57" s="265">
        <v>6000000</v>
      </c>
      <c r="W57" s="3273"/>
      <c r="X57" s="3245"/>
      <c r="Y57" s="3245"/>
      <c r="Z57" s="3245"/>
      <c r="AA57" s="3254"/>
      <c r="AB57" s="3254"/>
      <c r="AC57" s="3254"/>
      <c r="AD57" s="3254"/>
      <c r="AE57" s="3286"/>
      <c r="AF57" s="3286"/>
      <c r="AG57" s="3289"/>
      <c r="AH57" s="3286"/>
      <c r="AI57" s="3286"/>
      <c r="AJ57" s="3286"/>
      <c r="AK57" s="3254"/>
      <c r="AL57" s="3254"/>
      <c r="AM57" s="3254"/>
      <c r="AN57" s="3254"/>
      <c r="AO57" s="3263"/>
      <c r="AP57" s="3263"/>
      <c r="AQ57" s="3266"/>
    </row>
    <row r="58" spans="1:43" s="1286" customFormat="1" ht="75" x14ac:dyDescent="0.2">
      <c r="A58" s="1304"/>
      <c r="B58" s="1305"/>
      <c r="C58" s="1306"/>
      <c r="D58" s="1305"/>
      <c r="E58" s="1305"/>
      <c r="F58" s="1306"/>
      <c r="G58" s="1310"/>
      <c r="H58" s="1305"/>
      <c r="I58" s="1306"/>
      <c r="J58" s="3245"/>
      <c r="K58" s="3248"/>
      <c r="L58" s="3245"/>
      <c r="M58" s="3245"/>
      <c r="N58" s="3245"/>
      <c r="O58" s="3245"/>
      <c r="P58" s="3248"/>
      <c r="Q58" s="2623"/>
      <c r="R58" s="3277"/>
      <c r="S58" s="3248"/>
      <c r="T58" s="3248"/>
      <c r="U58" s="1311" t="s">
        <v>1386</v>
      </c>
      <c r="V58" s="265">
        <v>6000000</v>
      </c>
      <c r="W58" s="3273"/>
      <c r="X58" s="3245"/>
      <c r="Y58" s="3245"/>
      <c r="Z58" s="3245"/>
      <c r="AA58" s="3254"/>
      <c r="AB58" s="3254"/>
      <c r="AC58" s="3254"/>
      <c r="AD58" s="3254"/>
      <c r="AE58" s="3286"/>
      <c r="AF58" s="3286"/>
      <c r="AG58" s="3289"/>
      <c r="AH58" s="3286"/>
      <c r="AI58" s="3286"/>
      <c r="AJ58" s="3286"/>
      <c r="AK58" s="3254"/>
      <c r="AL58" s="3254"/>
      <c r="AM58" s="3254"/>
      <c r="AN58" s="3254"/>
      <c r="AO58" s="3263"/>
      <c r="AP58" s="3263"/>
      <c r="AQ58" s="3266"/>
    </row>
    <row r="59" spans="1:43" s="1286" customFormat="1" ht="75" x14ac:dyDescent="0.2">
      <c r="A59" s="1304"/>
      <c r="B59" s="1305"/>
      <c r="C59" s="1306"/>
      <c r="D59" s="1305"/>
      <c r="E59" s="1305"/>
      <c r="F59" s="1306"/>
      <c r="G59" s="1310"/>
      <c r="H59" s="1305"/>
      <c r="I59" s="1306"/>
      <c r="J59" s="3245"/>
      <c r="K59" s="3248"/>
      <c r="L59" s="3245"/>
      <c r="M59" s="3245"/>
      <c r="N59" s="3245"/>
      <c r="O59" s="3245"/>
      <c r="P59" s="3248"/>
      <c r="Q59" s="2623"/>
      <c r="R59" s="3277"/>
      <c r="S59" s="3248"/>
      <c r="T59" s="3248"/>
      <c r="U59" s="1311" t="s">
        <v>1387</v>
      </c>
      <c r="V59" s="265">
        <v>6000000</v>
      </c>
      <c r="W59" s="3273"/>
      <c r="X59" s="3245"/>
      <c r="Y59" s="3245"/>
      <c r="Z59" s="3245"/>
      <c r="AA59" s="3254"/>
      <c r="AB59" s="3254"/>
      <c r="AC59" s="3254"/>
      <c r="AD59" s="3254"/>
      <c r="AE59" s="3286"/>
      <c r="AF59" s="3286"/>
      <c r="AG59" s="3289"/>
      <c r="AH59" s="3286"/>
      <c r="AI59" s="3286"/>
      <c r="AJ59" s="3286"/>
      <c r="AK59" s="3254"/>
      <c r="AL59" s="3254"/>
      <c r="AM59" s="3254"/>
      <c r="AN59" s="3254"/>
      <c r="AO59" s="3263"/>
      <c r="AP59" s="3263"/>
      <c r="AQ59" s="3266"/>
    </row>
    <row r="60" spans="1:43" s="1286" customFormat="1" ht="60" x14ac:dyDescent="0.2">
      <c r="A60" s="1304"/>
      <c r="B60" s="1305"/>
      <c r="C60" s="1306"/>
      <c r="D60" s="1305"/>
      <c r="E60" s="1305"/>
      <c r="F60" s="1306"/>
      <c r="G60" s="1310"/>
      <c r="H60" s="1305"/>
      <c r="I60" s="1306"/>
      <c r="J60" s="3245"/>
      <c r="K60" s="3248"/>
      <c r="L60" s="3245"/>
      <c r="M60" s="3245"/>
      <c r="N60" s="3245"/>
      <c r="O60" s="3245"/>
      <c r="P60" s="3248"/>
      <c r="Q60" s="2623"/>
      <c r="R60" s="3277"/>
      <c r="S60" s="3248"/>
      <c r="T60" s="3248"/>
      <c r="U60" s="1311" t="s">
        <v>1388</v>
      </c>
      <c r="V60" s="265">
        <v>6000000</v>
      </c>
      <c r="W60" s="3273"/>
      <c r="X60" s="3245"/>
      <c r="Y60" s="3245"/>
      <c r="Z60" s="3245"/>
      <c r="AA60" s="3254"/>
      <c r="AB60" s="3254"/>
      <c r="AC60" s="3254"/>
      <c r="AD60" s="3254"/>
      <c r="AE60" s="3286"/>
      <c r="AF60" s="3286"/>
      <c r="AG60" s="3289"/>
      <c r="AH60" s="3286"/>
      <c r="AI60" s="3286"/>
      <c r="AJ60" s="3286"/>
      <c r="AK60" s="3254"/>
      <c r="AL60" s="3254"/>
      <c r="AM60" s="3254"/>
      <c r="AN60" s="3254"/>
      <c r="AO60" s="3263"/>
      <c r="AP60" s="3263"/>
      <c r="AQ60" s="3266"/>
    </row>
    <row r="61" spans="1:43" s="1286" customFormat="1" ht="90" x14ac:dyDescent="0.2">
      <c r="A61" s="1304"/>
      <c r="B61" s="1305"/>
      <c r="C61" s="1306"/>
      <c r="D61" s="1305"/>
      <c r="E61" s="1305"/>
      <c r="F61" s="1306"/>
      <c r="G61" s="1310"/>
      <c r="H61" s="1305"/>
      <c r="I61" s="1306"/>
      <c r="J61" s="3245"/>
      <c r="K61" s="3248"/>
      <c r="L61" s="3245"/>
      <c r="M61" s="3245"/>
      <c r="N61" s="3245"/>
      <c r="O61" s="3245"/>
      <c r="P61" s="3248"/>
      <c r="Q61" s="2623"/>
      <c r="R61" s="3277"/>
      <c r="S61" s="3248"/>
      <c r="T61" s="3248"/>
      <c r="U61" s="1311" t="s">
        <v>1382</v>
      </c>
      <c r="V61" s="265">
        <v>6000000</v>
      </c>
      <c r="W61" s="3273"/>
      <c r="X61" s="3245"/>
      <c r="Y61" s="3245"/>
      <c r="Z61" s="3245"/>
      <c r="AA61" s="3254"/>
      <c r="AB61" s="3254"/>
      <c r="AC61" s="3254"/>
      <c r="AD61" s="3254"/>
      <c r="AE61" s="3286"/>
      <c r="AF61" s="3286"/>
      <c r="AG61" s="3289"/>
      <c r="AH61" s="3286"/>
      <c r="AI61" s="3286"/>
      <c r="AJ61" s="3286"/>
      <c r="AK61" s="3254"/>
      <c r="AL61" s="3254"/>
      <c r="AM61" s="3254"/>
      <c r="AN61" s="3254"/>
      <c r="AO61" s="3263"/>
      <c r="AP61" s="3263"/>
      <c r="AQ61" s="3266"/>
    </row>
    <row r="62" spans="1:43" s="1286" customFormat="1" ht="60" x14ac:dyDescent="0.2">
      <c r="A62" s="1304"/>
      <c r="B62" s="1305"/>
      <c r="C62" s="1306"/>
      <c r="D62" s="1305"/>
      <c r="E62" s="1305"/>
      <c r="F62" s="1306"/>
      <c r="G62" s="1310"/>
      <c r="H62" s="1305"/>
      <c r="I62" s="1306"/>
      <c r="J62" s="3245"/>
      <c r="K62" s="3248"/>
      <c r="L62" s="3245"/>
      <c r="M62" s="3245"/>
      <c r="N62" s="3245"/>
      <c r="O62" s="3245"/>
      <c r="P62" s="3248"/>
      <c r="Q62" s="2623"/>
      <c r="R62" s="3277"/>
      <c r="S62" s="3248"/>
      <c r="T62" s="3248"/>
      <c r="U62" s="1311" t="s">
        <v>1381</v>
      </c>
      <c r="V62" s="265">
        <v>6000000</v>
      </c>
      <c r="W62" s="3273"/>
      <c r="X62" s="3245"/>
      <c r="Y62" s="3245"/>
      <c r="Z62" s="3245"/>
      <c r="AA62" s="3254"/>
      <c r="AB62" s="3254"/>
      <c r="AC62" s="3254"/>
      <c r="AD62" s="3254"/>
      <c r="AE62" s="3286"/>
      <c r="AF62" s="3286"/>
      <c r="AG62" s="3289"/>
      <c r="AH62" s="3286"/>
      <c r="AI62" s="3286"/>
      <c r="AJ62" s="3286"/>
      <c r="AK62" s="3254"/>
      <c r="AL62" s="3254"/>
      <c r="AM62" s="3254"/>
      <c r="AN62" s="3254"/>
      <c r="AO62" s="3263"/>
      <c r="AP62" s="3263"/>
      <c r="AQ62" s="3266"/>
    </row>
    <row r="63" spans="1:43" s="1286" customFormat="1" ht="60" x14ac:dyDescent="0.2">
      <c r="A63" s="1304"/>
      <c r="B63" s="1305"/>
      <c r="C63" s="1306"/>
      <c r="D63" s="1305"/>
      <c r="E63" s="1305"/>
      <c r="F63" s="1306"/>
      <c r="G63" s="1310"/>
      <c r="H63" s="1305"/>
      <c r="I63" s="1306"/>
      <c r="J63" s="3246"/>
      <c r="K63" s="3249"/>
      <c r="L63" s="3246"/>
      <c r="M63" s="3246"/>
      <c r="N63" s="3245"/>
      <c r="O63" s="3245"/>
      <c r="P63" s="3248"/>
      <c r="Q63" s="2651"/>
      <c r="R63" s="3277"/>
      <c r="S63" s="3248"/>
      <c r="T63" s="3248"/>
      <c r="U63" s="1311" t="s">
        <v>1389</v>
      </c>
      <c r="V63" s="265">
        <v>1000000</v>
      </c>
      <c r="W63" s="3273"/>
      <c r="X63" s="3245"/>
      <c r="Y63" s="3245"/>
      <c r="Z63" s="3245"/>
      <c r="AA63" s="3254"/>
      <c r="AB63" s="3254"/>
      <c r="AC63" s="3254"/>
      <c r="AD63" s="3254"/>
      <c r="AE63" s="3286"/>
      <c r="AF63" s="3286"/>
      <c r="AG63" s="3289"/>
      <c r="AH63" s="3286"/>
      <c r="AI63" s="3286"/>
      <c r="AJ63" s="3286"/>
      <c r="AK63" s="3254"/>
      <c r="AL63" s="3254"/>
      <c r="AM63" s="3254"/>
      <c r="AN63" s="3254"/>
      <c r="AO63" s="3263"/>
      <c r="AP63" s="3263"/>
      <c r="AQ63" s="3266"/>
    </row>
    <row r="64" spans="1:43" s="1286" customFormat="1" ht="75" x14ac:dyDescent="0.2">
      <c r="A64" s="1304"/>
      <c r="B64" s="1305"/>
      <c r="C64" s="1306"/>
      <c r="D64" s="1305"/>
      <c r="E64" s="1305"/>
      <c r="F64" s="1306"/>
      <c r="G64" s="1310"/>
      <c r="H64" s="1305"/>
      <c r="I64" s="1306"/>
      <c r="J64" s="3244">
        <v>135</v>
      </c>
      <c r="K64" s="3247" t="s">
        <v>1390</v>
      </c>
      <c r="L64" s="3244" t="s">
        <v>1318</v>
      </c>
      <c r="M64" s="3244">
        <v>12</v>
      </c>
      <c r="N64" s="3245"/>
      <c r="O64" s="3245"/>
      <c r="P64" s="3248"/>
      <c r="Q64" s="2622">
        <f>(V64+V65+V66+V67+V68+V69)/R42</f>
        <v>0.21212121212121213</v>
      </c>
      <c r="R64" s="3277"/>
      <c r="S64" s="3248"/>
      <c r="T64" s="3248"/>
      <c r="U64" s="1288" t="s">
        <v>1391</v>
      </c>
      <c r="V64" s="261">
        <v>5000000</v>
      </c>
      <c r="W64" s="3273"/>
      <c r="X64" s="3245"/>
      <c r="Y64" s="3245"/>
      <c r="Z64" s="3245"/>
      <c r="AA64" s="3254"/>
      <c r="AB64" s="3254"/>
      <c r="AC64" s="3254"/>
      <c r="AD64" s="3254"/>
      <c r="AE64" s="3286"/>
      <c r="AF64" s="3286"/>
      <c r="AG64" s="3289"/>
      <c r="AH64" s="3286"/>
      <c r="AI64" s="3286"/>
      <c r="AJ64" s="3286"/>
      <c r="AK64" s="3254"/>
      <c r="AL64" s="3254"/>
      <c r="AM64" s="3254"/>
      <c r="AN64" s="3254"/>
      <c r="AO64" s="3263"/>
      <c r="AP64" s="3263"/>
      <c r="AQ64" s="3266"/>
    </row>
    <row r="65" spans="1:43" s="1286" customFormat="1" ht="75" x14ac:dyDescent="0.2">
      <c r="A65" s="1304"/>
      <c r="B65" s="1305"/>
      <c r="C65" s="1306"/>
      <c r="D65" s="1305"/>
      <c r="E65" s="1305"/>
      <c r="F65" s="1306"/>
      <c r="G65" s="1310"/>
      <c r="H65" s="1305"/>
      <c r="I65" s="1306"/>
      <c r="J65" s="3245"/>
      <c r="K65" s="3248"/>
      <c r="L65" s="3245"/>
      <c r="M65" s="3245"/>
      <c r="N65" s="3245"/>
      <c r="O65" s="3245"/>
      <c r="P65" s="3248"/>
      <c r="Q65" s="2623"/>
      <c r="R65" s="3277"/>
      <c r="S65" s="3248"/>
      <c r="T65" s="3248"/>
      <c r="U65" s="1288" t="s">
        <v>1392</v>
      </c>
      <c r="V65" s="261">
        <v>5000000</v>
      </c>
      <c r="W65" s="3273"/>
      <c r="X65" s="3245"/>
      <c r="Y65" s="3245"/>
      <c r="Z65" s="3245"/>
      <c r="AA65" s="3254"/>
      <c r="AB65" s="3254"/>
      <c r="AC65" s="3254"/>
      <c r="AD65" s="3254"/>
      <c r="AE65" s="3286"/>
      <c r="AF65" s="3286"/>
      <c r="AG65" s="3289"/>
      <c r="AH65" s="3286"/>
      <c r="AI65" s="3286"/>
      <c r="AJ65" s="3286"/>
      <c r="AK65" s="3254"/>
      <c r="AL65" s="3254"/>
      <c r="AM65" s="3254"/>
      <c r="AN65" s="3254"/>
      <c r="AO65" s="3263"/>
      <c r="AP65" s="3263"/>
      <c r="AQ65" s="3266"/>
    </row>
    <row r="66" spans="1:43" s="1286" customFormat="1" ht="90" x14ac:dyDescent="0.2">
      <c r="A66" s="1304"/>
      <c r="B66" s="1305"/>
      <c r="C66" s="1306"/>
      <c r="D66" s="1305"/>
      <c r="E66" s="1305"/>
      <c r="F66" s="1306"/>
      <c r="G66" s="1310"/>
      <c r="H66" s="1305"/>
      <c r="I66" s="1306"/>
      <c r="J66" s="3245"/>
      <c r="K66" s="3248"/>
      <c r="L66" s="3245"/>
      <c r="M66" s="3245"/>
      <c r="N66" s="3245"/>
      <c r="O66" s="3245"/>
      <c r="P66" s="3248"/>
      <c r="Q66" s="2623"/>
      <c r="R66" s="3277"/>
      <c r="S66" s="3248"/>
      <c r="T66" s="3248"/>
      <c r="U66" s="1288" t="s">
        <v>1393</v>
      </c>
      <c r="V66" s="261">
        <v>5000000</v>
      </c>
      <c r="W66" s="3273"/>
      <c r="X66" s="3245"/>
      <c r="Y66" s="3245"/>
      <c r="Z66" s="3245"/>
      <c r="AA66" s="3254"/>
      <c r="AB66" s="3254"/>
      <c r="AC66" s="3254"/>
      <c r="AD66" s="3254"/>
      <c r="AE66" s="3286"/>
      <c r="AF66" s="3286"/>
      <c r="AG66" s="3289"/>
      <c r="AH66" s="3286"/>
      <c r="AI66" s="3286"/>
      <c r="AJ66" s="3286"/>
      <c r="AK66" s="3254"/>
      <c r="AL66" s="3254"/>
      <c r="AM66" s="3254"/>
      <c r="AN66" s="3254"/>
      <c r="AO66" s="3263"/>
      <c r="AP66" s="3263"/>
      <c r="AQ66" s="3266"/>
    </row>
    <row r="67" spans="1:43" s="1286" customFormat="1" ht="120" x14ac:dyDescent="0.2">
      <c r="A67" s="1304"/>
      <c r="B67" s="1305"/>
      <c r="C67" s="1306"/>
      <c r="D67" s="1305"/>
      <c r="E67" s="1305"/>
      <c r="F67" s="1306"/>
      <c r="G67" s="1310"/>
      <c r="H67" s="1305"/>
      <c r="I67" s="1306"/>
      <c r="J67" s="3245"/>
      <c r="K67" s="3248"/>
      <c r="L67" s="3245"/>
      <c r="M67" s="3245"/>
      <c r="N67" s="3245"/>
      <c r="O67" s="3245"/>
      <c r="P67" s="3248"/>
      <c r="Q67" s="2623"/>
      <c r="R67" s="3277"/>
      <c r="S67" s="3248"/>
      <c r="T67" s="3248"/>
      <c r="U67" s="1288" t="s">
        <v>1394</v>
      </c>
      <c r="V67" s="261">
        <v>5000000</v>
      </c>
      <c r="W67" s="3273"/>
      <c r="X67" s="3245"/>
      <c r="Y67" s="3245"/>
      <c r="Z67" s="3245"/>
      <c r="AA67" s="3254"/>
      <c r="AB67" s="3254"/>
      <c r="AC67" s="3254"/>
      <c r="AD67" s="3254"/>
      <c r="AE67" s="3286"/>
      <c r="AF67" s="3286"/>
      <c r="AG67" s="3289"/>
      <c r="AH67" s="3286"/>
      <c r="AI67" s="3286"/>
      <c r="AJ67" s="3286"/>
      <c r="AK67" s="3254"/>
      <c r="AL67" s="3254"/>
      <c r="AM67" s="3254"/>
      <c r="AN67" s="3254"/>
      <c r="AO67" s="3263"/>
      <c r="AP67" s="3263"/>
      <c r="AQ67" s="3266"/>
    </row>
    <row r="68" spans="1:43" s="1286" customFormat="1" ht="75" x14ac:dyDescent="0.2">
      <c r="A68" s="1304"/>
      <c r="B68" s="1305"/>
      <c r="C68" s="1306"/>
      <c r="D68" s="1305"/>
      <c r="E68" s="1305"/>
      <c r="F68" s="1306"/>
      <c r="G68" s="1310"/>
      <c r="H68" s="1305"/>
      <c r="I68" s="1306"/>
      <c r="J68" s="3245"/>
      <c r="K68" s="3248"/>
      <c r="L68" s="3245"/>
      <c r="M68" s="3245"/>
      <c r="N68" s="3245"/>
      <c r="O68" s="3245"/>
      <c r="P68" s="3248"/>
      <c r="Q68" s="2623"/>
      <c r="R68" s="3277"/>
      <c r="S68" s="3248"/>
      <c r="T68" s="3248"/>
      <c r="U68" s="1288" t="s">
        <v>1395</v>
      </c>
      <c r="V68" s="261">
        <v>5000000</v>
      </c>
      <c r="W68" s="3273"/>
      <c r="X68" s="3245"/>
      <c r="Y68" s="3245"/>
      <c r="Z68" s="3245"/>
      <c r="AA68" s="3254"/>
      <c r="AB68" s="3254"/>
      <c r="AC68" s="3254"/>
      <c r="AD68" s="3254"/>
      <c r="AE68" s="3286"/>
      <c r="AF68" s="3286"/>
      <c r="AG68" s="3289"/>
      <c r="AH68" s="3286"/>
      <c r="AI68" s="3286"/>
      <c r="AJ68" s="3286"/>
      <c r="AK68" s="3254"/>
      <c r="AL68" s="3254"/>
      <c r="AM68" s="3254"/>
      <c r="AN68" s="3254"/>
      <c r="AO68" s="3263"/>
      <c r="AP68" s="3263"/>
      <c r="AQ68" s="3266"/>
    </row>
    <row r="69" spans="1:43" s="1286" customFormat="1" ht="75" x14ac:dyDescent="0.2">
      <c r="A69" s="1304"/>
      <c r="B69" s="1305"/>
      <c r="C69" s="1306"/>
      <c r="D69" s="1305"/>
      <c r="E69" s="1305"/>
      <c r="F69" s="1306"/>
      <c r="G69" s="1312"/>
      <c r="H69" s="1313"/>
      <c r="I69" s="1314"/>
      <c r="J69" s="3246"/>
      <c r="K69" s="3249"/>
      <c r="L69" s="3246"/>
      <c r="M69" s="3246"/>
      <c r="N69" s="3246"/>
      <c r="O69" s="3246"/>
      <c r="P69" s="3249"/>
      <c r="Q69" s="2651"/>
      <c r="R69" s="3278"/>
      <c r="S69" s="3249"/>
      <c r="T69" s="3249"/>
      <c r="U69" s="1288" t="s">
        <v>1396</v>
      </c>
      <c r="V69" s="261">
        <v>10000000</v>
      </c>
      <c r="W69" s="3274"/>
      <c r="X69" s="3246"/>
      <c r="Y69" s="3246"/>
      <c r="Z69" s="3246"/>
      <c r="AA69" s="3255"/>
      <c r="AB69" s="3255"/>
      <c r="AC69" s="3255"/>
      <c r="AD69" s="3255"/>
      <c r="AE69" s="3287"/>
      <c r="AF69" s="3287"/>
      <c r="AG69" s="3290"/>
      <c r="AH69" s="3287"/>
      <c r="AI69" s="3287"/>
      <c r="AJ69" s="3287"/>
      <c r="AK69" s="3255"/>
      <c r="AL69" s="3255"/>
      <c r="AM69" s="3255"/>
      <c r="AN69" s="3255"/>
      <c r="AO69" s="3264"/>
      <c r="AP69" s="3264"/>
      <c r="AQ69" s="3267"/>
    </row>
    <row r="70" spans="1:43" s="1303" customFormat="1" ht="33" customHeight="1" x14ac:dyDescent="0.2">
      <c r="A70" s="1265"/>
      <c r="B70" s="1266"/>
      <c r="C70" s="1267"/>
      <c r="D70" s="1266"/>
      <c r="E70" s="1266"/>
      <c r="F70" s="1267"/>
      <c r="G70" s="1299">
        <v>38</v>
      </c>
      <c r="H70" s="1271" t="s">
        <v>1397</v>
      </c>
      <c r="I70" s="1271"/>
      <c r="J70" s="1271"/>
      <c r="K70" s="1272"/>
      <c r="L70" s="1271"/>
      <c r="M70" s="1271"/>
      <c r="N70" s="1273"/>
      <c r="O70" s="1271"/>
      <c r="P70" s="1272"/>
      <c r="Q70" s="1271"/>
      <c r="R70" s="1271"/>
      <c r="S70" s="1271"/>
      <c r="T70" s="1272"/>
      <c r="U70" s="1272"/>
      <c r="V70" s="1300"/>
      <c r="W70" s="1301"/>
      <c r="X70" s="1273"/>
      <c r="Y70" s="1273"/>
      <c r="Z70" s="1273"/>
      <c r="AA70" s="1302"/>
      <c r="AB70" s="1302"/>
      <c r="AC70" s="1273"/>
      <c r="AD70" s="1302"/>
      <c r="AE70" s="1302"/>
      <c r="AF70" s="1302"/>
      <c r="AG70" s="1302"/>
      <c r="AH70" s="1302"/>
      <c r="AI70" s="1302"/>
      <c r="AJ70" s="1273"/>
      <c r="AK70" s="1302"/>
      <c r="AL70" s="1302"/>
      <c r="AM70" s="1273"/>
      <c r="AN70" s="1302"/>
      <c r="AO70" s="1271"/>
      <c r="AP70" s="1271"/>
      <c r="AQ70" s="1278"/>
    </row>
    <row r="71" spans="1:43" s="1286" customFormat="1" ht="72" customHeight="1" x14ac:dyDescent="0.2">
      <c r="A71" s="1279"/>
      <c r="B71" s="1280"/>
      <c r="C71" s="1281"/>
      <c r="D71" s="1280"/>
      <c r="E71" s="1280"/>
      <c r="F71" s="1281"/>
      <c r="G71" s="1282"/>
      <c r="H71" s="1283"/>
      <c r="I71" s="1284"/>
      <c r="J71" s="3244">
        <v>136</v>
      </c>
      <c r="K71" s="3244" t="s">
        <v>1398</v>
      </c>
      <c r="L71" s="3244" t="s">
        <v>1318</v>
      </c>
      <c r="M71" s="3244">
        <v>12</v>
      </c>
      <c r="N71" s="3244" t="s">
        <v>1399</v>
      </c>
      <c r="O71" s="3244">
        <v>135</v>
      </c>
      <c r="P71" s="3247" t="s">
        <v>1400</v>
      </c>
      <c r="Q71" s="2622">
        <f>(V71+V72+V73+V74+V75+V76+V77+V78+V79)/R71</f>
        <v>0.2869150937874832</v>
      </c>
      <c r="R71" s="3276">
        <f>SUM(V71:V89)</f>
        <v>148649900</v>
      </c>
      <c r="S71" s="3247" t="s">
        <v>1401</v>
      </c>
      <c r="T71" s="3244" t="s">
        <v>1402</v>
      </c>
      <c r="U71" s="1315" t="s">
        <v>1403</v>
      </c>
      <c r="V71" s="265">
        <v>4500000</v>
      </c>
      <c r="W71" s="3272">
        <v>61</v>
      </c>
      <c r="X71" s="3244" t="s">
        <v>1324</v>
      </c>
      <c r="Y71" s="3244">
        <v>292684</v>
      </c>
      <c r="Z71" s="3244">
        <v>282326</v>
      </c>
      <c r="AA71" s="3285">
        <v>135912</v>
      </c>
      <c r="AB71" s="3285">
        <v>45122</v>
      </c>
      <c r="AC71" s="3291">
        <f>SUM(AC42)</f>
        <v>307101</v>
      </c>
      <c r="AD71" s="3285">
        <f>SUM(AD42)</f>
        <v>86875</v>
      </c>
      <c r="AE71" s="3285">
        <f>SUM(AE42)</f>
        <v>2145</v>
      </c>
      <c r="AF71" s="3285">
        <v>12718</v>
      </c>
      <c r="AG71" s="3285">
        <v>26</v>
      </c>
      <c r="AH71" s="3285">
        <v>37</v>
      </c>
      <c r="AI71" s="3285" t="s">
        <v>1325</v>
      </c>
      <c r="AJ71" s="3291" t="s">
        <v>1325</v>
      </c>
      <c r="AK71" s="3285">
        <v>53164</v>
      </c>
      <c r="AL71" s="3285">
        <v>16982</v>
      </c>
      <c r="AM71" s="3291">
        <v>60013</v>
      </c>
      <c r="AN71" s="3285">
        <v>575010</v>
      </c>
      <c r="AO71" s="3262">
        <v>43101</v>
      </c>
      <c r="AP71" s="3262">
        <v>43465</v>
      </c>
      <c r="AQ71" s="3265" t="s">
        <v>1326</v>
      </c>
    </row>
    <row r="72" spans="1:43" s="1286" customFormat="1" ht="103.5" customHeight="1" x14ac:dyDescent="0.2">
      <c r="A72" s="1279"/>
      <c r="B72" s="1280"/>
      <c r="C72" s="1281"/>
      <c r="D72" s="1280"/>
      <c r="E72" s="1280"/>
      <c r="F72" s="1281"/>
      <c r="G72" s="1287"/>
      <c r="H72" s="1280"/>
      <c r="I72" s="1281"/>
      <c r="J72" s="3245"/>
      <c r="K72" s="3245"/>
      <c r="L72" s="3245"/>
      <c r="M72" s="3245"/>
      <c r="N72" s="3245"/>
      <c r="O72" s="3245"/>
      <c r="P72" s="3248"/>
      <c r="Q72" s="2623"/>
      <c r="R72" s="3277"/>
      <c r="S72" s="3248"/>
      <c r="T72" s="3245"/>
      <c r="U72" s="1315" t="s">
        <v>1404</v>
      </c>
      <c r="V72" s="265">
        <v>7149900</v>
      </c>
      <c r="W72" s="3273"/>
      <c r="X72" s="3245"/>
      <c r="Y72" s="3245"/>
      <c r="Z72" s="3245"/>
      <c r="AA72" s="3286"/>
      <c r="AB72" s="3286"/>
      <c r="AC72" s="3292"/>
      <c r="AD72" s="3286"/>
      <c r="AE72" s="3286"/>
      <c r="AF72" s="3286"/>
      <c r="AG72" s="3286"/>
      <c r="AH72" s="3286"/>
      <c r="AI72" s="3286"/>
      <c r="AJ72" s="3292"/>
      <c r="AK72" s="3286"/>
      <c r="AL72" s="3286"/>
      <c r="AM72" s="3292"/>
      <c r="AN72" s="3286"/>
      <c r="AO72" s="3263"/>
      <c r="AP72" s="3263"/>
      <c r="AQ72" s="3266"/>
    </row>
    <row r="73" spans="1:43" s="1286" customFormat="1" ht="90" x14ac:dyDescent="0.2">
      <c r="A73" s="1279"/>
      <c r="B73" s="1280"/>
      <c r="C73" s="1281"/>
      <c r="D73" s="1280"/>
      <c r="E73" s="1280"/>
      <c r="F73" s="1281"/>
      <c r="G73" s="1287"/>
      <c r="H73" s="1280"/>
      <c r="I73" s="1281"/>
      <c r="J73" s="3245"/>
      <c r="K73" s="3245"/>
      <c r="L73" s="3245"/>
      <c r="M73" s="3245"/>
      <c r="N73" s="3245"/>
      <c r="O73" s="3245"/>
      <c r="P73" s="3248"/>
      <c r="Q73" s="2623"/>
      <c r="R73" s="3277"/>
      <c r="S73" s="3248"/>
      <c r="T73" s="3245"/>
      <c r="U73" s="1315" t="s">
        <v>1405</v>
      </c>
      <c r="V73" s="265">
        <v>4500000</v>
      </c>
      <c r="W73" s="3273"/>
      <c r="X73" s="3245"/>
      <c r="Y73" s="3245"/>
      <c r="Z73" s="3245"/>
      <c r="AA73" s="3286"/>
      <c r="AB73" s="3286"/>
      <c r="AC73" s="3292"/>
      <c r="AD73" s="3286"/>
      <c r="AE73" s="3286"/>
      <c r="AF73" s="3286"/>
      <c r="AG73" s="3286"/>
      <c r="AH73" s="3286"/>
      <c r="AI73" s="3286"/>
      <c r="AJ73" s="3292"/>
      <c r="AK73" s="3286"/>
      <c r="AL73" s="3286"/>
      <c r="AM73" s="3292"/>
      <c r="AN73" s="3286"/>
      <c r="AO73" s="3263"/>
      <c r="AP73" s="3263"/>
      <c r="AQ73" s="3266"/>
    </row>
    <row r="74" spans="1:43" s="1286" customFormat="1" ht="60" x14ac:dyDescent="0.2">
      <c r="A74" s="1279"/>
      <c r="B74" s="1280"/>
      <c r="C74" s="1281"/>
      <c r="D74" s="1280"/>
      <c r="E74" s="1280"/>
      <c r="F74" s="1281"/>
      <c r="G74" s="1287"/>
      <c r="H74" s="1280"/>
      <c r="I74" s="1281"/>
      <c r="J74" s="3245"/>
      <c r="K74" s="3245"/>
      <c r="L74" s="3245"/>
      <c r="M74" s="3245"/>
      <c r="N74" s="3245"/>
      <c r="O74" s="3245"/>
      <c r="P74" s="3248"/>
      <c r="Q74" s="2623"/>
      <c r="R74" s="3277"/>
      <c r="S74" s="3248"/>
      <c r="T74" s="3245"/>
      <c r="U74" s="1315" t="s">
        <v>1406</v>
      </c>
      <c r="V74" s="265">
        <v>4500000</v>
      </c>
      <c r="W74" s="3273"/>
      <c r="X74" s="3245"/>
      <c r="Y74" s="3245"/>
      <c r="Z74" s="3245"/>
      <c r="AA74" s="3286"/>
      <c r="AB74" s="3286"/>
      <c r="AC74" s="3292"/>
      <c r="AD74" s="3286"/>
      <c r="AE74" s="3286"/>
      <c r="AF74" s="3286"/>
      <c r="AG74" s="3286"/>
      <c r="AH74" s="3286"/>
      <c r="AI74" s="3286"/>
      <c r="AJ74" s="3292"/>
      <c r="AK74" s="3286"/>
      <c r="AL74" s="3286"/>
      <c r="AM74" s="3292"/>
      <c r="AN74" s="3286"/>
      <c r="AO74" s="3263"/>
      <c r="AP74" s="3263"/>
      <c r="AQ74" s="3266"/>
    </row>
    <row r="75" spans="1:43" s="1286" customFormat="1" ht="120" x14ac:dyDescent="0.2">
      <c r="A75" s="1279"/>
      <c r="B75" s="1280"/>
      <c r="C75" s="1281"/>
      <c r="D75" s="1280"/>
      <c r="E75" s="1280"/>
      <c r="F75" s="1281"/>
      <c r="G75" s="1287"/>
      <c r="H75" s="1280"/>
      <c r="I75" s="1281"/>
      <c r="J75" s="3245"/>
      <c r="K75" s="3245"/>
      <c r="L75" s="3245"/>
      <c r="M75" s="3245"/>
      <c r="N75" s="3245"/>
      <c r="O75" s="3245"/>
      <c r="P75" s="3248"/>
      <c r="Q75" s="2623"/>
      <c r="R75" s="3277"/>
      <c r="S75" s="3248"/>
      <c r="T75" s="3245"/>
      <c r="U75" s="1315" t="s">
        <v>1407</v>
      </c>
      <c r="V75" s="265">
        <v>4500000</v>
      </c>
      <c r="W75" s="3273"/>
      <c r="X75" s="3245"/>
      <c r="Y75" s="3245"/>
      <c r="Z75" s="3245"/>
      <c r="AA75" s="3286"/>
      <c r="AB75" s="3286"/>
      <c r="AC75" s="3292"/>
      <c r="AD75" s="3286"/>
      <c r="AE75" s="3286"/>
      <c r="AF75" s="3286"/>
      <c r="AG75" s="3286"/>
      <c r="AH75" s="3286"/>
      <c r="AI75" s="3286"/>
      <c r="AJ75" s="3292"/>
      <c r="AK75" s="3286"/>
      <c r="AL75" s="3286"/>
      <c r="AM75" s="3292"/>
      <c r="AN75" s="3286"/>
      <c r="AO75" s="3263"/>
      <c r="AP75" s="3263"/>
      <c r="AQ75" s="3266"/>
    </row>
    <row r="76" spans="1:43" s="1286" customFormat="1" ht="120" x14ac:dyDescent="0.2">
      <c r="A76" s="1279"/>
      <c r="B76" s="1280"/>
      <c r="C76" s="1281"/>
      <c r="D76" s="1280"/>
      <c r="E76" s="1280"/>
      <c r="F76" s="1281"/>
      <c r="G76" s="1287"/>
      <c r="H76" s="1280"/>
      <c r="I76" s="1281"/>
      <c r="J76" s="3245"/>
      <c r="K76" s="3245"/>
      <c r="L76" s="3245"/>
      <c r="M76" s="3245"/>
      <c r="N76" s="3245"/>
      <c r="O76" s="3245"/>
      <c r="P76" s="3248"/>
      <c r="Q76" s="2623"/>
      <c r="R76" s="3277"/>
      <c r="S76" s="3248"/>
      <c r="T76" s="3245"/>
      <c r="U76" s="1315" t="s">
        <v>1408</v>
      </c>
      <c r="V76" s="265">
        <v>4500000</v>
      </c>
      <c r="W76" s="3273"/>
      <c r="X76" s="3245"/>
      <c r="Y76" s="3245"/>
      <c r="Z76" s="3245"/>
      <c r="AA76" s="3286"/>
      <c r="AB76" s="3286"/>
      <c r="AC76" s="3292"/>
      <c r="AD76" s="3286"/>
      <c r="AE76" s="3286"/>
      <c r="AF76" s="3286"/>
      <c r="AG76" s="3286"/>
      <c r="AH76" s="3286"/>
      <c r="AI76" s="3286"/>
      <c r="AJ76" s="3292"/>
      <c r="AK76" s="3286"/>
      <c r="AL76" s="3286"/>
      <c r="AM76" s="3292"/>
      <c r="AN76" s="3286"/>
      <c r="AO76" s="3263"/>
      <c r="AP76" s="3263"/>
      <c r="AQ76" s="3266"/>
    </row>
    <row r="77" spans="1:43" s="1286" customFormat="1" ht="75" x14ac:dyDescent="0.2">
      <c r="A77" s="1279"/>
      <c r="B77" s="1280"/>
      <c r="C77" s="1281"/>
      <c r="D77" s="1280"/>
      <c r="E77" s="1280"/>
      <c r="F77" s="1281"/>
      <c r="G77" s="1287"/>
      <c r="H77" s="1280"/>
      <c r="I77" s="1281"/>
      <c r="J77" s="3245"/>
      <c r="K77" s="3245"/>
      <c r="L77" s="3245"/>
      <c r="M77" s="3245"/>
      <c r="N77" s="3245"/>
      <c r="O77" s="3245"/>
      <c r="P77" s="3248"/>
      <c r="Q77" s="2623"/>
      <c r="R77" s="3277"/>
      <c r="S77" s="3248"/>
      <c r="T77" s="3245"/>
      <c r="U77" s="1315" t="s">
        <v>1409</v>
      </c>
      <c r="V77" s="265">
        <v>4500000</v>
      </c>
      <c r="W77" s="3273"/>
      <c r="X77" s="3245"/>
      <c r="Y77" s="3245"/>
      <c r="Z77" s="3245"/>
      <c r="AA77" s="3286"/>
      <c r="AB77" s="3286"/>
      <c r="AC77" s="3292"/>
      <c r="AD77" s="3286"/>
      <c r="AE77" s="3286"/>
      <c r="AF77" s="3286"/>
      <c r="AG77" s="3286"/>
      <c r="AH77" s="3286"/>
      <c r="AI77" s="3286"/>
      <c r="AJ77" s="3292"/>
      <c r="AK77" s="3286"/>
      <c r="AL77" s="3286"/>
      <c r="AM77" s="3292"/>
      <c r="AN77" s="3286"/>
      <c r="AO77" s="3263"/>
      <c r="AP77" s="3263"/>
      <c r="AQ77" s="3266"/>
    </row>
    <row r="78" spans="1:43" s="1286" customFormat="1" ht="60" x14ac:dyDescent="0.2">
      <c r="A78" s="1279"/>
      <c r="B78" s="1280"/>
      <c r="C78" s="1281"/>
      <c r="D78" s="1280"/>
      <c r="E78" s="1280"/>
      <c r="F78" s="1281"/>
      <c r="G78" s="1287"/>
      <c r="H78" s="1280"/>
      <c r="I78" s="1281"/>
      <c r="J78" s="3245"/>
      <c r="K78" s="3245"/>
      <c r="L78" s="3245"/>
      <c r="M78" s="3245"/>
      <c r="N78" s="3245"/>
      <c r="O78" s="3245"/>
      <c r="P78" s="3248"/>
      <c r="Q78" s="2623"/>
      <c r="R78" s="3277"/>
      <c r="S78" s="3248"/>
      <c r="T78" s="3245"/>
      <c r="U78" s="1315" t="s">
        <v>1410</v>
      </c>
      <c r="V78" s="265">
        <v>4500000</v>
      </c>
      <c r="W78" s="3273"/>
      <c r="X78" s="3245"/>
      <c r="Y78" s="3245"/>
      <c r="Z78" s="3245"/>
      <c r="AA78" s="3286"/>
      <c r="AB78" s="3286"/>
      <c r="AC78" s="3292"/>
      <c r="AD78" s="3286"/>
      <c r="AE78" s="3286"/>
      <c r="AF78" s="3286"/>
      <c r="AG78" s="3286"/>
      <c r="AH78" s="3286"/>
      <c r="AI78" s="3286"/>
      <c r="AJ78" s="3292"/>
      <c r="AK78" s="3286"/>
      <c r="AL78" s="3286"/>
      <c r="AM78" s="3292"/>
      <c r="AN78" s="3286"/>
      <c r="AO78" s="3263"/>
      <c r="AP78" s="3263"/>
      <c r="AQ78" s="3266"/>
    </row>
    <row r="79" spans="1:43" s="1286" customFormat="1" ht="105" x14ac:dyDescent="0.2">
      <c r="A79" s="1279"/>
      <c r="B79" s="1280"/>
      <c r="C79" s="1281"/>
      <c r="D79" s="1280"/>
      <c r="E79" s="1280"/>
      <c r="F79" s="1281"/>
      <c r="G79" s="1287"/>
      <c r="H79" s="1280"/>
      <c r="I79" s="1281"/>
      <c r="J79" s="3246"/>
      <c r="K79" s="3246"/>
      <c r="L79" s="3246"/>
      <c r="M79" s="3246"/>
      <c r="N79" s="3245"/>
      <c r="O79" s="3245"/>
      <c r="P79" s="3248"/>
      <c r="Q79" s="2651"/>
      <c r="R79" s="3277"/>
      <c r="S79" s="3248"/>
      <c r="T79" s="3246"/>
      <c r="U79" s="1315" t="s">
        <v>1411</v>
      </c>
      <c r="V79" s="265">
        <v>4000000</v>
      </c>
      <c r="W79" s="3273"/>
      <c r="X79" s="3245"/>
      <c r="Y79" s="3245"/>
      <c r="Z79" s="3245"/>
      <c r="AA79" s="3286"/>
      <c r="AB79" s="3286"/>
      <c r="AC79" s="3292"/>
      <c r="AD79" s="3286"/>
      <c r="AE79" s="3286"/>
      <c r="AF79" s="3286"/>
      <c r="AG79" s="3286"/>
      <c r="AH79" s="3286"/>
      <c r="AI79" s="3286"/>
      <c r="AJ79" s="3292"/>
      <c r="AK79" s="3286"/>
      <c r="AL79" s="3286"/>
      <c r="AM79" s="3292"/>
      <c r="AN79" s="3286"/>
      <c r="AO79" s="3263"/>
      <c r="AP79" s="3263"/>
      <c r="AQ79" s="3266"/>
    </row>
    <row r="80" spans="1:43" s="1286" customFormat="1" ht="75" x14ac:dyDescent="0.2">
      <c r="A80" s="1279"/>
      <c r="B80" s="1280"/>
      <c r="C80" s="1281"/>
      <c r="D80" s="1280"/>
      <c r="E80" s="1280"/>
      <c r="F80" s="1281"/>
      <c r="G80" s="1287"/>
      <c r="H80" s="1280"/>
      <c r="I80" s="1281"/>
      <c r="J80" s="3244">
        <v>137</v>
      </c>
      <c r="K80" s="3247" t="s">
        <v>1412</v>
      </c>
      <c r="L80" s="3244" t="s">
        <v>1318</v>
      </c>
      <c r="M80" s="3244">
        <v>12</v>
      </c>
      <c r="N80" s="3245"/>
      <c r="O80" s="3245"/>
      <c r="P80" s="3248"/>
      <c r="Q80" s="2622">
        <f>(V80+V84+V81+V82+V83)/R71</f>
        <v>0.35654245310625837</v>
      </c>
      <c r="R80" s="3277"/>
      <c r="S80" s="3248"/>
      <c r="T80" s="3247" t="s">
        <v>1413</v>
      </c>
      <c r="U80" s="1315" t="s">
        <v>1414</v>
      </c>
      <c r="V80" s="261">
        <v>10600000</v>
      </c>
      <c r="W80" s="3273"/>
      <c r="X80" s="3245"/>
      <c r="Y80" s="3245"/>
      <c r="Z80" s="3245"/>
      <c r="AA80" s="3286"/>
      <c r="AB80" s="3286"/>
      <c r="AC80" s="3292"/>
      <c r="AD80" s="3286"/>
      <c r="AE80" s="3286"/>
      <c r="AF80" s="3286"/>
      <c r="AG80" s="3286"/>
      <c r="AH80" s="3286"/>
      <c r="AI80" s="3286"/>
      <c r="AJ80" s="3292"/>
      <c r="AK80" s="3286"/>
      <c r="AL80" s="3286"/>
      <c r="AM80" s="3292"/>
      <c r="AN80" s="3286"/>
      <c r="AO80" s="3263"/>
      <c r="AP80" s="3263"/>
      <c r="AQ80" s="3266"/>
    </row>
    <row r="81" spans="1:331" s="1286" customFormat="1" ht="90" x14ac:dyDescent="0.2">
      <c r="A81" s="1279"/>
      <c r="B81" s="1280"/>
      <c r="C81" s="1281"/>
      <c r="D81" s="1280"/>
      <c r="E81" s="1280"/>
      <c r="F81" s="1281"/>
      <c r="G81" s="1287"/>
      <c r="H81" s="1280"/>
      <c r="I81" s="1281"/>
      <c r="J81" s="3245"/>
      <c r="K81" s="3248"/>
      <c r="L81" s="3245"/>
      <c r="M81" s="3245"/>
      <c r="N81" s="3245"/>
      <c r="O81" s="3245"/>
      <c r="P81" s="3248"/>
      <c r="Q81" s="2623"/>
      <c r="R81" s="3277"/>
      <c r="S81" s="3248"/>
      <c r="T81" s="3248"/>
      <c r="U81" s="1315" t="s">
        <v>1415</v>
      </c>
      <c r="V81" s="261">
        <v>10600000</v>
      </c>
      <c r="W81" s="3273"/>
      <c r="X81" s="3245"/>
      <c r="Y81" s="3245"/>
      <c r="Z81" s="3245"/>
      <c r="AA81" s="3286"/>
      <c r="AB81" s="3286"/>
      <c r="AC81" s="3292"/>
      <c r="AD81" s="3286"/>
      <c r="AE81" s="3286"/>
      <c r="AF81" s="3286"/>
      <c r="AG81" s="3286"/>
      <c r="AH81" s="3286"/>
      <c r="AI81" s="3286"/>
      <c r="AJ81" s="3292"/>
      <c r="AK81" s="3286"/>
      <c r="AL81" s="3286"/>
      <c r="AM81" s="3292"/>
      <c r="AN81" s="3286"/>
      <c r="AO81" s="3263"/>
      <c r="AP81" s="3263"/>
      <c r="AQ81" s="3266"/>
    </row>
    <row r="82" spans="1:331" s="1286" customFormat="1" ht="75" x14ac:dyDescent="0.2">
      <c r="A82" s="1279"/>
      <c r="B82" s="1280"/>
      <c r="C82" s="1281"/>
      <c r="D82" s="1280"/>
      <c r="E82" s="1280"/>
      <c r="F82" s="1281"/>
      <c r="G82" s="1287"/>
      <c r="H82" s="1280"/>
      <c r="I82" s="1281"/>
      <c r="J82" s="3245"/>
      <c r="K82" s="3248"/>
      <c r="L82" s="3245"/>
      <c r="M82" s="3245"/>
      <c r="N82" s="3245"/>
      <c r="O82" s="3245"/>
      <c r="P82" s="3248"/>
      <c r="Q82" s="2623"/>
      <c r="R82" s="3277"/>
      <c r="S82" s="3248"/>
      <c r="T82" s="3248"/>
      <c r="U82" s="1315" t="s">
        <v>1416</v>
      </c>
      <c r="V82" s="261">
        <v>10600000</v>
      </c>
      <c r="W82" s="3273"/>
      <c r="X82" s="3245"/>
      <c r="Y82" s="3245"/>
      <c r="Z82" s="3245"/>
      <c r="AA82" s="3286"/>
      <c r="AB82" s="3286"/>
      <c r="AC82" s="3292"/>
      <c r="AD82" s="3286"/>
      <c r="AE82" s="3286"/>
      <c r="AF82" s="3286"/>
      <c r="AG82" s="3286"/>
      <c r="AH82" s="3286"/>
      <c r="AI82" s="3286"/>
      <c r="AJ82" s="3292"/>
      <c r="AK82" s="3286"/>
      <c r="AL82" s="3286"/>
      <c r="AM82" s="3292"/>
      <c r="AN82" s="3286"/>
      <c r="AO82" s="3263"/>
      <c r="AP82" s="3263"/>
      <c r="AQ82" s="3266"/>
    </row>
    <row r="83" spans="1:331" s="1286" customFormat="1" ht="90" x14ac:dyDescent="0.2">
      <c r="A83" s="1279"/>
      <c r="B83" s="1280"/>
      <c r="C83" s="1281"/>
      <c r="D83" s="1280"/>
      <c r="E83" s="1280"/>
      <c r="F83" s="1281"/>
      <c r="G83" s="1287"/>
      <c r="H83" s="1280"/>
      <c r="I83" s="1281"/>
      <c r="J83" s="3245"/>
      <c r="K83" s="3248"/>
      <c r="L83" s="3245"/>
      <c r="M83" s="3245"/>
      <c r="N83" s="3245"/>
      <c r="O83" s="3245"/>
      <c r="P83" s="3248"/>
      <c r="Q83" s="2623"/>
      <c r="R83" s="3277"/>
      <c r="S83" s="3248"/>
      <c r="T83" s="3248"/>
      <c r="U83" s="1315" t="s">
        <v>1417</v>
      </c>
      <c r="V83" s="261">
        <v>10600000</v>
      </c>
      <c r="W83" s="3273"/>
      <c r="X83" s="3245"/>
      <c r="Y83" s="3245"/>
      <c r="Z83" s="3245"/>
      <c r="AA83" s="3286"/>
      <c r="AB83" s="3286"/>
      <c r="AC83" s="3292"/>
      <c r="AD83" s="3286"/>
      <c r="AE83" s="3286"/>
      <c r="AF83" s="3286"/>
      <c r="AG83" s="3286"/>
      <c r="AH83" s="3286"/>
      <c r="AI83" s="3286"/>
      <c r="AJ83" s="3292"/>
      <c r="AK83" s="3286"/>
      <c r="AL83" s="3286"/>
      <c r="AM83" s="3292"/>
      <c r="AN83" s="3286"/>
      <c r="AO83" s="3263"/>
      <c r="AP83" s="3263"/>
      <c r="AQ83" s="3266"/>
    </row>
    <row r="84" spans="1:331" s="1286" customFormat="1" ht="75" x14ac:dyDescent="0.2">
      <c r="A84" s="1279"/>
      <c r="B84" s="1280"/>
      <c r="C84" s="1281"/>
      <c r="D84" s="1280"/>
      <c r="E84" s="1280"/>
      <c r="F84" s="1281"/>
      <c r="G84" s="1287"/>
      <c r="H84" s="1280"/>
      <c r="I84" s="1281"/>
      <c r="J84" s="3246"/>
      <c r="K84" s="3249"/>
      <c r="L84" s="3246"/>
      <c r="M84" s="3246"/>
      <c r="N84" s="3245"/>
      <c r="O84" s="3245"/>
      <c r="P84" s="3248"/>
      <c r="Q84" s="2651"/>
      <c r="R84" s="3277"/>
      <c r="S84" s="3248"/>
      <c r="T84" s="3249"/>
      <c r="U84" s="1315" t="s">
        <v>1418</v>
      </c>
      <c r="V84" s="261">
        <v>10600000</v>
      </c>
      <c r="W84" s="3273"/>
      <c r="X84" s="3245"/>
      <c r="Y84" s="3245"/>
      <c r="Z84" s="3245"/>
      <c r="AA84" s="3286"/>
      <c r="AB84" s="3286"/>
      <c r="AC84" s="3292"/>
      <c r="AD84" s="3286"/>
      <c r="AE84" s="3286"/>
      <c r="AF84" s="3286"/>
      <c r="AG84" s="3286"/>
      <c r="AH84" s="3286"/>
      <c r="AI84" s="3286"/>
      <c r="AJ84" s="3292"/>
      <c r="AK84" s="3286"/>
      <c r="AL84" s="3286"/>
      <c r="AM84" s="3292"/>
      <c r="AN84" s="3286"/>
      <c r="AO84" s="3263"/>
      <c r="AP84" s="3263"/>
      <c r="AQ84" s="3266"/>
    </row>
    <row r="85" spans="1:331" s="1286" customFormat="1" ht="105" x14ac:dyDescent="0.2">
      <c r="A85" s="1279"/>
      <c r="B85" s="1280"/>
      <c r="C85" s="1281"/>
      <c r="D85" s="1280"/>
      <c r="E85" s="1280"/>
      <c r="F85" s="1281"/>
      <c r="G85" s="1287"/>
      <c r="H85" s="1280"/>
      <c r="I85" s="1281"/>
      <c r="J85" s="3294">
        <v>138</v>
      </c>
      <c r="K85" s="3297" t="s">
        <v>1419</v>
      </c>
      <c r="L85" s="3294" t="s">
        <v>1318</v>
      </c>
      <c r="M85" s="3294">
        <v>12</v>
      </c>
      <c r="N85" s="3245"/>
      <c r="O85" s="3245"/>
      <c r="P85" s="3248"/>
      <c r="Q85" s="2051">
        <f>(V85+V86+V87+V88+V89)/R71</f>
        <v>0.35654245310625837</v>
      </c>
      <c r="R85" s="3277"/>
      <c r="S85" s="3248"/>
      <c r="T85" s="3297" t="s">
        <v>1420</v>
      </c>
      <c r="U85" s="1316" t="s">
        <v>1421</v>
      </c>
      <c r="V85" s="261">
        <v>10600000</v>
      </c>
      <c r="W85" s="3273"/>
      <c r="X85" s="3245"/>
      <c r="Y85" s="3245"/>
      <c r="Z85" s="3245"/>
      <c r="AA85" s="3286"/>
      <c r="AB85" s="3286"/>
      <c r="AC85" s="3292"/>
      <c r="AD85" s="3286"/>
      <c r="AE85" s="3286"/>
      <c r="AF85" s="3286"/>
      <c r="AG85" s="3286"/>
      <c r="AH85" s="3286"/>
      <c r="AI85" s="3286"/>
      <c r="AJ85" s="3292"/>
      <c r="AK85" s="3286"/>
      <c r="AL85" s="3286"/>
      <c r="AM85" s="3292"/>
      <c r="AN85" s="3286"/>
      <c r="AO85" s="3263"/>
      <c r="AP85" s="3263"/>
      <c r="AQ85" s="3266"/>
    </row>
    <row r="86" spans="1:331" s="1286" customFormat="1" ht="60" x14ac:dyDescent="0.2">
      <c r="A86" s="1279"/>
      <c r="B86" s="1280"/>
      <c r="C86" s="1281"/>
      <c r="D86" s="1280"/>
      <c r="E86" s="1280"/>
      <c r="F86" s="1281"/>
      <c r="G86" s="1287"/>
      <c r="H86" s="1280"/>
      <c r="I86" s="1281"/>
      <c r="J86" s="3295"/>
      <c r="K86" s="3298"/>
      <c r="L86" s="3295"/>
      <c r="M86" s="3295"/>
      <c r="N86" s="3245"/>
      <c r="O86" s="3245"/>
      <c r="P86" s="3248"/>
      <c r="Q86" s="2320"/>
      <c r="R86" s="3277"/>
      <c r="S86" s="3248"/>
      <c r="T86" s="3298"/>
      <c r="U86" s="1316" t="s">
        <v>1422</v>
      </c>
      <c r="V86" s="261">
        <v>10600000</v>
      </c>
      <c r="W86" s="3273"/>
      <c r="X86" s="3245"/>
      <c r="Y86" s="3245"/>
      <c r="Z86" s="3245"/>
      <c r="AA86" s="3286"/>
      <c r="AB86" s="3286"/>
      <c r="AC86" s="3292"/>
      <c r="AD86" s="3286"/>
      <c r="AE86" s="3286"/>
      <c r="AF86" s="3286"/>
      <c r="AG86" s="3286"/>
      <c r="AH86" s="3286"/>
      <c r="AI86" s="3286"/>
      <c r="AJ86" s="3292"/>
      <c r="AK86" s="3286"/>
      <c r="AL86" s="3286"/>
      <c r="AM86" s="3292"/>
      <c r="AN86" s="3286"/>
      <c r="AO86" s="3263"/>
      <c r="AP86" s="3263"/>
      <c r="AQ86" s="3266"/>
    </row>
    <row r="87" spans="1:331" s="1286" customFormat="1" ht="45" x14ac:dyDescent="0.2">
      <c r="A87" s="1279"/>
      <c r="B87" s="1280"/>
      <c r="C87" s="1281"/>
      <c r="D87" s="1280"/>
      <c r="E87" s="1280"/>
      <c r="F87" s="1281"/>
      <c r="G87" s="1287"/>
      <c r="H87" s="1280"/>
      <c r="I87" s="1281"/>
      <c r="J87" s="3295"/>
      <c r="K87" s="3298"/>
      <c r="L87" s="3295"/>
      <c r="M87" s="3295"/>
      <c r="N87" s="3245"/>
      <c r="O87" s="3245"/>
      <c r="P87" s="3248"/>
      <c r="Q87" s="2320"/>
      <c r="R87" s="3277"/>
      <c r="S87" s="3248"/>
      <c r="T87" s="3298"/>
      <c r="U87" s="1316" t="s">
        <v>1423</v>
      </c>
      <c r="V87" s="261">
        <v>10600000</v>
      </c>
      <c r="W87" s="3273"/>
      <c r="X87" s="3245"/>
      <c r="Y87" s="3245"/>
      <c r="Z87" s="3245"/>
      <c r="AA87" s="3286"/>
      <c r="AB87" s="3286"/>
      <c r="AC87" s="3292"/>
      <c r="AD87" s="3286"/>
      <c r="AE87" s="3286"/>
      <c r="AF87" s="3286"/>
      <c r="AG87" s="3286"/>
      <c r="AH87" s="3286"/>
      <c r="AI87" s="3286"/>
      <c r="AJ87" s="3292"/>
      <c r="AK87" s="3286"/>
      <c r="AL87" s="3286"/>
      <c r="AM87" s="3292"/>
      <c r="AN87" s="3286"/>
      <c r="AO87" s="3263"/>
      <c r="AP87" s="3263"/>
      <c r="AQ87" s="3266"/>
    </row>
    <row r="88" spans="1:331" s="1286" customFormat="1" ht="90" x14ac:dyDescent="0.2">
      <c r="A88" s="1279"/>
      <c r="B88" s="1280"/>
      <c r="C88" s="1281"/>
      <c r="D88" s="1280"/>
      <c r="E88" s="1280"/>
      <c r="F88" s="1281"/>
      <c r="G88" s="1287"/>
      <c r="H88" s="1280"/>
      <c r="I88" s="1281"/>
      <c r="J88" s="3295"/>
      <c r="K88" s="3298"/>
      <c r="L88" s="3295"/>
      <c r="M88" s="3295"/>
      <c r="N88" s="3245"/>
      <c r="O88" s="3245"/>
      <c r="P88" s="3248"/>
      <c r="Q88" s="2320"/>
      <c r="R88" s="3277"/>
      <c r="S88" s="3248"/>
      <c r="T88" s="3298"/>
      <c r="U88" s="1316" t="s">
        <v>1424</v>
      </c>
      <c r="V88" s="261">
        <v>10600000</v>
      </c>
      <c r="W88" s="3273"/>
      <c r="X88" s="3245"/>
      <c r="Y88" s="3245"/>
      <c r="Z88" s="3245"/>
      <c r="AA88" s="3286"/>
      <c r="AB88" s="3286"/>
      <c r="AC88" s="3292"/>
      <c r="AD88" s="3286"/>
      <c r="AE88" s="3286"/>
      <c r="AF88" s="3286"/>
      <c r="AG88" s="3286"/>
      <c r="AH88" s="3286"/>
      <c r="AI88" s="3286"/>
      <c r="AJ88" s="3292"/>
      <c r="AK88" s="3286"/>
      <c r="AL88" s="3286"/>
      <c r="AM88" s="3292"/>
      <c r="AN88" s="3286"/>
      <c r="AO88" s="3263"/>
      <c r="AP88" s="3263"/>
      <c r="AQ88" s="3266"/>
    </row>
    <row r="89" spans="1:331" s="1318" customFormat="1" ht="135" x14ac:dyDescent="0.2">
      <c r="A89" s="1279"/>
      <c r="B89" s="1280"/>
      <c r="C89" s="1281"/>
      <c r="D89" s="1280"/>
      <c r="E89" s="1280"/>
      <c r="F89" s="1281"/>
      <c r="G89" s="1291"/>
      <c r="H89" s="1289"/>
      <c r="I89" s="1290"/>
      <c r="J89" s="3296"/>
      <c r="K89" s="3299"/>
      <c r="L89" s="3296"/>
      <c r="M89" s="3296"/>
      <c r="N89" s="3245"/>
      <c r="O89" s="3246"/>
      <c r="P89" s="3249"/>
      <c r="Q89" s="2052"/>
      <c r="R89" s="3278"/>
      <c r="S89" s="3249"/>
      <c r="T89" s="3299"/>
      <c r="U89" s="1316" t="s">
        <v>1425</v>
      </c>
      <c r="V89" s="261">
        <v>10600000</v>
      </c>
      <c r="W89" s="3274"/>
      <c r="X89" s="3246"/>
      <c r="Y89" s="3246"/>
      <c r="Z89" s="3246"/>
      <c r="AA89" s="3287"/>
      <c r="AB89" s="3287"/>
      <c r="AC89" s="3293"/>
      <c r="AD89" s="3287"/>
      <c r="AE89" s="3287"/>
      <c r="AF89" s="3287"/>
      <c r="AG89" s="3287"/>
      <c r="AH89" s="3287"/>
      <c r="AI89" s="3287"/>
      <c r="AJ89" s="3293"/>
      <c r="AK89" s="3287"/>
      <c r="AL89" s="3287"/>
      <c r="AM89" s="3293"/>
      <c r="AN89" s="3287"/>
      <c r="AO89" s="3264"/>
      <c r="AP89" s="3264"/>
      <c r="AQ89" s="3267"/>
      <c r="AR89" s="1317"/>
      <c r="AS89" s="1317"/>
      <c r="AT89" s="1317"/>
      <c r="AU89" s="1317"/>
      <c r="AV89" s="1317"/>
      <c r="AW89" s="1317"/>
      <c r="AX89" s="1317"/>
      <c r="AY89" s="1317"/>
      <c r="AZ89" s="1317"/>
      <c r="BA89" s="1317"/>
      <c r="BB89" s="1317"/>
      <c r="BC89" s="1317"/>
      <c r="BD89" s="1317"/>
      <c r="BE89" s="1317"/>
      <c r="BF89" s="1317"/>
      <c r="BG89" s="1317"/>
      <c r="BH89" s="1317"/>
      <c r="BI89" s="1317"/>
      <c r="BJ89" s="1317"/>
      <c r="BK89" s="1317"/>
      <c r="BL89" s="1317"/>
      <c r="BM89" s="1317"/>
      <c r="BN89" s="1317"/>
      <c r="BO89" s="1317"/>
      <c r="BP89" s="1317"/>
      <c r="BQ89" s="1317"/>
      <c r="BR89" s="1317"/>
      <c r="BS89" s="1317"/>
      <c r="BT89" s="1317"/>
      <c r="BU89" s="1317"/>
      <c r="BV89" s="1317"/>
      <c r="BW89" s="1317"/>
      <c r="BX89" s="1317"/>
      <c r="BY89" s="1317"/>
      <c r="BZ89" s="1317"/>
      <c r="CA89" s="1317"/>
      <c r="CB89" s="1317"/>
      <c r="CC89" s="1317"/>
      <c r="CD89" s="1317"/>
      <c r="CE89" s="1317"/>
      <c r="CF89" s="1317"/>
      <c r="CG89" s="1317"/>
      <c r="CH89" s="1317"/>
      <c r="CI89" s="1317"/>
      <c r="CJ89" s="1317"/>
      <c r="CK89" s="1317"/>
      <c r="CL89" s="1317"/>
      <c r="CM89" s="1317"/>
      <c r="CN89" s="1317"/>
      <c r="CO89" s="1317"/>
      <c r="CP89" s="1317"/>
      <c r="CQ89" s="1317"/>
      <c r="CR89" s="1317"/>
      <c r="CS89" s="1317"/>
      <c r="CT89" s="1317"/>
      <c r="CU89" s="1317"/>
      <c r="CV89" s="1317"/>
      <c r="CW89" s="1317"/>
      <c r="CX89" s="1317"/>
      <c r="CY89" s="1317"/>
      <c r="CZ89" s="1317"/>
      <c r="DA89" s="1317"/>
      <c r="DB89" s="1317"/>
      <c r="DC89" s="1317"/>
      <c r="DD89" s="1317"/>
      <c r="DE89" s="1317"/>
      <c r="DF89" s="1317"/>
      <c r="DG89" s="1317"/>
      <c r="DH89" s="1317"/>
      <c r="DI89" s="1317"/>
      <c r="DJ89" s="1317"/>
      <c r="DK89" s="1317"/>
      <c r="DL89" s="1317"/>
      <c r="DM89" s="1317"/>
      <c r="DN89" s="1317"/>
      <c r="DO89" s="1317"/>
      <c r="DP89" s="1317"/>
      <c r="DQ89" s="1317"/>
      <c r="DR89" s="1317"/>
      <c r="DS89" s="1317"/>
      <c r="DT89" s="1317"/>
      <c r="DU89" s="1317"/>
      <c r="DV89" s="1317"/>
      <c r="DW89" s="1317"/>
      <c r="DX89" s="1317"/>
      <c r="DY89" s="1317"/>
      <c r="DZ89" s="1317"/>
      <c r="EA89" s="1317"/>
      <c r="EB89" s="1317"/>
      <c r="EC89" s="1317"/>
      <c r="ED89" s="1317"/>
      <c r="EE89" s="1317"/>
      <c r="EF89" s="1317"/>
      <c r="EG89" s="1317"/>
      <c r="EH89" s="1317"/>
      <c r="EI89" s="1317"/>
      <c r="EJ89" s="1317"/>
      <c r="EK89" s="1317"/>
      <c r="EL89" s="1317"/>
      <c r="EM89" s="1317"/>
      <c r="EN89" s="1317"/>
      <c r="EO89" s="1317"/>
      <c r="EP89" s="1317"/>
      <c r="EQ89" s="1317"/>
      <c r="ER89" s="1317"/>
      <c r="ES89" s="1317"/>
      <c r="ET89" s="1317"/>
      <c r="EU89" s="1317"/>
      <c r="EV89" s="1317"/>
      <c r="EW89" s="1317"/>
      <c r="EX89" s="1317"/>
      <c r="EY89" s="1317"/>
      <c r="EZ89" s="1317"/>
      <c r="FA89" s="1317"/>
      <c r="FB89" s="1317"/>
      <c r="FC89" s="1317"/>
      <c r="FD89" s="1317"/>
      <c r="FE89" s="1317"/>
      <c r="FF89" s="1317"/>
      <c r="FG89" s="1317"/>
      <c r="FH89" s="1317"/>
      <c r="FI89" s="1317"/>
      <c r="FJ89" s="1317"/>
      <c r="FK89" s="1317"/>
      <c r="FL89" s="1317"/>
      <c r="FM89" s="1317"/>
      <c r="FN89" s="1317"/>
      <c r="FO89" s="1317"/>
      <c r="FP89" s="1317"/>
      <c r="FQ89" s="1317"/>
      <c r="FR89" s="1317"/>
      <c r="FS89" s="1317"/>
      <c r="FT89" s="1317"/>
      <c r="FU89" s="1317"/>
      <c r="FV89" s="1317"/>
      <c r="FW89" s="1317"/>
      <c r="FX89" s="1317"/>
      <c r="FY89" s="1317"/>
      <c r="FZ89" s="1317"/>
      <c r="GA89" s="1317"/>
      <c r="GB89" s="1317"/>
      <c r="GC89" s="1317"/>
      <c r="GD89" s="1317"/>
      <c r="GE89" s="1317"/>
      <c r="GF89" s="1317"/>
      <c r="GG89" s="1317"/>
      <c r="GH89" s="1317"/>
      <c r="GI89" s="1317"/>
      <c r="GJ89" s="1317"/>
      <c r="GK89" s="1317"/>
      <c r="GL89" s="1317"/>
      <c r="GM89" s="1317"/>
      <c r="GN89" s="1317"/>
      <c r="GO89" s="1317"/>
      <c r="GP89" s="1317"/>
      <c r="GQ89" s="1317"/>
      <c r="GR89" s="1317"/>
      <c r="GS89" s="1317"/>
      <c r="GT89" s="1317"/>
      <c r="GU89" s="1317"/>
      <c r="GV89" s="1317"/>
      <c r="GW89" s="1317"/>
      <c r="GX89" s="1317"/>
      <c r="GY89" s="1317"/>
      <c r="GZ89" s="1317"/>
      <c r="HA89" s="1317"/>
      <c r="HB89" s="1317"/>
      <c r="HC89" s="1317"/>
      <c r="HD89" s="1317"/>
      <c r="HE89" s="1317"/>
      <c r="HF89" s="1317"/>
      <c r="HG89" s="1317"/>
      <c r="HH89" s="1317"/>
      <c r="HI89" s="1317"/>
      <c r="HJ89" s="1317"/>
      <c r="HK89" s="1317"/>
      <c r="HL89" s="1317"/>
      <c r="HM89" s="1317"/>
      <c r="HN89" s="1317"/>
      <c r="HO89" s="1317"/>
      <c r="HP89" s="1317"/>
      <c r="HQ89" s="1317"/>
      <c r="HR89" s="1317"/>
      <c r="HS89" s="1317"/>
      <c r="HT89" s="1317"/>
      <c r="HU89" s="1317"/>
      <c r="HV89" s="1317"/>
      <c r="HW89" s="1317"/>
      <c r="HX89" s="1317"/>
      <c r="HY89" s="1317"/>
      <c r="HZ89" s="1317"/>
      <c r="IA89" s="1317"/>
      <c r="IB89" s="1317"/>
      <c r="IC89" s="1317"/>
      <c r="ID89" s="1317"/>
      <c r="IE89" s="1317"/>
      <c r="IF89" s="1317"/>
      <c r="IG89" s="1317"/>
      <c r="IH89" s="1317"/>
      <c r="II89" s="1317"/>
      <c r="IJ89" s="1317"/>
      <c r="IK89" s="1317"/>
      <c r="IL89" s="1317"/>
      <c r="IM89" s="1317"/>
      <c r="IN89" s="1317"/>
      <c r="IO89" s="1317"/>
      <c r="IP89" s="1317"/>
      <c r="IQ89" s="1317"/>
      <c r="IR89" s="1317"/>
      <c r="IS89" s="1317"/>
      <c r="IT89" s="1317"/>
      <c r="IU89" s="1317"/>
      <c r="IV89" s="1317"/>
      <c r="IW89" s="1317"/>
      <c r="IX89" s="1317"/>
      <c r="IY89" s="1317"/>
      <c r="IZ89" s="1317"/>
      <c r="JA89" s="1317"/>
      <c r="JB89" s="1317"/>
      <c r="JC89" s="1317"/>
      <c r="JD89" s="1317"/>
      <c r="JE89" s="1317"/>
      <c r="JF89" s="1317"/>
      <c r="JG89" s="1317"/>
      <c r="JH89" s="1317"/>
      <c r="JI89" s="1317"/>
      <c r="JJ89" s="1317"/>
      <c r="JK89" s="1317"/>
      <c r="JL89" s="1317"/>
      <c r="JM89" s="1317"/>
      <c r="JN89" s="1317"/>
      <c r="JO89" s="1317"/>
      <c r="JP89" s="1317"/>
      <c r="JQ89" s="1317"/>
      <c r="JR89" s="1317"/>
      <c r="JS89" s="1317"/>
      <c r="JT89" s="1317"/>
      <c r="JU89" s="1317"/>
      <c r="JV89" s="1317"/>
      <c r="JW89" s="1317"/>
      <c r="JX89" s="1317"/>
      <c r="JY89" s="1317"/>
      <c r="JZ89" s="1317"/>
      <c r="KA89" s="1317"/>
      <c r="KB89" s="1317"/>
      <c r="KC89" s="1317"/>
      <c r="KD89" s="1317"/>
      <c r="KE89" s="1317"/>
      <c r="KF89" s="1317"/>
      <c r="KG89" s="1317"/>
      <c r="KH89" s="1317"/>
      <c r="KI89" s="1317"/>
      <c r="KJ89" s="1317"/>
      <c r="KK89" s="1317"/>
      <c r="KL89" s="1317"/>
      <c r="KM89" s="1317"/>
      <c r="KN89" s="1317"/>
      <c r="KO89" s="1317"/>
      <c r="KP89" s="1317"/>
      <c r="KQ89" s="1317"/>
      <c r="KR89" s="1317"/>
      <c r="KS89" s="1317"/>
      <c r="KT89" s="1317"/>
      <c r="KU89" s="1317"/>
      <c r="KV89" s="1317"/>
      <c r="KW89" s="1317"/>
      <c r="KX89" s="1317"/>
      <c r="KY89" s="1317"/>
      <c r="KZ89" s="1317"/>
      <c r="LA89" s="1317"/>
      <c r="LB89" s="1317"/>
      <c r="LC89" s="1317"/>
      <c r="LD89" s="1317"/>
      <c r="LE89" s="1317"/>
      <c r="LF89" s="1317"/>
      <c r="LG89" s="1317"/>
      <c r="LH89" s="1317"/>
      <c r="LI89" s="1317"/>
      <c r="LJ89" s="1317"/>
      <c r="LK89" s="1317"/>
      <c r="LL89" s="1317"/>
      <c r="LM89" s="1317"/>
      <c r="LN89" s="1317"/>
      <c r="LO89" s="1317"/>
      <c r="LP89" s="1317"/>
      <c r="LQ89" s="1317"/>
      <c r="LR89" s="1317"/>
      <c r="LS89" s="1317"/>
    </row>
    <row r="90" spans="1:331" s="1303" customFormat="1" ht="36" customHeight="1" x14ac:dyDescent="0.2">
      <c r="A90" s="1265"/>
      <c r="B90" s="1266"/>
      <c r="C90" s="1267"/>
      <c r="D90" s="1266"/>
      <c r="E90" s="1266"/>
      <c r="F90" s="1267"/>
      <c r="G90" s="1299">
        <v>39</v>
      </c>
      <c r="H90" s="1271" t="s">
        <v>1426</v>
      </c>
      <c r="I90" s="1271"/>
      <c r="J90" s="1271"/>
      <c r="K90" s="1272"/>
      <c r="L90" s="1271"/>
      <c r="M90" s="1271"/>
      <c r="N90" s="1273"/>
      <c r="O90" s="1271"/>
      <c r="P90" s="1272"/>
      <c r="Q90" s="1271"/>
      <c r="R90" s="1271"/>
      <c r="S90" s="1271"/>
      <c r="T90" s="1272"/>
      <c r="U90" s="1272"/>
      <c r="V90" s="1300"/>
      <c r="W90" s="1301"/>
      <c r="X90" s="1273"/>
      <c r="Y90" s="1273"/>
      <c r="Z90" s="1273"/>
      <c r="AA90" s="1302"/>
      <c r="AB90" s="1302"/>
      <c r="AC90" s="1273"/>
      <c r="AD90" s="1302"/>
      <c r="AE90" s="1302"/>
      <c r="AF90" s="1302"/>
      <c r="AG90" s="1302"/>
      <c r="AH90" s="1302"/>
      <c r="AI90" s="1302"/>
      <c r="AJ90" s="1273"/>
      <c r="AK90" s="1302"/>
      <c r="AL90" s="1302"/>
      <c r="AM90" s="1273"/>
      <c r="AN90" s="1302"/>
      <c r="AO90" s="1273"/>
      <c r="AP90" s="1271"/>
      <c r="AQ90" s="1278"/>
    </row>
    <row r="91" spans="1:331" s="1317" customFormat="1" ht="180" customHeight="1" x14ac:dyDescent="0.2">
      <c r="A91" s="1319"/>
      <c r="B91" s="1320"/>
      <c r="C91" s="1321"/>
      <c r="D91" s="1320"/>
      <c r="E91" s="1320"/>
      <c r="F91" s="1321"/>
      <c r="G91" s="1322"/>
      <c r="H91" s="1323"/>
      <c r="I91" s="1324"/>
      <c r="J91" s="3294">
        <v>139</v>
      </c>
      <c r="K91" s="3297" t="s">
        <v>1427</v>
      </c>
      <c r="L91" s="3294" t="s">
        <v>1318</v>
      </c>
      <c r="M91" s="3294">
        <v>1</v>
      </c>
      <c r="N91" s="3294" t="s">
        <v>1428</v>
      </c>
      <c r="O91" s="3294">
        <v>138</v>
      </c>
      <c r="P91" s="3297" t="s">
        <v>1429</v>
      </c>
      <c r="Q91" s="2051">
        <f>(V91+V94+V95+V92+V93)/R91</f>
        <v>0.67878787878787883</v>
      </c>
      <c r="R91" s="3303">
        <f>SUM(V91:V103)</f>
        <v>165000000</v>
      </c>
      <c r="S91" s="3297" t="s">
        <v>1430</v>
      </c>
      <c r="T91" s="3297" t="s">
        <v>1431</v>
      </c>
      <c r="U91" s="1288" t="s">
        <v>1432</v>
      </c>
      <c r="V91" s="261">
        <v>25000000</v>
      </c>
      <c r="W91" s="3306">
        <v>61</v>
      </c>
      <c r="X91" s="3294" t="s">
        <v>1324</v>
      </c>
      <c r="Y91" s="3294">
        <v>292684</v>
      </c>
      <c r="Z91" s="3294">
        <v>282326</v>
      </c>
      <c r="AA91" s="3253">
        <v>135912</v>
      </c>
      <c r="AB91" s="3253">
        <v>45122</v>
      </c>
      <c r="AC91" s="3300">
        <f>SUM(AC71)</f>
        <v>307101</v>
      </c>
      <c r="AD91" s="3253">
        <f>SUM(AD71)</f>
        <v>86875</v>
      </c>
      <c r="AE91" s="3253">
        <f>SUM(AE71)</f>
        <v>2145</v>
      </c>
      <c r="AF91" s="3253">
        <v>12718</v>
      </c>
      <c r="AG91" s="3253">
        <v>26</v>
      </c>
      <c r="AH91" s="3253">
        <v>37</v>
      </c>
      <c r="AI91" s="3253" t="s">
        <v>1325</v>
      </c>
      <c r="AJ91" s="3300" t="s">
        <v>1325</v>
      </c>
      <c r="AK91" s="3253">
        <v>53164</v>
      </c>
      <c r="AL91" s="3253">
        <v>16982</v>
      </c>
      <c r="AM91" s="3300">
        <v>60013</v>
      </c>
      <c r="AN91" s="3253">
        <v>575010</v>
      </c>
      <c r="AO91" s="3309">
        <v>43101</v>
      </c>
      <c r="AP91" s="3309">
        <v>43465</v>
      </c>
      <c r="AQ91" s="3312" t="s">
        <v>1326</v>
      </c>
    </row>
    <row r="92" spans="1:331" s="1317" customFormat="1" ht="75" x14ac:dyDescent="0.2">
      <c r="A92" s="1319"/>
      <c r="B92" s="1320"/>
      <c r="C92" s="1321"/>
      <c r="D92" s="1320"/>
      <c r="E92" s="1320"/>
      <c r="F92" s="1321"/>
      <c r="G92" s="1325"/>
      <c r="H92" s="1320"/>
      <c r="I92" s="1321"/>
      <c r="J92" s="3295"/>
      <c r="K92" s="3298"/>
      <c r="L92" s="3295"/>
      <c r="M92" s="3295"/>
      <c r="N92" s="3295"/>
      <c r="O92" s="3295"/>
      <c r="P92" s="3298"/>
      <c r="Q92" s="2320"/>
      <c r="R92" s="3304"/>
      <c r="S92" s="3298"/>
      <c r="T92" s="3298"/>
      <c r="U92" s="1288" t="s">
        <v>1433</v>
      </c>
      <c r="V92" s="261">
        <v>25000000</v>
      </c>
      <c r="W92" s="3307"/>
      <c r="X92" s="3295"/>
      <c r="Y92" s="3295"/>
      <c r="Z92" s="3295"/>
      <c r="AA92" s="3254"/>
      <c r="AB92" s="3254"/>
      <c r="AC92" s="3301"/>
      <c r="AD92" s="3254"/>
      <c r="AE92" s="3254"/>
      <c r="AF92" s="3254"/>
      <c r="AG92" s="3254"/>
      <c r="AH92" s="3254"/>
      <c r="AI92" s="3254"/>
      <c r="AJ92" s="3301"/>
      <c r="AK92" s="3254"/>
      <c r="AL92" s="3254"/>
      <c r="AM92" s="3301"/>
      <c r="AN92" s="3254"/>
      <c r="AO92" s="3310"/>
      <c r="AP92" s="3310"/>
      <c r="AQ92" s="3313"/>
    </row>
    <row r="93" spans="1:331" s="1317" customFormat="1" ht="75" x14ac:dyDescent="0.2">
      <c r="A93" s="1319"/>
      <c r="B93" s="1320"/>
      <c r="C93" s="1321"/>
      <c r="D93" s="1320"/>
      <c r="E93" s="1320"/>
      <c r="F93" s="1321"/>
      <c r="G93" s="1325"/>
      <c r="H93" s="1320"/>
      <c r="I93" s="1321"/>
      <c r="J93" s="3295"/>
      <c r="K93" s="3298"/>
      <c r="L93" s="3295"/>
      <c r="M93" s="3295"/>
      <c r="N93" s="3295"/>
      <c r="O93" s="3295"/>
      <c r="P93" s="3298"/>
      <c r="Q93" s="2320"/>
      <c r="R93" s="3304"/>
      <c r="S93" s="3298"/>
      <c r="T93" s="3298"/>
      <c r="U93" s="1288" t="s">
        <v>1434</v>
      </c>
      <c r="V93" s="261">
        <v>25000000</v>
      </c>
      <c r="W93" s="3307"/>
      <c r="X93" s="3295"/>
      <c r="Y93" s="3295"/>
      <c r="Z93" s="3295"/>
      <c r="AA93" s="3254"/>
      <c r="AB93" s="3254"/>
      <c r="AC93" s="3301"/>
      <c r="AD93" s="3254"/>
      <c r="AE93" s="3254"/>
      <c r="AF93" s="3254"/>
      <c r="AG93" s="3254"/>
      <c r="AH93" s="3254"/>
      <c r="AI93" s="3254"/>
      <c r="AJ93" s="3301"/>
      <c r="AK93" s="3254"/>
      <c r="AL93" s="3254"/>
      <c r="AM93" s="3301"/>
      <c r="AN93" s="3254"/>
      <c r="AO93" s="3310"/>
      <c r="AP93" s="3310"/>
      <c r="AQ93" s="3313"/>
    </row>
    <row r="94" spans="1:331" s="1317" customFormat="1" ht="105" x14ac:dyDescent="0.2">
      <c r="A94" s="1319"/>
      <c r="B94" s="1320"/>
      <c r="C94" s="1321"/>
      <c r="D94" s="1320"/>
      <c r="E94" s="1320"/>
      <c r="F94" s="1321"/>
      <c r="G94" s="1325"/>
      <c r="H94" s="1320"/>
      <c r="I94" s="1321"/>
      <c r="J94" s="3295"/>
      <c r="K94" s="3298"/>
      <c r="L94" s="3295"/>
      <c r="M94" s="3295"/>
      <c r="N94" s="3295"/>
      <c r="O94" s="3295"/>
      <c r="P94" s="3298"/>
      <c r="Q94" s="2320"/>
      <c r="R94" s="3304"/>
      <c r="S94" s="3298"/>
      <c r="T94" s="3298"/>
      <c r="U94" s="1288" t="s">
        <v>1435</v>
      </c>
      <c r="V94" s="261">
        <v>25000000</v>
      </c>
      <c r="W94" s="3307"/>
      <c r="X94" s="3295"/>
      <c r="Y94" s="3295"/>
      <c r="Z94" s="3295"/>
      <c r="AA94" s="3254"/>
      <c r="AB94" s="3254"/>
      <c r="AC94" s="3301"/>
      <c r="AD94" s="3254"/>
      <c r="AE94" s="3254"/>
      <c r="AF94" s="3254"/>
      <c r="AG94" s="3254"/>
      <c r="AH94" s="3254"/>
      <c r="AI94" s="3254"/>
      <c r="AJ94" s="3301"/>
      <c r="AK94" s="3254"/>
      <c r="AL94" s="3254"/>
      <c r="AM94" s="3301"/>
      <c r="AN94" s="3254"/>
      <c r="AO94" s="3310"/>
      <c r="AP94" s="3310"/>
      <c r="AQ94" s="3313"/>
    </row>
    <row r="95" spans="1:331" s="1317" customFormat="1" ht="60" x14ac:dyDescent="0.2">
      <c r="A95" s="1319"/>
      <c r="B95" s="1320"/>
      <c r="C95" s="1321"/>
      <c r="D95" s="1320"/>
      <c r="E95" s="1320"/>
      <c r="F95" s="1321"/>
      <c r="G95" s="1325"/>
      <c r="H95" s="1320"/>
      <c r="I95" s="1321"/>
      <c r="J95" s="3296"/>
      <c r="K95" s="3299"/>
      <c r="L95" s="3296"/>
      <c r="M95" s="3296"/>
      <c r="N95" s="3295"/>
      <c r="O95" s="3295"/>
      <c r="P95" s="3298"/>
      <c r="Q95" s="2052"/>
      <c r="R95" s="3304"/>
      <c r="S95" s="3298"/>
      <c r="T95" s="3299"/>
      <c r="U95" s="1288" t="s">
        <v>1436</v>
      </c>
      <c r="V95" s="261">
        <v>12000000</v>
      </c>
      <c r="W95" s="3307"/>
      <c r="X95" s="3295"/>
      <c r="Y95" s="3295"/>
      <c r="Z95" s="3295"/>
      <c r="AA95" s="3254"/>
      <c r="AB95" s="3254"/>
      <c r="AC95" s="3301"/>
      <c r="AD95" s="3254"/>
      <c r="AE95" s="3254"/>
      <c r="AF95" s="3254"/>
      <c r="AG95" s="3254"/>
      <c r="AH95" s="3254"/>
      <c r="AI95" s="3254"/>
      <c r="AJ95" s="3301"/>
      <c r="AK95" s="3254"/>
      <c r="AL95" s="3254"/>
      <c r="AM95" s="3301"/>
      <c r="AN95" s="3254"/>
      <c r="AO95" s="3310"/>
      <c r="AP95" s="3310"/>
      <c r="AQ95" s="3313"/>
    </row>
    <row r="96" spans="1:331" s="1317" customFormat="1" ht="90" x14ac:dyDescent="0.2">
      <c r="A96" s="1319"/>
      <c r="B96" s="1320"/>
      <c r="C96" s="1321"/>
      <c r="D96" s="1320"/>
      <c r="E96" s="1320"/>
      <c r="F96" s="1321"/>
      <c r="G96" s="1325"/>
      <c r="H96" s="1320"/>
      <c r="I96" s="1321"/>
      <c r="J96" s="3294">
        <v>140</v>
      </c>
      <c r="K96" s="3297" t="s">
        <v>1437</v>
      </c>
      <c r="L96" s="3294" t="s">
        <v>1318</v>
      </c>
      <c r="M96" s="3294">
        <v>1</v>
      </c>
      <c r="N96" s="3295"/>
      <c r="O96" s="3295"/>
      <c r="P96" s="3298"/>
      <c r="Q96" s="2051">
        <f>(V96+V99+V100+V97+V98)/R91</f>
        <v>0.16060606060606061</v>
      </c>
      <c r="R96" s="3304"/>
      <c r="S96" s="3298"/>
      <c r="T96" s="3297" t="s">
        <v>1438</v>
      </c>
      <c r="U96" s="1288" t="s">
        <v>1439</v>
      </c>
      <c r="V96" s="261">
        <v>7500000</v>
      </c>
      <c r="W96" s="3307"/>
      <c r="X96" s="3295"/>
      <c r="Y96" s="3295"/>
      <c r="Z96" s="3295"/>
      <c r="AA96" s="3254"/>
      <c r="AB96" s="3254"/>
      <c r="AC96" s="3301"/>
      <c r="AD96" s="3254"/>
      <c r="AE96" s="3254"/>
      <c r="AF96" s="3254"/>
      <c r="AG96" s="3254"/>
      <c r="AH96" s="3254"/>
      <c r="AI96" s="3254"/>
      <c r="AJ96" s="3301"/>
      <c r="AK96" s="3254"/>
      <c r="AL96" s="3254"/>
      <c r="AM96" s="3301"/>
      <c r="AN96" s="3254"/>
      <c r="AO96" s="3310"/>
      <c r="AP96" s="3310"/>
      <c r="AQ96" s="3313"/>
    </row>
    <row r="97" spans="1:43" s="1317" customFormat="1" ht="120" x14ac:dyDescent="0.2">
      <c r="A97" s="1319"/>
      <c r="B97" s="1320"/>
      <c r="C97" s="1321"/>
      <c r="D97" s="1320"/>
      <c r="E97" s="1320"/>
      <c r="F97" s="1321"/>
      <c r="G97" s="1325"/>
      <c r="H97" s="1320"/>
      <c r="I97" s="1321"/>
      <c r="J97" s="3295"/>
      <c r="K97" s="3298"/>
      <c r="L97" s="3295"/>
      <c r="M97" s="3295"/>
      <c r="N97" s="3295"/>
      <c r="O97" s="3295"/>
      <c r="P97" s="3298"/>
      <c r="Q97" s="2320"/>
      <c r="R97" s="3304"/>
      <c r="S97" s="3298"/>
      <c r="T97" s="3298"/>
      <c r="U97" s="1288" t="s">
        <v>1440</v>
      </c>
      <c r="V97" s="261">
        <v>5000000</v>
      </c>
      <c r="W97" s="3307"/>
      <c r="X97" s="3295"/>
      <c r="Y97" s="3295"/>
      <c r="Z97" s="3295"/>
      <c r="AA97" s="3254"/>
      <c r="AB97" s="3254"/>
      <c r="AC97" s="3301"/>
      <c r="AD97" s="3254"/>
      <c r="AE97" s="3254"/>
      <c r="AF97" s="3254"/>
      <c r="AG97" s="3254"/>
      <c r="AH97" s="3254"/>
      <c r="AI97" s="3254"/>
      <c r="AJ97" s="3301"/>
      <c r="AK97" s="3254"/>
      <c r="AL97" s="3254"/>
      <c r="AM97" s="3301"/>
      <c r="AN97" s="3254"/>
      <c r="AO97" s="3310"/>
      <c r="AP97" s="3310"/>
      <c r="AQ97" s="3313"/>
    </row>
    <row r="98" spans="1:43" s="1317" customFormat="1" ht="60" x14ac:dyDescent="0.2">
      <c r="A98" s="1319"/>
      <c r="B98" s="1320"/>
      <c r="C98" s="1321"/>
      <c r="D98" s="1320"/>
      <c r="E98" s="1320"/>
      <c r="F98" s="1321"/>
      <c r="G98" s="1325"/>
      <c r="H98" s="1320"/>
      <c r="I98" s="1321"/>
      <c r="J98" s="3295"/>
      <c r="K98" s="3298"/>
      <c r="L98" s="3295"/>
      <c r="M98" s="3295"/>
      <c r="N98" s="3295"/>
      <c r="O98" s="3295"/>
      <c r="P98" s="3298"/>
      <c r="Q98" s="2320"/>
      <c r="R98" s="3304"/>
      <c r="S98" s="3298"/>
      <c r="T98" s="3298"/>
      <c r="U98" s="1288" t="s">
        <v>1441</v>
      </c>
      <c r="V98" s="261">
        <v>5000000</v>
      </c>
      <c r="W98" s="3307"/>
      <c r="X98" s="3295"/>
      <c r="Y98" s="3295"/>
      <c r="Z98" s="3295"/>
      <c r="AA98" s="3254"/>
      <c r="AB98" s="3254"/>
      <c r="AC98" s="3301"/>
      <c r="AD98" s="3254"/>
      <c r="AE98" s="3254"/>
      <c r="AF98" s="3254"/>
      <c r="AG98" s="3254"/>
      <c r="AH98" s="3254"/>
      <c r="AI98" s="3254"/>
      <c r="AJ98" s="3301"/>
      <c r="AK98" s="3254"/>
      <c r="AL98" s="3254"/>
      <c r="AM98" s="3301"/>
      <c r="AN98" s="3254"/>
      <c r="AO98" s="3310"/>
      <c r="AP98" s="3310"/>
      <c r="AQ98" s="3313"/>
    </row>
    <row r="99" spans="1:43" s="1317" customFormat="1" ht="105" x14ac:dyDescent="0.2">
      <c r="A99" s="1319"/>
      <c r="B99" s="1320"/>
      <c r="C99" s="1321"/>
      <c r="D99" s="1320"/>
      <c r="E99" s="1320"/>
      <c r="F99" s="1321"/>
      <c r="G99" s="1325"/>
      <c r="H99" s="1320"/>
      <c r="I99" s="1321"/>
      <c r="J99" s="3295"/>
      <c r="K99" s="3298"/>
      <c r="L99" s="3295"/>
      <c r="M99" s="3295"/>
      <c r="N99" s="3295"/>
      <c r="O99" s="3295"/>
      <c r="P99" s="3298"/>
      <c r="Q99" s="2320"/>
      <c r="R99" s="3304"/>
      <c r="S99" s="3298"/>
      <c r="T99" s="3298"/>
      <c r="U99" s="1288" t="s">
        <v>1442</v>
      </c>
      <c r="V99" s="261">
        <v>5000000</v>
      </c>
      <c r="W99" s="3307"/>
      <c r="X99" s="3295"/>
      <c r="Y99" s="3295"/>
      <c r="Z99" s="3295"/>
      <c r="AA99" s="3254"/>
      <c r="AB99" s="3254"/>
      <c r="AC99" s="3301"/>
      <c r="AD99" s="3254"/>
      <c r="AE99" s="3254"/>
      <c r="AF99" s="3254"/>
      <c r="AG99" s="3254"/>
      <c r="AH99" s="3254"/>
      <c r="AI99" s="3254"/>
      <c r="AJ99" s="3301"/>
      <c r="AK99" s="3254"/>
      <c r="AL99" s="3254"/>
      <c r="AM99" s="3301"/>
      <c r="AN99" s="3254"/>
      <c r="AO99" s="3310"/>
      <c r="AP99" s="3310"/>
      <c r="AQ99" s="3313"/>
    </row>
    <row r="100" spans="1:43" s="1317" customFormat="1" ht="75" x14ac:dyDescent="0.2">
      <c r="A100" s="1319"/>
      <c r="B100" s="1320"/>
      <c r="C100" s="1321"/>
      <c r="D100" s="1320"/>
      <c r="E100" s="1320"/>
      <c r="F100" s="1321"/>
      <c r="G100" s="1325"/>
      <c r="H100" s="1320"/>
      <c r="I100" s="1321"/>
      <c r="J100" s="3296"/>
      <c r="K100" s="3299"/>
      <c r="L100" s="3296"/>
      <c r="M100" s="3296"/>
      <c r="N100" s="3295"/>
      <c r="O100" s="3295"/>
      <c r="P100" s="3298"/>
      <c r="Q100" s="2052"/>
      <c r="R100" s="3304"/>
      <c r="S100" s="3298"/>
      <c r="T100" s="3299"/>
      <c r="U100" s="1288" t="s">
        <v>1443</v>
      </c>
      <c r="V100" s="261">
        <v>4000000</v>
      </c>
      <c r="W100" s="3307"/>
      <c r="X100" s="3295"/>
      <c r="Y100" s="3295"/>
      <c r="Z100" s="3295"/>
      <c r="AA100" s="3254"/>
      <c r="AB100" s="3254"/>
      <c r="AC100" s="3301"/>
      <c r="AD100" s="3254"/>
      <c r="AE100" s="3254"/>
      <c r="AF100" s="3254"/>
      <c r="AG100" s="3254"/>
      <c r="AH100" s="3254"/>
      <c r="AI100" s="3254"/>
      <c r="AJ100" s="3301"/>
      <c r="AK100" s="3254"/>
      <c r="AL100" s="3254"/>
      <c r="AM100" s="3301"/>
      <c r="AN100" s="3254"/>
      <c r="AO100" s="3310"/>
      <c r="AP100" s="3310"/>
      <c r="AQ100" s="3313"/>
    </row>
    <row r="101" spans="1:43" s="1317" customFormat="1" ht="75" x14ac:dyDescent="0.2">
      <c r="A101" s="1319"/>
      <c r="B101" s="1320"/>
      <c r="C101" s="1321"/>
      <c r="D101" s="1320"/>
      <c r="E101" s="1320"/>
      <c r="F101" s="1321"/>
      <c r="G101" s="1325"/>
      <c r="H101" s="1320"/>
      <c r="I101" s="1321"/>
      <c r="J101" s="3294">
        <v>141</v>
      </c>
      <c r="K101" s="3297" t="s">
        <v>1444</v>
      </c>
      <c r="L101" s="3294" t="s">
        <v>1318</v>
      </c>
      <c r="M101" s="3294">
        <v>1</v>
      </c>
      <c r="N101" s="3295"/>
      <c r="O101" s="3295"/>
      <c r="P101" s="3298"/>
      <c r="Q101" s="2051">
        <f>(V101+V103+V102)/R91</f>
        <v>0.16060606060606061</v>
      </c>
      <c r="R101" s="3304"/>
      <c r="S101" s="3298"/>
      <c r="T101" s="3297" t="s">
        <v>1445</v>
      </c>
      <c r="U101" s="1288" t="s">
        <v>1446</v>
      </c>
      <c r="V101" s="261">
        <v>10500000</v>
      </c>
      <c r="W101" s="3307"/>
      <c r="X101" s="3295"/>
      <c r="Y101" s="3295"/>
      <c r="Z101" s="3295"/>
      <c r="AA101" s="3254"/>
      <c r="AB101" s="3254"/>
      <c r="AC101" s="3301"/>
      <c r="AD101" s="3254"/>
      <c r="AE101" s="3254"/>
      <c r="AF101" s="3254"/>
      <c r="AG101" s="3254"/>
      <c r="AH101" s="3254"/>
      <c r="AI101" s="3254"/>
      <c r="AJ101" s="3301"/>
      <c r="AK101" s="3254"/>
      <c r="AL101" s="3254"/>
      <c r="AM101" s="3301"/>
      <c r="AN101" s="3254"/>
      <c r="AO101" s="3310"/>
      <c r="AP101" s="3310"/>
      <c r="AQ101" s="3313"/>
    </row>
    <row r="102" spans="1:43" s="1317" customFormat="1" ht="120" x14ac:dyDescent="0.2">
      <c r="A102" s="1319"/>
      <c r="B102" s="1320"/>
      <c r="C102" s="1321"/>
      <c r="D102" s="1320"/>
      <c r="E102" s="1320"/>
      <c r="F102" s="1321"/>
      <c r="G102" s="1325"/>
      <c r="H102" s="1320"/>
      <c r="I102" s="1321"/>
      <c r="J102" s="3295"/>
      <c r="K102" s="3298"/>
      <c r="L102" s="3295"/>
      <c r="M102" s="3295"/>
      <c r="N102" s="3295"/>
      <c r="O102" s="3295"/>
      <c r="P102" s="3298"/>
      <c r="Q102" s="2320"/>
      <c r="R102" s="3304"/>
      <c r="S102" s="3298"/>
      <c r="T102" s="3298"/>
      <c r="U102" s="1288" t="s">
        <v>1447</v>
      </c>
      <c r="V102" s="261">
        <v>8000000</v>
      </c>
      <c r="W102" s="3307"/>
      <c r="X102" s="3295"/>
      <c r="Y102" s="3295"/>
      <c r="Z102" s="3295"/>
      <c r="AA102" s="3254"/>
      <c r="AB102" s="3254"/>
      <c r="AC102" s="3301"/>
      <c r="AD102" s="3254"/>
      <c r="AE102" s="3254"/>
      <c r="AF102" s="3254"/>
      <c r="AG102" s="3254"/>
      <c r="AH102" s="3254"/>
      <c r="AI102" s="3254"/>
      <c r="AJ102" s="3301"/>
      <c r="AK102" s="3254"/>
      <c r="AL102" s="3254"/>
      <c r="AM102" s="3301"/>
      <c r="AN102" s="3254"/>
      <c r="AO102" s="3310"/>
      <c r="AP102" s="3310"/>
      <c r="AQ102" s="3313"/>
    </row>
    <row r="103" spans="1:43" s="1317" customFormat="1" ht="150" x14ac:dyDescent="0.2">
      <c r="A103" s="1319"/>
      <c r="B103" s="1320"/>
      <c r="C103" s="1321"/>
      <c r="D103" s="1320"/>
      <c r="E103" s="1320"/>
      <c r="F103" s="1321"/>
      <c r="G103" s="1326"/>
      <c r="H103" s="1327"/>
      <c r="I103" s="1328"/>
      <c r="J103" s="3296"/>
      <c r="K103" s="3299"/>
      <c r="L103" s="3296"/>
      <c r="M103" s="3296"/>
      <c r="N103" s="3296"/>
      <c r="O103" s="3296"/>
      <c r="P103" s="3299"/>
      <c r="Q103" s="2052"/>
      <c r="R103" s="3305"/>
      <c r="S103" s="3299"/>
      <c r="T103" s="3299"/>
      <c r="U103" s="1288" t="s">
        <v>1448</v>
      </c>
      <c r="V103" s="261">
        <v>8000000</v>
      </c>
      <c r="W103" s="3308"/>
      <c r="X103" s="3296"/>
      <c r="Y103" s="3296"/>
      <c r="Z103" s="3296"/>
      <c r="AA103" s="3255"/>
      <c r="AB103" s="3255"/>
      <c r="AC103" s="3302"/>
      <c r="AD103" s="3255"/>
      <c r="AE103" s="3255"/>
      <c r="AF103" s="3255"/>
      <c r="AG103" s="3255"/>
      <c r="AH103" s="3255"/>
      <c r="AI103" s="3255"/>
      <c r="AJ103" s="3302"/>
      <c r="AK103" s="3255"/>
      <c r="AL103" s="3255"/>
      <c r="AM103" s="3302"/>
      <c r="AN103" s="3255"/>
      <c r="AO103" s="3311"/>
      <c r="AP103" s="3311"/>
      <c r="AQ103" s="3314"/>
    </row>
    <row r="104" spans="1:43" s="1303" customFormat="1" ht="36" customHeight="1" x14ac:dyDescent="0.2">
      <c r="A104" s="1265"/>
      <c r="B104" s="1266"/>
      <c r="C104" s="1267"/>
      <c r="D104" s="1266"/>
      <c r="E104" s="1266"/>
      <c r="F104" s="1267"/>
      <c r="G104" s="1299">
        <v>40</v>
      </c>
      <c r="H104" s="1271" t="s">
        <v>1449</v>
      </c>
      <c r="I104" s="1271"/>
      <c r="J104" s="1271"/>
      <c r="K104" s="1272"/>
      <c r="L104" s="1271"/>
      <c r="M104" s="1271"/>
      <c r="N104" s="1273"/>
      <c r="O104" s="1271"/>
      <c r="P104" s="1272"/>
      <c r="Q104" s="1271"/>
      <c r="R104" s="1271"/>
      <c r="S104" s="1271"/>
      <c r="T104" s="1272"/>
      <c r="U104" s="1272"/>
      <c r="V104" s="1300"/>
      <c r="W104" s="1301"/>
      <c r="X104" s="1273"/>
      <c r="Y104" s="1273"/>
      <c r="Z104" s="1273"/>
      <c r="AA104" s="1302"/>
      <c r="AB104" s="1302"/>
      <c r="AC104" s="1273"/>
      <c r="AD104" s="1302"/>
      <c r="AE104" s="1302"/>
      <c r="AF104" s="1302"/>
      <c r="AG104" s="1302"/>
      <c r="AH104" s="1302"/>
      <c r="AI104" s="1302"/>
      <c r="AJ104" s="1273"/>
      <c r="AK104" s="1302"/>
      <c r="AL104" s="1302"/>
      <c r="AM104" s="1273"/>
      <c r="AN104" s="1302"/>
      <c r="AO104" s="1273"/>
      <c r="AP104" s="1271"/>
      <c r="AQ104" s="1278"/>
    </row>
    <row r="105" spans="1:43" ht="180" customHeight="1" x14ac:dyDescent="0.2">
      <c r="A105" s="1304"/>
      <c r="B105" s="1305"/>
      <c r="C105" s="1306"/>
      <c r="D105" s="1305"/>
      <c r="E105" s="1305"/>
      <c r="F105" s="1306"/>
      <c r="G105" s="1307"/>
      <c r="H105" s="1308"/>
      <c r="I105" s="1309"/>
      <c r="J105" s="3244">
        <v>142</v>
      </c>
      <c r="K105" s="3259" t="s">
        <v>1450</v>
      </c>
      <c r="L105" s="3244" t="s">
        <v>1318</v>
      </c>
      <c r="M105" s="3244">
        <v>12</v>
      </c>
      <c r="N105" s="3244" t="s">
        <v>1451</v>
      </c>
      <c r="O105" s="3244">
        <v>139</v>
      </c>
      <c r="P105" s="3247" t="s">
        <v>1452</v>
      </c>
      <c r="Q105" s="2342">
        <f>+(V105+V106+V107+V108)/R105</f>
        <v>0.75352112676056338</v>
      </c>
      <c r="R105" s="3276">
        <f>SUM(V105:V112)</f>
        <v>142000000</v>
      </c>
      <c r="S105" s="3247" t="s">
        <v>1453</v>
      </c>
      <c r="T105" s="3259" t="s">
        <v>1454</v>
      </c>
      <c r="U105" s="1329" t="s">
        <v>1455</v>
      </c>
      <c r="V105" s="1121">
        <v>43500000</v>
      </c>
      <c r="W105" s="3272">
        <v>61</v>
      </c>
      <c r="X105" s="3244" t="s">
        <v>1324</v>
      </c>
      <c r="Y105" s="3253" t="s">
        <v>1325</v>
      </c>
      <c r="Z105" s="3253" t="s">
        <v>1325</v>
      </c>
      <c r="AA105" s="3285">
        <v>64149</v>
      </c>
      <c r="AB105" s="3253" t="s">
        <v>1325</v>
      </c>
      <c r="AC105" s="3269" t="s">
        <v>1325</v>
      </c>
      <c r="AD105" s="3253" t="s">
        <v>1325</v>
      </c>
      <c r="AE105" s="3253" t="s">
        <v>1325</v>
      </c>
      <c r="AF105" s="3253" t="s">
        <v>1325</v>
      </c>
      <c r="AG105" s="3253" t="s">
        <v>1325</v>
      </c>
      <c r="AH105" s="3253" t="s">
        <v>1325</v>
      </c>
      <c r="AI105" s="3253" t="s">
        <v>1325</v>
      </c>
      <c r="AJ105" s="3269" t="s">
        <v>1325</v>
      </c>
      <c r="AK105" s="3253" t="s">
        <v>1325</v>
      </c>
      <c r="AL105" s="3253" t="s">
        <v>1325</v>
      </c>
      <c r="AM105" s="3269" t="s">
        <v>1325</v>
      </c>
      <c r="AN105" s="3253" t="s">
        <v>1456</v>
      </c>
      <c r="AO105" s="3262">
        <v>43101</v>
      </c>
      <c r="AP105" s="3262">
        <v>43465</v>
      </c>
      <c r="AQ105" s="3265" t="s">
        <v>1326</v>
      </c>
    </row>
    <row r="106" spans="1:43" ht="90" x14ac:dyDescent="0.2">
      <c r="A106" s="1304"/>
      <c r="B106" s="1305"/>
      <c r="C106" s="1306"/>
      <c r="D106" s="1305"/>
      <c r="E106" s="1305"/>
      <c r="F106" s="1306"/>
      <c r="G106" s="1310"/>
      <c r="H106" s="1305"/>
      <c r="I106" s="1306"/>
      <c r="J106" s="3245"/>
      <c r="K106" s="3260"/>
      <c r="L106" s="3245"/>
      <c r="M106" s="3245"/>
      <c r="N106" s="3245"/>
      <c r="O106" s="3245"/>
      <c r="P106" s="3248"/>
      <c r="Q106" s="2342"/>
      <c r="R106" s="3277"/>
      <c r="S106" s="3248"/>
      <c r="T106" s="3260"/>
      <c r="U106" s="1329" t="s">
        <v>1457</v>
      </c>
      <c r="V106" s="1185">
        <v>43500000</v>
      </c>
      <c r="W106" s="3273"/>
      <c r="X106" s="3245"/>
      <c r="Y106" s="3254"/>
      <c r="Z106" s="3254"/>
      <c r="AA106" s="3286"/>
      <c r="AB106" s="3254"/>
      <c r="AC106" s="3270"/>
      <c r="AD106" s="3254"/>
      <c r="AE106" s="3254"/>
      <c r="AF106" s="3254"/>
      <c r="AG106" s="3254"/>
      <c r="AH106" s="3254"/>
      <c r="AI106" s="3254"/>
      <c r="AJ106" s="3270"/>
      <c r="AK106" s="3254"/>
      <c r="AL106" s="3254"/>
      <c r="AM106" s="3270"/>
      <c r="AN106" s="3254"/>
      <c r="AO106" s="3263"/>
      <c r="AP106" s="3263"/>
      <c r="AQ106" s="3266"/>
    </row>
    <row r="107" spans="1:43" ht="90" x14ac:dyDescent="0.2">
      <c r="A107" s="1304"/>
      <c r="B107" s="1305"/>
      <c r="C107" s="1306"/>
      <c r="D107" s="1305"/>
      <c r="E107" s="1305"/>
      <c r="F107" s="1306"/>
      <c r="G107" s="1310"/>
      <c r="H107" s="1305"/>
      <c r="I107" s="1306"/>
      <c r="J107" s="3245"/>
      <c r="K107" s="3260"/>
      <c r="L107" s="3245"/>
      <c r="M107" s="3245"/>
      <c r="N107" s="3245"/>
      <c r="O107" s="3245"/>
      <c r="P107" s="3248"/>
      <c r="Q107" s="2342"/>
      <c r="R107" s="3277"/>
      <c r="S107" s="3248"/>
      <c r="T107" s="3260"/>
      <c r="U107" s="1329" t="s">
        <v>1458</v>
      </c>
      <c r="V107" s="1185">
        <v>10000000</v>
      </c>
      <c r="W107" s="3273"/>
      <c r="X107" s="3245"/>
      <c r="Y107" s="3254"/>
      <c r="Z107" s="3254"/>
      <c r="AA107" s="3286"/>
      <c r="AB107" s="3254"/>
      <c r="AC107" s="3270"/>
      <c r="AD107" s="3254"/>
      <c r="AE107" s="3254"/>
      <c r="AF107" s="3254"/>
      <c r="AG107" s="3254"/>
      <c r="AH107" s="3254"/>
      <c r="AI107" s="3254"/>
      <c r="AJ107" s="3270"/>
      <c r="AK107" s="3254"/>
      <c r="AL107" s="3254"/>
      <c r="AM107" s="3270"/>
      <c r="AN107" s="3254"/>
      <c r="AO107" s="3263"/>
      <c r="AP107" s="3263"/>
      <c r="AQ107" s="3266"/>
    </row>
    <row r="108" spans="1:43" ht="75" x14ac:dyDescent="0.2">
      <c r="A108" s="1304"/>
      <c r="B108" s="1305"/>
      <c r="C108" s="1306"/>
      <c r="D108" s="1305"/>
      <c r="E108" s="1305"/>
      <c r="F108" s="1306"/>
      <c r="G108" s="1310"/>
      <c r="H108" s="1305"/>
      <c r="I108" s="1306"/>
      <c r="J108" s="3246"/>
      <c r="K108" s="3261"/>
      <c r="L108" s="3246"/>
      <c r="M108" s="3246"/>
      <c r="N108" s="3245"/>
      <c r="O108" s="3245"/>
      <c r="P108" s="3248"/>
      <c r="Q108" s="2342"/>
      <c r="R108" s="3277"/>
      <c r="S108" s="3248"/>
      <c r="T108" s="3261"/>
      <c r="U108" s="1329" t="s">
        <v>1459</v>
      </c>
      <c r="V108" s="1185">
        <v>10000000</v>
      </c>
      <c r="W108" s="3273"/>
      <c r="X108" s="3245"/>
      <c r="Y108" s="3254"/>
      <c r="Z108" s="3254"/>
      <c r="AA108" s="3286"/>
      <c r="AB108" s="3254"/>
      <c r="AC108" s="3270"/>
      <c r="AD108" s="3254"/>
      <c r="AE108" s="3254"/>
      <c r="AF108" s="3254"/>
      <c r="AG108" s="3254"/>
      <c r="AH108" s="3254"/>
      <c r="AI108" s="3254"/>
      <c r="AJ108" s="3270"/>
      <c r="AK108" s="3254"/>
      <c r="AL108" s="3254"/>
      <c r="AM108" s="3270"/>
      <c r="AN108" s="3254"/>
      <c r="AO108" s="3263"/>
      <c r="AP108" s="3263"/>
      <c r="AQ108" s="3266"/>
    </row>
    <row r="109" spans="1:43" ht="60" x14ac:dyDescent="0.2">
      <c r="A109" s="1304"/>
      <c r="B109" s="1305"/>
      <c r="C109" s="1306"/>
      <c r="D109" s="1305"/>
      <c r="E109" s="1305"/>
      <c r="F109" s="1306"/>
      <c r="G109" s="1310"/>
      <c r="H109" s="1305"/>
      <c r="I109" s="1306"/>
      <c r="J109" s="3244">
        <v>143</v>
      </c>
      <c r="K109" s="3315" t="s">
        <v>1460</v>
      </c>
      <c r="L109" s="3244" t="s">
        <v>1318</v>
      </c>
      <c r="M109" s="3244">
        <v>1</v>
      </c>
      <c r="N109" s="3245"/>
      <c r="O109" s="3245"/>
      <c r="P109" s="3248"/>
      <c r="Q109" s="2051">
        <f>+(V109+V110+V111+V112)/R105</f>
        <v>0.24647887323943662</v>
      </c>
      <c r="R109" s="3277"/>
      <c r="S109" s="3248"/>
      <c r="T109" s="3315" t="s">
        <v>1461</v>
      </c>
      <c r="U109" s="1315" t="s">
        <v>1462</v>
      </c>
      <c r="V109" s="1185">
        <v>9900000</v>
      </c>
      <c r="W109" s="3273"/>
      <c r="X109" s="3245"/>
      <c r="Y109" s="3254"/>
      <c r="Z109" s="3254"/>
      <c r="AA109" s="3286"/>
      <c r="AB109" s="3254"/>
      <c r="AC109" s="3270"/>
      <c r="AD109" s="3254"/>
      <c r="AE109" s="3254"/>
      <c r="AF109" s="3254"/>
      <c r="AG109" s="3254"/>
      <c r="AH109" s="3254"/>
      <c r="AI109" s="3254"/>
      <c r="AJ109" s="3270"/>
      <c r="AK109" s="3254"/>
      <c r="AL109" s="3254"/>
      <c r="AM109" s="3270"/>
      <c r="AN109" s="3254"/>
      <c r="AO109" s="3263"/>
      <c r="AP109" s="3263"/>
      <c r="AQ109" s="3266"/>
    </row>
    <row r="110" spans="1:43" ht="90" x14ac:dyDescent="0.2">
      <c r="A110" s="1304"/>
      <c r="B110" s="1305"/>
      <c r="C110" s="1306"/>
      <c r="D110" s="1305"/>
      <c r="E110" s="1305"/>
      <c r="F110" s="1306"/>
      <c r="G110" s="1310"/>
      <c r="H110" s="1305"/>
      <c r="I110" s="1306"/>
      <c r="J110" s="3245"/>
      <c r="K110" s="3315"/>
      <c r="L110" s="3245"/>
      <c r="M110" s="3245"/>
      <c r="N110" s="3245"/>
      <c r="O110" s="3245"/>
      <c r="P110" s="3248"/>
      <c r="Q110" s="2320"/>
      <c r="R110" s="3277"/>
      <c r="S110" s="3248"/>
      <c r="T110" s="3315"/>
      <c r="U110" s="1315" t="s">
        <v>1463</v>
      </c>
      <c r="V110" s="1185">
        <v>9900000</v>
      </c>
      <c r="W110" s="3273"/>
      <c r="X110" s="3245"/>
      <c r="Y110" s="3254"/>
      <c r="Z110" s="3254"/>
      <c r="AA110" s="3286"/>
      <c r="AB110" s="3254"/>
      <c r="AC110" s="3270"/>
      <c r="AD110" s="3254"/>
      <c r="AE110" s="3254"/>
      <c r="AF110" s="3254"/>
      <c r="AG110" s="3254"/>
      <c r="AH110" s="3254"/>
      <c r="AI110" s="3254"/>
      <c r="AJ110" s="3270"/>
      <c r="AK110" s="3254"/>
      <c r="AL110" s="3254"/>
      <c r="AM110" s="3270"/>
      <c r="AN110" s="3254"/>
      <c r="AO110" s="3263"/>
      <c r="AP110" s="3263"/>
      <c r="AQ110" s="3266"/>
    </row>
    <row r="111" spans="1:43" ht="90" x14ac:dyDescent="0.2">
      <c r="A111" s="1304"/>
      <c r="B111" s="1305"/>
      <c r="C111" s="1306"/>
      <c r="D111" s="1305"/>
      <c r="E111" s="1305"/>
      <c r="F111" s="1306"/>
      <c r="G111" s="1310"/>
      <c r="H111" s="1305"/>
      <c r="I111" s="1306"/>
      <c r="J111" s="3245"/>
      <c r="K111" s="3315"/>
      <c r="L111" s="3245"/>
      <c r="M111" s="3245"/>
      <c r="N111" s="3245"/>
      <c r="O111" s="3245"/>
      <c r="P111" s="3248"/>
      <c r="Q111" s="2320"/>
      <c r="R111" s="3277"/>
      <c r="S111" s="3248"/>
      <c r="T111" s="3315"/>
      <c r="U111" s="1315" t="s">
        <v>1464</v>
      </c>
      <c r="V111" s="1185">
        <v>10000000</v>
      </c>
      <c r="W111" s="3273"/>
      <c r="X111" s="3245"/>
      <c r="Y111" s="3254"/>
      <c r="Z111" s="3254"/>
      <c r="AA111" s="3286"/>
      <c r="AB111" s="3254"/>
      <c r="AC111" s="3270"/>
      <c r="AD111" s="3254"/>
      <c r="AE111" s="3254"/>
      <c r="AF111" s="3254"/>
      <c r="AG111" s="3254"/>
      <c r="AH111" s="3254"/>
      <c r="AI111" s="3254"/>
      <c r="AJ111" s="3270"/>
      <c r="AK111" s="3254"/>
      <c r="AL111" s="3254"/>
      <c r="AM111" s="3270"/>
      <c r="AN111" s="3254"/>
      <c r="AO111" s="3263"/>
      <c r="AP111" s="3263"/>
      <c r="AQ111" s="3266"/>
    </row>
    <row r="112" spans="1:43" ht="90" x14ac:dyDescent="0.2">
      <c r="A112" s="1304"/>
      <c r="B112" s="1305"/>
      <c r="C112" s="1306"/>
      <c r="D112" s="1305"/>
      <c r="E112" s="1305"/>
      <c r="F112" s="1306"/>
      <c r="G112" s="1310"/>
      <c r="H112" s="1305"/>
      <c r="I112" s="1306"/>
      <c r="J112" s="3246"/>
      <c r="K112" s="3315"/>
      <c r="L112" s="3246"/>
      <c r="M112" s="3246"/>
      <c r="N112" s="3246"/>
      <c r="O112" s="3246"/>
      <c r="P112" s="3249"/>
      <c r="Q112" s="2052"/>
      <c r="R112" s="3278"/>
      <c r="S112" s="3249"/>
      <c r="T112" s="3315"/>
      <c r="U112" s="1315" t="s">
        <v>1465</v>
      </c>
      <c r="V112" s="1121">
        <v>5200000</v>
      </c>
      <c r="W112" s="3274"/>
      <c r="X112" s="3246"/>
      <c r="Y112" s="3255"/>
      <c r="Z112" s="3255"/>
      <c r="AA112" s="3287"/>
      <c r="AB112" s="3255"/>
      <c r="AC112" s="3271"/>
      <c r="AD112" s="3255"/>
      <c r="AE112" s="3255"/>
      <c r="AF112" s="3255"/>
      <c r="AG112" s="3255"/>
      <c r="AH112" s="3255"/>
      <c r="AI112" s="3255"/>
      <c r="AJ112" s="3271"/>
      <c r="AK112" s="3255"/>
      <c r="AL112" s="3255"/>
      <c r="AM112" s="3271"/>
      <c r="AN112" s="3255"/>
      <c r="AO112" s="3264"/>
      <c r="AP112" s="3264"/>
      <c r="AQ112" s="3267"/>
    </row>
    <row r="113" spans="1:43" s="1242" customFormat="1" ht="180" customHeight="1" x14ac:dyDescent="0.2">
      <c r="A113" s="1330"/>
      <c r="B113" s="1331"/>
      <c r="C113" s="1332"/>
      <c r="D113" s="1331"/>
      <c r="E113" s="1331"/>
      <c r="F113" s="1332"/>
      <c r="G113" s="1333"/>
      <c r="H113" s="1331"/>
      <c r="I113" s="1332"/>
      <c r="J113" s="3316">
        <v>144</v>
      </c>
      <c r="K113" s="3319" t="s">
        <v>1466</v>
      </c>
      <c r="L113" s="3316" t="s">
        <v>1318</v>
      </c>
      <c r="M113" s="3316">
        <v>5</v>
      </c>
      <c r="N113" s="1334"/>
      <c r="O113" s="3316">
        <v>141</v>
      </c>
      <c r="P113" s="3247" t="s">
        <v>1467</v>
      </c>
      <c r="Q113" s="2248">
        <f>(V113+V114+V115+V117+V118+V116)/R113</f>
        <v>0.83020934706488059</v>
      </c>
      <c r="R113" s="3276">
        <f>SUM(V113+V114+V115+V116+V117+V118+V119+V120+V121+V122)</f>
        <v>670440687</v>
      </c>
      <c r="S113" s="3319" t="s">
        <v>1468</v>
      </c>
      <c r="T113" s="3247" t="s">
        <v>1469</v>
      </c>
      <c r="U113" s="1288" t="s">
        <v>1470</v>
      </c>
      <c r="V113" s="265">
        <v>246606125</v>
      </c>
      <c r="W113" s="1335"/>
      <c r="X113" s="1334"/>
      <c r="Y113" s="3316">
        <v>292684</v>
      </c>
      <c r="Z113" s="3316">
        <v>282326</v>
      </c>
      <c r="AA113" s="3253">
        <v>135912</v>
      </c>
      <c r="AB113" s="3253">
        <v>45122</v>
      </c>
      <c r="AC113" s="3253">
        <v>307101</v>
      </c>
      <c r="AD113" s="3253">
        <v>86875</v>
      </c>
      <c r="AE113" s="3253">
        <v>2145</v>
      </c>
      <c r="AF113" s="3253">
        <v>12718</v>
      </c>
      <c r="AG113" s="3253">
        <v>26</v>
      </c>
      <c r="AH113" s="3253">
        <v>37</v>
      </c>
      <c r="AI113" s="3253" t="s">
        <v>1325</v>
      </c>
      <c r="AJ113" s="3269" t="s">
        <v>1325</v>
      </c>
      <c r="AK113" s="3253">
        <v>53164</v>
      </c>
      <c r="AL113" s="3253">
        <v>16982</v>
      </c>
      <c r="AM113" s="3269">
        <v>60013</v>
      </c>
      <c r="AN113" s="3253">
        <v>575010</v>
      </c>
      <c r="AO113" s="3325">
        <v>43101</v>
      </c>
      <c r="AP113" s="3325">
        <v>43465</v>
      </c>
      <c r="AQ113" s="3327" t="s">
        <v>1326</v>
      </c>
    </row>
    <row r="114" spans="1:43" s="1242" customFormat="1" ht="75" x14ac:dyDescent="0.2">
      <c r="A114" s="1330"/>
      <c r="B114" s="1331"/>
      <c r="C114" s="1332"/>
      <c r="D114" s="1331"/>
      <c r="E114" s="1331"/>
      <c r="F114" s="1332"/>
      <c r="G114" s="1333"/>
      <c r="H114" s="1331"/>
      <c r="I114" s="1332"/>
      <c r="J114" s="3317"/>
      <c r="K114" s="3320"/>
      <c r="L114" s="3317"/>
      <c r="M114" s="3317"/>
      <c r="N114" s="1336"/>
      <c r="O114" s="3317"/>
      <c r="P114" s="3248"/>
      <c r="Q114" s="3330"/>
      <c r="R114" s="3277"/>
      <c r="S114" s="3320"/>
      <c r="T114" s="3248"/>
      <c r="U114" s="1288" t="s">
        <v>1471</v>
      </c>
      <c r="V114" s="265">
        <v>62000000</v>
      </c>
      <c r="W114" s="1337"/>
      <c r="X114" s="1336"/>
      <c r="Y114" s="3317"/>
      <c r="Z114" s="3317"/>
      <c r="AA114" s="3254"/>
      <c r="AB114" s="3254"/>
      <c r="AC114" s="3254"/>
      <c r="AD114" s="3254"/>
      <c r="AE114" s="3254"/>
      <c r="AF114" s="3254"/>
      <c r="AG114" s="3254"/>
      <c r="AH114" s="3254"/>
      <c r="AI114" s="3254"/>
      <c r="AJ114" s="3270"/>
      <c r="AK114" s="3254"/>
      <c r="AL114" s="3254"/>
      <c r="AM114" s="3270"/>
      <c r="AN114" s="3254"/>
      <c r="AO114" s="3326"/>
      <c r="AP114" s="3326"/>
      <c r="AQ114" s="3328"/>
    </row>
    <row r="115" spans="1:43" s="1242" customFormat="1" ht="88.5" customHeight="1" x14ac:dyDescent="0.2">
      <c r="A115" s="1330"/>
      <c r="B115" s="1331"/>
      <c r="C115" s="1332"/>
      <c r="D115" s="1331"/>
      <c r="E115" s="1331"/>
      <c r="F115" s="1332"/>
      <c r="G115" s="1333"/>
      <c r="H115" s="1331"/>
      <c r="I115" s="1332"/>
      <c r="J115" s="3317"/>
      <c r="K115" s="3320"/>
      <c r="L115" s="3317"/>
      <c r="M115" s="3317"/>
      <c r="N115" s="1336"/>
      <c r="O115" s="3317"/>
      <c r="P115" s="3248"/>
      <c r="Q115" s="3330"/>
      <c r="R115" s="3277"/>
      <c r="S115" s="3320"/>
      <c r="T115" s="3248"/>
      <c r="U115" s="1288" t="s">
        <v>1472</v>
      </c>
      <c r="V115" s="265">
        <v>62000000</v>
      </c>
      <c r="W115" s="1337">
        <v>111</v>
      </c>
      <c r="X115" s="1336" t="s">
        <v>1473</v>
      </c>
      <c r="Y115" s="3317"/>
      <c r="Z115" s="3317"/>
      <c r="AA115" s="3254"/>
      <c r="AB115" s="3254"/>
      <c r="AC115" s="3254"/>
      <c r="AD115" s="3254"/>
      <c r="AE115" s="3254"/>
      <c r="AF115" s="3254"/>
      <c r="AG115" s="3254"/>
      <c r="AH115" s="3254"/>
      <c r="AI115" s="3254"/>
      <c r="AJ115" s="3270"/>
      <c r="AK115" s="3254"/>
      <c r="AL115" s="3254"/>
      <c r="AM115" s="3270"/>
      <c r="AN115" s="3254"/>
      <c r="AO115" s="3326"/>
      <c r="AP115" s="3326"/>
      <c r="AQ115" s="3328"/>
    </row>
    <row r="116" spans="1:43" s="1242" customFormat="1" ht="90" x14ac:dyDescent="0.2">
      <c r="A116" s="1330"/>
      <c r="B116" s="1331"/>
      <c r="C116" s="1332"/>
      <c r="D116" s="1331"/>
      <c r="E116" s="1331"/>
      <c r="F116" s="1332"/>
      <c r="G116" s="1333"/>
      <c r="H116" s="1331"/>
      <c r="I116" s="1332"/>
      <c r="J116" s="3317"/>
      <c r="K116" s="3320"/>
      <c r="L116" s="3317"/>
      <c r="M116" s="3317"/>
      <c r="N116" s="1336"/>
      <c r="O116" s="3317"/>
      <c r="P116" s="3248"/>
      <c r="Q116" s="3330"/>
      <c r="R116" s="3277"/>
      <c r="S116" s="3320"/>
      <c r="T116" s="3248"/>
      <c r="U116" s="1288" t="s">
        <v>1474</v>
      </c>
      <c r="V116" s="265">
        <v>62000000</v>
      </c>
      <c r="W116" s="1337"/>
      <c r="X116" s="1336"/>
      <c r="Y116" s="3317"/>
      <c r="Z116" s="3317"/>
      <c r="AA116" s="3254"/>
      <c r="AB116" s="3254"/>
      <c r="AC116" s="3254"/>
      <c r="AD116" s="3254"/>
      <c r="AE116" s="3254"/>
      <c r="AF116" s="3254"/>
      <c r="AG116" s="3254"/>
      <c r="AH116" s="3254"/>
      <c r="AI116" s="3254"/>
      <c r="AJ116" s="3270"/>
      <c r="AK116" s="3254"/>
      <c r="AL116" s="3254"/>
      <c r="AM116" s="3270"/>
      <c r="AN116" s="3254"/>
      <c r="AO116" s="3326"/>
      <c r="AP116" s="3326"/>
      <c r="AQ116" s="3328"/>
    </row>
    <row r="117" spans="1:43" s="1242" customFormat="1" ht="105" x14ac:dyDescent="0.2">
      <c r="A117" s="1330"/>
      <c r="B117" s="1331"/>
      <c r="C117" s="1332"/>
      <c r="D117" s="1331"/>
      <c r="E117" s="1331"/>
      <c r="F117" s="1332"/>
      <c r="G117" s="1333"/>
      <c r="H117" s="1331"/>
      <c r="I117" s="1332"/>
      <c r="J117" s="3317"/>
      <c r="K117" s="3320"/>
      <c r="L117" s="3317"/>
      <c r="M117" s="3317"/>
      <c r="N117" s="1336"/>
      <c r="O117" s="3317"/>
      <c r="P117" s="3248"/>
      <c r="Q117" s="3330"/>
      <c r="R117" s="3277"/>
      <c r="S117" s="3320"/>
      <c r="T117" s="3248"/>
      <c r="U117" s="1288" t="s">
        <v>1475</v>
      </c>
      <c r="V117" s="265">
        <v>62000000</v>
      </c>
      <c r="W117" s="1337">
        <v>118</v>
      </c>
      <c r="X117" s="1336" t="s">
        <v>1476</v>
      </c>
      <c r="Y117" s="3317"/>
      <c r="Z117" s="3317"/>
      <c r="AA117" s="3254"/>
      <c r="AB117" s="3254"/>
      <c r="AC117" s="3254"/>
      <c r="AD117" s="3254"/>
      <c r="AE117" s="3254"/>
      <c r="AF117" s="3254"/>
      <c r="AG117" s="3254"/>
      <c r="AH117" s="3254"/>
      <c r="AI117" s="3254"/>
      <c r="AJ117" s="3270"/>
      <c r="AK117" s="3254"/>
      <c r="AL117" s="3254"/>
      <c r="AM117" s="3270"/>
      <c r="AN117" s="3254"/>
      <c r="AO117" s="3326"/>
      <c r="AP117" s="3326"/>
      <c r="AQ117" s="3328"/>
    </row>
    <row r="118" spans="1:43" s="1242" customFormat="1" ht="105" x14ac:dyDescent="0.2">
      <c r="A118" s="1330"/>
      <c r="B118" s="1331"/>
      <c r="C118" s="1332"/>
      <c r="D118" s="1331"/>
      <c r="E118" s="1331"/>
      <c r="F118" s="1332"/>
      <c r="G118" s="1333"/>
      <c r="H118" s="1331"/>
      <c r="I118" s="1332"/>
      <c r="J118" s="3318"/>
      <c r="K118" s="3321"/>
      <c r="L118" s="3318"/>
      <c r="M118" s="3318"/>
      <c r="N118" s="3317" t="s">
        <v>1477</v>
      </c>
      <c r="O118" s="3317"/>
      <c r="P118" s="3248"/>
      <c r="Q118" s="2891"/>
      <c r="R118" s="3277"/>
      <c r="S118" s="3320"/>
      <c r="T118" s="3249"/>
      <c r="U118" s="1288" t="s">
        <v>1478</v>
      </c>
      <c r="V118" s="265">
        <v>62000000</v>
      </c>
      <c r="W118" s="1337">
        <v>61</v>
      </c>
      <c r="X118" s="1336" t="s">
        <v>1324</v>
      </c>
      <c r="Y118" s="3317"/>
      <c r="Z118" s="3317"/>
      <c r="AA118" s="3254"/>
      <c r="AB118" s="3254"/>
      <c r="AC118" s="3254"/>
      <c r="AD118" s="3254"/>
      <c r="AE118" s="3254"/>
      <c r="AF118" s="3254"/>
      <c r="AG118" s="3254"/>
      <c r="AH118" s="3254"/>
      <c r="AI118" s="3254"/>
      <c r="AJ118" s="3270"/>
      <c r="AK118" s="3254"/>
      <c r="AL118" s="3254"/>
      <c r="AM118" s="3270"/>
      <c r="AN118" s="3254"/>
      <c r="AO118" s="3326"/>
      <c r="AP118" s="3326"/>
      <c r="AQ118" s="3328"/>
    </row>
    <row r="119" spans="1:43" s="1242" customFormat="1" ht="60" x14ac:dyDescent="0.2">
      <c r="A119" s="1330"/>
      <c r="B119" s="1331"/>
      <c r="C119" s="1332"/>
      <c r="D119" s="1331"/>
      <c r="E119" s="1331"/>
      <c r="F119" s="1332"/>
      <c r="G119" s="1333"/>
      <c r="H119" s="1331"/>
      <c r="I119" s="1332"/>
      <c r="J119" s="3316">
        <v>145</v>
      </c>
      <c r="K119" s="3322" t="s">
        <v>1479</v>
      </c>
      <c r="L119" s="3316" t="s">
        <v>1318</v>
      </c>
      <c r="M119" s="3316">
        <v>1</v>
      </c>
      <c r="N119" s="3317"/>
      <c r="O119" s="3317"/>
      <c r="P119" s="3248"/>
      <c r="Q119" s="2248">
        <f>(V122+V119+V120+V121)/R113</f>
        <v>0.16979065293511938</v>
      </c>
      <c r="R119" s="3277"/>
      <c r="S119" s="3320"/>
      <c r="T119" s="3259" t="s">
        <v>1480</v>
      </c>
      <c r="U119" s="1338" t="s">
        <v>1481</v>
      </c>
      <c r="V119" s="265">
        <v>36000000</v>
      </c>
      <c r="W119" s="1337"/>
      <c r="X119" s="1336"/>
      <c r="Y119" s="3317"/>
      <c r="Z119" s="3317"/>
      <c r="AA119" s="3254"/>
      <c r="AB119" s="3254"/>
      <c r="AC119" s="3254"/>
      <c r="AD119" s="3254"/>
      <c r="AE119" s="3254"/>
      <c r="AF119" s="3254"/>
      <c r="AG119" s="3254"/>
      <c r="AH119" s="3254"/>
      <c r="AI119" s="3254"/>
      <c r="AJ119" s="3270"/>
      <c r="AK119" s="3254"/>
      <c r="AL119" s="3254"/>
      <c r="AM119" s="3270"/>
      <c r="AN119" s="3254"/>
      <c r="AO119" s="3326"/>
      <c r="AP119" s="3326"/>
      <c r="AQ119" s="3328"/>
    </row>
    <row r="120" spans="1:43" s="1242" customFormat="1" ht="62.25" customHeight="1" x14ac:dyDescent="0.2">
      <c r="A120" s="1330"/>
      <c r="B120" s="1331"/>
      <c r="C120" s="1332"/>
      <c r="D120" s="1331"/>
      <c r="E120" s="1331"/>
      <c r="F120" s="1332"/>
      <c r="G120" s="1333"/>
      <c r="H120" s="1331"/>
      <c r="I120" s="1332"/>
      <c r="J120" s="3317"/>
      <c r="K120" s="3323"/>
      <c r="L120" s="3317"/>
      <c r="M120" s="3317"/>
      <c r="N120" s="1336"/>
      <c r="O120" s="3317"/>
      <c r="P120" s="3248"/>
      <c r="Q120" s="3330"/>
      <c r="R120" s="3277"/>
      <c r="S120" s="3320"/>
      <c r="T120" s="3260"/>
      <c r="U120" s="1338" t="s">
        <v>1482</v>
      </c>
      <c r="V120" s="265">
        <v>36000000</v>
      </c>
      <c r="W120" s="1337"/>
      <c r="X120" s="1336"/>
      <c r="Y120" s="3317"/>
      <c r="Z120" s="3317"/>
      <c r="AA120" s="3254"/>
      <c r="AB120" s="3254"/>
      <c r="AC120" s="3254"/>
      <c r="AD120" s="3254"/>
      <c r="AE120" s="3254"/>
      <c r="AF120" s="3254"/>
      <c r="AG120" s="3254"/>
      <c r="AH120" s="3254"/>
      <c r="AI120" s="3254"/>
      <c r="AJ120" s="3270"/>
      <c r="AK120" s="3254"/>
      <c r="AL120" s="3254"/>
      <c r="AM120" s="3270"/>
      <c r="AN120" s="3254"/>
      <c r="AO120" s="3326"/>
      <c r="AP120" s="3326"/>
      <c r="AQ120" s="3328"/>
    </row>
    <row r="121" spans="1:43" s="1242" customFormat="1" ht="63" customHeight="1" x14ac:dyDescent="0.2">
      <c r="A121" s="1330"/>
      <c r="B121" s="1331"/>
      <c r="C121" s="1332"/>
      <c r="D121" s="1331"/>
      <c r="E121" s="1331"/>
      <c r="F121" s="1332"/>
      <c r="G121" s="1333"/>
      <c r="H121" s="1331"/>
      <c r="I121" s="1332"/>
      <c r="J121" s="3317"/>
      <c r="K121" s="3323"/>
      <c r="L121" s="3317"/>
      <c r="M121" s="3317"/>
      <c r="N121" s="1336"/>
      <c r="O121" s="3317"/>
      <c r="P121" s="3248"/>
      <c r="Q121" s="3330"/>
      <c r="R121" s="3277"/>
      <c r="S121" s="3320"/>
      <c r="T121" s="3260"/>
      <c r="U121" s="1338" t="s">
        <v>1483</v>
      </c>
      <c r="V121" s="265">
        <v>5834562</v>
      </c>
      <c r="W121" s="1337"/>
      <c r="X121" s="1336"/>
      <c r="Y121" s="3317"/>
      <c r="Z121" s="3317"/>
      <c r="AA121" s="3254"/>
      <c r="AB121" s="3254"/>
      <c r="AC121" s="3254"/>
      <c r="AD121" s="3254"/>
      <c r="AE121" s="3254"/>
      <c r="AF121" s="3254"/>
      <c r="AG121" s="3254"/>
      <c r="AH121" s="3254"/>
      <c r="AI121" s="3254"/>
      <c r="AJ121" s="3270"/>
      <c r="AK121" s="3254"/>
      <c r="AL121" s="3254"/>
      <c r="AM121" s="3270"/>
      <c r="AN121" s="3254"/>
      <c r="AO121" s="3326"/>
      <c r="AP121" s="3326"/>
      <c r="AQ121" s="3328"/>
    </row>
    <row r="122" spans="1:43" s="1242" customFormat="1" ht="60" x14ac:dyDescent="0.2">
      <c r="A122" s="1330"/>
      <c r="B122" s="1331"/>
      <c r="C122" s="1332"/>
      <c r="D122" s="1331"/>
      <c r="E122" s="1331"/>
      <c r="F122" s="1332"/>
      <c r="G122" s="1333"/>
      <c r="H122" s="1331"/>
      <c r="I122" s="1332"/>
      <c r="J122" s="3318"/>
      <c r="K122" s="3324"/>
      <c r="L122" s="3318"/>
      <c r="M122" s="3318"/>
      <c r="N122" s="1339"/>
      <c r="O122" s="3318"/>
      <c r="P122" s="3248"/>
      <c r="Q122" s="2891"/>
      <c r="R122" s="3277"/>
      <c r="S122" s="3320"/>
      <c r="T122" s="3261"/>
      <c r="U122" s="1329" t="s">
        <v>1484</v>
      </c>
      <c r="V122" s="265">
        <v>36000000</v>
      </c>
      <c r="W122" s="1337"/>
      <c r="X122" s="1336"/>
      <c r="Y122" s="3318"/>
      <c r="Z122" s="3318"/>
      <c r="AA122" s="3254"/>
      <c r="AB122" s="3254"/>
      <c r="AC122" s="3254"/>
      <c r="AD122" s="3254"/>
      <c r="AE122" s="3254"/>
      <c r="AF122" s="3254"/>
      <c r="AG122" s="3254"/>
      <c r="AH122" s="3254"/>
      <c r="AI122" s="3254"/>
      <c r="AJ122" s="3270"/>
      <c r="AK122" s="3254"/>
      <c r="AL122" s="3254"/>
      <c r="AM122" s="3270"/>
      <c r="AN122" s="3255"/>
      <c r="AO122" s="3326"/>
      <c r="AP122" s="3326"/>
      <c r="AQ122" s="3329"/>
    </row>
    <row r="123" spans="1:43" s="1242" customFormat="1" ht="72" customHeight="1" x14ac:dyDescent="0.2">
      <c r="A123" s="1330"/>
      <c r="B123" s="1331"/>
      <c r="C123" s="1332"/>
      <c r="D123" s="1331"/>
      <c r="E123" s="1331"/>
      <c r="F123" s="1332"/>
      <c r="G123" s="1333"/>
      <c r="H123" s="1331"/>
      <c r="I123" s="1332"/>
      <c r="J123" s="3316">
        <v>146</v>
      </c>
      <c r="K123" s="3319" t="s">
        <v>1485</v>
      </c>
      <c r="L123" s="3316" t="s">
        <v>1318</v>
      </c>
      <c r="M123" s="3316">
        <v>1</v>
      </c>
      <c r="N123" s="1334"/>
      <c r="O123" s="3316">
        <v>142</v>
      </c>
      <c r="P123" s="3247" t="s">
        <v>1486</v>
      </c>
      <c r="Q123" s="2248">
        <v>1</v>
      </c>
      <c r="R123" s="3331">
        <f>SUM(V123:V131)</f>
        <v>230374138</v>
      </c>
      <c r="S123" s="3319" t="s">
        <v>1487</v>
      </c>
      <c r="T123" s="3247" t="s">
        <v>1488</v>
      </c>
      <c r="U123" s="1288" t="s">
        <v>1489</v>
      </c>
      <c r="V123" s="1194">
        <v>76133655</v>
      </c>
      <c r="W123" s="1335"/>
      <c r="X123" s="1334"/>
      <c r="Y123" s="3334">
        <v>292684</v>
      </c>
      <c r="Z123" s="3334">
        <v>282326</v>
      </c>
      <c r="AA123" s="3253">
        <v>135912</v>
      </c>
      <c r="AB123" s="3253">
        <v>45122</v>
      </c>
      <c r="AC123" s="3253">
        <f>SUM(AC113)</f>
        <v>307101</v>
      </c>
      <c r="AD123" s="3253">
        <f>SUM(AD113)</f>
        <v>86875</v>
      </c>
      <c r="AE123" s="3253">
        <v>2145</v>
      </c>
      <c r="AF123" s="3253">
        <v>12718</v>
      </c>
      <c r="AG123" s="3253">
        <v>26</v>
      </c>
      <c r="AH123" s="3253">
        <v>37</v>
      </c>
      <c r="AI123" s="3253" t="s">
        <v>1325</v>
      </c>
      <c r="AJ123" s="3253" t="s">
        <v>1325</v>
      </c>
      <c r="AK123" s="3253">
        <v>53164</v>
      </c>
      <c r="AL123" s="3253">
        <v>16982</v>
      </c>
      <c r="AM123" s="3335">
        <v>60013</v>
      </c>
      <c r="AN123" s="3253">
        <v>575010</v>
      </c>
      <c r="AO123" s="3338">
        <v>43101</v>
      </c>
      <c r="AP123" s="3338">
        <v>43465</v>
      </c>
      <c r="AQ123" s="3327" t="s">
        <v>1326</v>
      </c>
    </row>
    <row r="124" spans="1:43" s="1242" customFormat="1" ht="72" customHeight="1" x14ac:dyDescent="0.2">
      <c r="A124" s="1330"/>
      <c r="B124" s="1331"/>
      <c r="C124" s="1332"/>
      <c r="D124" s="1331"/>
      <c r="E124" s="1331"/>
      <c r="F124" s="1332"/>
      <c r="G124" s="1333"/>
      <c r="H124" s="1331"/>
      <c r="I124" s="1332"/>
      <c r="J124" s="3317"/>
      <c r="K124" s="3320"/>
      <c r="L124" s="3317"/>
      <c r="M124" s="3317"/>
      <c r="N124" s="1336"/>
      <c r="O124" s="3317"/>
      <c r="P124" s="3248"/>
      <c r="Q124" s="3330"/>
      <c r="R124" s="3332"/>
      <c r="S124" s="3320"/>
      <c r="T124" s="3248"/>
      <c r="U124" s="1288" t="s">
        <v>1490</v>
      </c>
      <c r="V124" s="1194">
        <v>3000000</v>
      </c>
      <c r="W124" s="1337"/>
      <c r="X124" s="1336"/>
      <c r="Y124" s="3334"/>
      <c r="Z124" s="3334"/>
      <c r="AA124" s="3254"/>
      <c r="AB124" s="3254"/>
      <c r="AC124" s="3254"/>
      <c r="AD124" s="3254"/>
      <c r="AE124" s="3254"/>
      <c r="AF124" s="3254"/>
      <c r="AG124" s="3254"/>
      <c r="AH124" s="3254"/>
      <c r="AI124" s="3254"/>
      <c r="AJ124" s="3254"/>
      <c r="AK124" s="3254"/>
      <c r="AL124" s="3254"/>
      <c r="AM124" s="3336"/>
      <c r="AN124" s="3254"/>
      <c r="AO124" s="3338"/>
      <c r="AP124" s="3338"/>
      <c r="AQ124" s="3328"/>
    </row>
    <row r="125" spans="1:43" s="1242" customFormat="1" ht="64.5" customHeight="1" x14ac:dyDescent="0.2">
      <c r="A125" s="1330"/>
      <c r="B125" s="1331"/>
      <c r="C125" s="1332"/>
      <c r="D125" s="1331"/>
      <c r="E125" s="1331"/>
      <c r="F125" s="1332"/>
      <c r="G125" s="1333"/>
      <c r="H125" s="1331"/>
      <c r="I125" s="1332"/>
      <c r="J125" s="3317"/>
      <c r="K125" s="3320"/>
      <c r="L125" s="3317"/>
      <c r="M125" s="3317"/>
      <c r="N125" s="1336" t="s">
        <v>1491</v>
      </c>
      <c r="O125" s="3317"/>
      <c r="P125" s="3248"/>
      <c r="Q125" s="3330"/>
      <c r="R125" s="3332"/>
      <c r="S125" s="3320"/>
      <c r="T125" s="3248"/>
      <c r="U125" s="1288" t="s">
        <v>1492</v>
      </c>
      <c r="V125" s="1194">
        <v>27000000</v>
      </c>
      <c r="W125" s="1337"/>
      <c r="X125" s="1336"/>
      <c r="Y125" s="3334"/>
      <c r="Z125" s="3334"/>
      <c r="AA125" s="3254"/>
      <c r="AB125" s="3254"/>
      <c r="AC125" s="3254"/>
      <c r="AD125" s="3254"/>
      <c r="AE125" s="3254"/>
      <c r="AF125" s="3254"/>
      <c r="AG125" s="3254"/>
      <c r="AH125" s="3254"/>
      <c r="AI125" s="3254"/>
      <c r="AJ125" s="3254"/>
      <c r="AK125" s="3254"/>
      <c r="AL125" s="3254"/>
      <c r="AM125" s="3336"/>
      <c r="AN125" s="3254"/>
      <c r="AO125" s="3338"/>
      <c r="AP125" s="3338"/>
      <c r="AQ125" s="3328"/>
    </row>
    <row r="126" spans="1:43" s="1242" customFormat="1" ht="65.25" customHeight="1" x14ac:dyDescent="0.2">
      <c r="A126" s="1330"/>
      <c r="B126" s="1331"/>
      <c r="C126" s="1332"/>
      <c r="D126" s="1331"/>
      <c r="E126" s="1331"/>
      <c r="F126" s="1332"/>
      <c r="G126" s="1333"/>
      <c r="H126" s="1331"/>
      <c r="I126" s="1332"/>
      <c r="J126" s="3317"/>
      <c r="K126" s="3320"/>
      <c r="L126" s="3317"/>
      <c r="M126" s="3317"/>
      <c r="N126" s="1336" t="s">
        <v>1493</v>
      </c>
      <c r="O126" s="3317"/>
      <c r="P126" s="3248"/>
      <c r="Q126" s="3330"/>
      <c r="R126" s="3332"/>
      <c r="S126" s="3320"/>
      <c r="T126" s="3249"/>
      <c r="U126" s="1288" t="s">
        <v>1494</v>
      </c>
      <c r="V126" s="1194">
        <v>10000000</v>
      </c>
      <c r="W126" s="1337"/>
      <c r="X126" s="1336"/>
      <c r="Y126" s="3334"/>
      <c r="Z126" s="3334"/>
      <c r="AA126" s="3254"/>
      <c r="AB126" s="3254"/>
      <c r="AC126" s="3254"/>
      <c r="AD126" s="3254"/>
      <c r="AE126" s="3254"/>
      <c r="AF126" s="3254"/>
      <c r="AG126" s="3254"/>
      <c r="AH126" s="3254"/>
      <c r="AI126" s="3254"/>
      <c r="AJ126" s="3254"/>
      <c r="AK126" s="3254"/>
      <c r="AL126" s="3254"/>
      <c r="AM126" s="3336"/>
      <c r="AN126" s="3254"/>
      <c r="AO126" s="3338"/>
      <c r="AP126" s="3338"/>
      <c r="AQ126" s="3328"/>
    </row>
    <row r="127" spans="1:43" s="1242" customFormat="1" ht="93.75" customHeight="1" x14ac:dyDescent="0.2">
      <c r="A127" s="1330"/>
      <c r="B127" s="1331"/>
      <c r="C127" s="1332"/>
      <c r="D127" s="1331"/>
      <c r="E127" s="1331"/>
      <c r="F127" s="1332"/>
      <c r="G127" s="1333"/>
      <c r="H127" s="1331"/>
      <c r="I127" s="1332"/>
      <c r="J127" s="3317"/>
      <c r="K127" s="3320"/>
      <c r="L127" s="3317"/>
      <c r="M127" s="3317"/>
      <c r="N127" s="1336" t="s">
        <v>1495</v>
      </c>
      <c r="O127" s="3317"/>
      <c r="P127" s="3248"/>
      <c r="Q127" s="3330"/>
      <c r="R127" s="3332"/>
      <c r="S127" s="3320"/>
      <c r="T127" s="3247" t="s">
        <v>1496</v>
      </c>
      <c r="U127" s="1288" t="s">
        <v>1497</v>
      </c>
      <c r="V127" s="1194">
        <v>7000000</v>
      </c>
      <c r="W127" s="1337">
        <v>113</v>
      </c>
      <c r="X127" s="1336" t="s">
        <v>1498</v>
      </c>
      <c r="Y127" s="3334"/>
      <c r="Z127" s="3334"/>
      <c r="AA127" s="3254"/>
      <c r="AB127" s="3254"/>
      <c r="AC127" s="3254"/>
      <c r="AD127" s="3254"/>
      <c r="AE127" s="3254"/>
      <c r="AF127" s="3254"/>
      <c r="AG127" s="3254"/>
      <c r="AH127" s="3254"/>
      <c r="AI127" s="3254"/>
      <c r="AJ127" s="3254"/>
      <c r="AK127" s="3254"/>
      <c r="AL127" s="3254"/>
      <c r="AM127" s="3336"/>
      <c r="AN127" s="3254"/>
      <c r="AO127" s="3338"/>
      <c r="AP127" s="3338"/>
      <c r="AQ127" s="3328"/>
    </row>
    <row r="128" spans="1:43" s="1242" customFormat="1" ht="45" x14ac:dyDescent="0.2">
      <c r="A128" s="1330"/>
      <c r="B128" s="1331"/>
      <c r="C128" s="1332"/>
      <c r="D128" s="1331"/>
      <c r="E128" s="1331"/>
      <c r="F128" s="1332"/>
      <c r="G128" s="1333"/>
      <c r="H128" s="1331"/>
      <c r="I128" s="1332"/>
      <c r="J128" s="3317"/>
      <c r="K128" s="3320"/>
      <c r="L128" s="3317"/>
      <c r="M128" s="3317"/>
      <c r="N128" s="1336" t="s">
        <v>1499</v>
      </c>
      <c r="O128" s="3317"/>
      <c r="P128" s="3248"/>
      <c r="Q128" s="3330"/>
      <c r="R128" s="3332"/>
      <c r="S128" s="3320"/>
      <c r="T128" s="3248"/>
      <c r="U128" s="1288" t="s">
        <v>1500</v>
      </c>
      <c r="V128" s="1194">
        <v>48000000</v>
      </c>
      <c r="W128" s="1337">
        <v>114</v>
      </c>
      <c r="X128" s="1340" t="s">
        <v>1501</v>
      </c>
      <c r="Y128" s="3334"/>
      <c r="Z128" s="3334"/>
      <c r="AA128" s="3254"/>
      <c r="AB128" s="3254"/>
      <c r="AC128" s="3254"/>
      <c r="AD128" s="3254"/>
      <c r="AE128" s="3254"/>
      <c r="AF128" s="3254"/>
      <c r="AG128" s="3254"/>
      <c r="AH128" s="3254"/>
      <c r="AI128" s="3254"/>
      <c r="AJ128" s="3254"/>
      <c r="AK128" s="3254"/>
      <c r="AL128" s="3254"/>
      <c r="AM128" s="3336"/>
      <c r="AN128" s="3254"/>
      <c r="AO128" s="3338"/>
      <c r="AP128" s="3338"/>
      <c r="AQ128" s="3328"/>
    </row>
    <row r="129" spans="1:43" s="1242" customFormat="1" ht="81.75" customHeight="1" x14ac:dyDescent="0.2">
      <c r="A129" s="1330"/>
      <c r="B129" s="1331"/>
      <c r="C129" s="1332"/>
      <c r="D129" s="1331"/>
      <c r="E129" s="1331"/>
      <c r="F129" s="1332"/>
      <c r="G129" s="1333"/>
      <c r="H129" s="1331"/>
      <c r="I129" s="1332"/>
      <c r="J129" s="3317"/>
      <c r="K129" s="3320"/>
      <c r="L129" s="3317"/>
      <c r="M129" s="3317"/>
      <c r="N129" s="1336"/>
      <c r="O129" s="3317"/>
      <c r="P129" s="3248"/>
      <c r="Q129" s="3330"/>
      <c r="R129" s="3332"/>
      <c r="S129" s="3320"/>
      <c r="T129" s="3249"/>
      <c r="U129" s="1288" t="s">
        <v>1502</v>
      </c>
      <c r="V129" s="1194">
        <v>20000000</v>
      </c>
      <c r="W129" s="1337">
        <v>61</v>
      </c>
      <c r="X129" s="1336" t="s">
        <v>1324</v>
      </c>
      <c r="Y129" s="3334"/>
      <c r="Z129" s="3334"/>
      <c r="AA129" s="3254"/>
      <c r="AB129" s="3254"/>
      <c r="AC129" s="3254"/>
      <c r="AD129" s="3254"/>
      <c r="AE129" s="3254"/>
      <c r="AF129" s="3254"/>
      <c r="AG129" s="3254"/>
      <c r="AH129" s="3254"/>
      <c r="AI129" s="3254"/>
      <c r="AJ129" s="3254"/>
      <c r="AK129" s="3254"/>
      <c r="AL129" s="3254"/>
      <c r="AM129" s="3336"/>
      <c r="AN129" s="3254"/>
      <c r="AO129" s="3338"/>
      <c r="AP129" s="3338"/>
      <c r="AQ129" s="3328"/>
    </row>
    <row r="130" spans="1:43" s="1242" customFormat="1" ht="67.5" customHeight="1" x14ac:dyDescent="0.2">
      <c r="A130" s="1330"/>
      <c r="B130" s="1331"/>
      <c r="C130" s="1332"/>
      <c r="D130" s="1331"/>
      <c r="E130" s="1331"/>
      <c r="F130" s="1332"/>
      <c r="G130" s="1333"/>
      <c r="H130" s="1331"/>
      <c r="I130" s="1332"/>
      <c r="J130" s="3317"/>
      <c r="K130" s="3320"/>
      <c r="L130" s="3317"/>
      <c r="M130" s="3317"/>
      <c r="N130" s="1336"/>
      <c r="O130" s="3317"/>
      <c r="P130" s="3248"/>
      <c r="Q130" s="3330"/>
      <c r="R130" s="3332"/>
      <c r="S130" s="3320"/>
      <c r="T130" s="3247" t="s">
        <v>1503</v>
      </c>
      <c r="U130" s="1288" t="s">
        <v>1504</v>
      </c>
      <c r="V130" s="1194">
        <v>22000000</v>
      </c>
      <c r="W130" s="1337"/>
      <c r="X130" s="1336"/>
      <c r="Y130" s="3334"/>
      <c r="Z130" s="3334"/>
      <c r="AA130" s="3254"/>
      <c r="AB130" s="3254"/>
      <c r="AC130" s="3254"/>
      <c r="AD130" s="3254"/>
      <c r="AE130" s="3254"/>
      <c r="AF130" s="3254"/>
      <c r="AG130" s="3254"/>
      <c r="AH130" s="3254"/>
      <c r="AI130" s="3254"/>
      <c r="AJ130" s="3254"/>
      <c r="AK130" s="3254"/>
      <c r="AL130" s="3254"/>
      <c r="AM130" s="3336"/>
      <c r="AN130" s="3254"/>
      <c r="AO130" s="3338"/>
      <c r="AP130" s="3338"/>
      <c r="AQ130" s="3328"/>
    </row>
    <row r="131" spans="1:43" s="1242" customFormat="1" ht="98.25" customHeight="1" x14ac:dyDescent="0.2">
      <c r="A131" s="1330"/>
      <c r="B131" s="1331"/>
      <c r="C131" s="1332"/>
      <c r="D131" s="1331"/>
      <c r="E131" s="1331"/>
      <c r="F131" s="1332"/>
      <c r="G131" s="1341"/>
      <c r="H131" s="1342"/>
      <c r="I131" s="1343"/>
      <c r="J131" s="3318"/>
      <c r="K131" s="3321"/>
      <c r="L131" s="3318"/>
      <c r="M131" s="3318"/>
      <c r="N131" s="1339"/>
      <c r="O131" s="3318"/>
      <c r="P131" s="3249"/>
      <c r="Q131" s="2891"/>
      <c r="R131" s="3333"/>
      <c r="S131" s="3321"/>
      <c r="T131" s="3249"/>
      <c r="U131" s="1288" t="s">
        <v>1505</v>
      </c>
      <c r="V131" s="1194">
        <v>17240483</v>
      </c>
      <c r="W131" s="1344"/>
      <c r="X131" s="1339"/>
      <c r="Y131" s="3334"/>
      <c r="Z131" s="3334"/>
      <c r="AA131" s="3255"/>
      <c r="AB131" s="3255"/>
      <c r="AC131" s="3255"/>
      <c r="AD131" s="3255"/>
      <c r="AE131" s="3255"/>
      <c r="AF131" s="3255"/>
      <c r="AG131" s="3255"/>
      <c r="AH131" s="3255"/>
      <c r="AI131" s="3255"/>
      <c r="AJ131" s="3255"/>
      <c r="AK131" s="3255"/>
      <c r="AL131" s="3255"/>
      <c r="AM131" s="3337"/>
      <c r="AN131" s="3255"/>
      <c r="AO131" s="3338"/>
      <c r="AP131" s="3338"/>
      <c r="AQ131" s="3329"/>
    </row>
    <row r="132" spans="1:43" s="1303" customFormat="1" ht="38.25" customHeight="1" x14ac:dyDescent="0.2">
      <c r="A132" s="1265"/>
      <c r="B132" s="1266"/>
      <c r="C132" s="1267"/>
      <c r="D132" s="1266"/>
      <c r="E132" s="1266"/>
      <c r="F132" s="1267"/>
      <c r="G132" s="1299">
        <v>41</v>
      </c>
      <c r="H132" s="1271" t="s">
        <v>1506</v>
      </c>
      <c r="I132" s="1271"/>
      <c r="J132" s="1271"/>
      <c r="K132" s="1272"/>
      <c r="L132" s="1271"/>
      <c r="M132" s="1271"/>
      <c r="N132" s="1273"/>
      <c r="O132" s="1271"/>
      <c r="P132" s="1272"/>
      <c r="Q132" s="1271"/>
      <c r="R132" s="1271"/>
      <c r="S132" s="1271"/>
      <c r="T132" s="1272"/>
      <c r="U132" s="1272"/>
      <c r="V132" s="1300"/>
      <c r="W132" s="1301"/>
      <c r="X132" s="1273"/>
      <c r="Y132" s="1273"/>
      <c r="Z132" s="1273"/>
      <c r="AA132" s="1302"/>
      <c r="AB132" s="1302"/>
      <c r="AC132" s="1273"/>
      <c r="AD132" s="1302"/>
      <c r="AE132" s="1302"/>
      <c r="AF132" s="1302"/>
      <c r="AG132" s="1302"/>
      <c r="AH132" s="1302"/>
      <c r="AI132" s="1302"/>
      <c r="AJ132" s="1273"/>
      <c r="AK132" s="1302"/>
      <c r="AL132" s="1302"/>
      <c r="AM132" s="1273"/>
      <c r="AN132" s="1302"/>
      <c r="AO132" s="1271"/>
      <c r="AP132" s="1271"/>
      <c r="AQ132" s="1278"/>
    </row>
    <row r="133" spans="1:43" ht="68.25" customHeight="1" x14ac:dyDescent="0.2">
      <c r="A133" s="1279"/>
      <c r="B133" s="1280"/>
      <c r="C133" s="1281"/>
      <c r="D133" s="1280"/>
      <c r="E133" s="1280"/>
      <c r="F133" s="1281"/>
      <c r="G133" s="1282"/>
      <c r="H133" s="1283"/>
      <c r="I133" s="1284"/>
      <c r="J133" s="3244">
        <v>147</v>
      </c>
      <c r="K133" s="3247" t="s">
        <v>1507</v>
      </c>
      <c r="L133" s="3244" t="s">
        <v>1318</v>
      </c>
      <c r="M133" s="3244">
        <v>14</v>
      </c>
      <c r="N133" s="3244" t="s">
        <v>1508</v>
      </c>
      <c r="O133" s="3244">
        <v>143</v>
      </c>
      <c r="P133" s="3247" t="s">
        <v>1509</v>
      </c>
      <c r="Q133" s="2622">
        <f>(V133+V134+V135)/R133</f>
        <v>0.5</v>
      </c>
      <c r="R133" s="3276">
        <f>SUM(V133:V139)</f>
        <v>20000000</v>
      </c>
      <c r="S133" s="3247" t="s">
        <v>1510</v>
      </c>
      <c r="T133" s="3247" t="s">
        <v>1511</v>
      </c>
      <c r="U133" s="1288" t="s">
        <v>1512</v>
      </c>
      <c r="V133" s="1194">
        <v>6850000</v>
      </c>
      <c r="W133" s="3272">
        <v>61</v>
      </c>
      <c r="X133" s="3244" t="s">
        <v>1324</v>
      </c>
      <c r="Y133" s="3244">
        <v>292684</v>
      </c>
      <c r="Z133" s="3244">
        <v>282326</v>
      </c>
      <c r="AA133" s="3253">
        <v>135912</v>
      </c>
      <c r="AB133" s="3253">
        <v>45122</v>
      </c>
      <c r="AC133" s="3253">
        <f t="shared" ref="AC133:AD133" si="0">AC123</f>
        <v>307101</v>
      </c>
      <c r="AD133" s="3253">
        <f t="shared" si="0"/>
        <v>86875</v>
      </c>
      <c r="AE133" s="3253">
        <v>2145</v>
      </c>
      <c r="AF133" s="3253">
        <v>12718</v>
      </c>
      <c r="AG133" s="3253">
        <v>26</v>
      </c>
      <c r="AH133" s="3253">
        <v>37</v>
      </c>
      <c r="AI133" s="3253" t="s">
        <v>1325</v>
      </c>
      <c r="AJ133" s="3253" t="s">
        <v>1325</v>
      </c>
      <c r="AK133" s="3253">
        <v>53164</v>
      </c>
      <c r="AL133" s="3253">
        <v>16982</v>
      </c>
      <c r="AM133" s="3253">
        <v>60013</v>
      </c>
      <c r="AN133" s="3253">
        <v>575010</v>
      </c>
      <c r="AO133" s="3262">
        <v>43101</v>
      </c>
      <c r="AP133" s="3262">
        <v>43465</v>
      </c>
      <c r="AQ133" s="3265" t="s">
        <v>1326</v>
      </c>
    </row>
    <row r="134" spans="1:43" ht="93" customHeight="1" x14ac:dyDescent="0.2">
      <c r="A134" s="1279"/>
      <c r="B134" s="1280"/>
      <c r="C134" s="1281"/>
      <c r="D134" s="1280"/>
      <c r="E134" s="1280"/>
      <c r="F134" s="1281"/>
      <c r="G134" s="1287"/>
      <c r="H134" s="1280"/>
      <c r="I134" s="1281"/>
      <c r="J134" s="3245"/>
      <c r="K134" s="3248"/>
      <c r="L134" s="3245"/>
      <c r="M134" s="3245"/>
      <c r="N134" s="3245"/>
      <c r="O134" s="3245"/>
      <c r="P134" s="3248"/>
      <c r="Q134" s="2623"/>
      <c r="R134" s="3277"/>
      <c r="S134" s="3248"/>
      <c r="T134" s="3248"/>
      <c r="U134" s="1288" t="s">
        <v>1513</v>
      </c>
      <c r="V134" s="1194">
        <v>2000000</v>
      </c>
      <c r="W134" s="3273"/>
      <c r="X134" s="3245"/>
      <c r="Y134" s="3245"/>
      <c r="Z134" s="3245"/>
      <c r="AA134" s="3254"/>
      <c r="AB134" s="3254"/>
      <c r="AC134" s="3254"/>
      <c r="AD134" s="3254"/>
      <c r="AE134" s="3254"/>
      <c r="AF134" s="3254"/>
      <c r="AG134" s="3254"/>
      <c r="AH134" s="3254"/>
      <c r="AI134" s="3254"/>
      <c r="AJ134" s="3254"/>
      <c r="AK134" s="3254"/>
      <c r="AL134" s="3254"/>
      <c r="AM134" s="3254"/>
      <c r="AN134" s="3254"/>
      <c r="AO134" s="3263"/>
      <c r="AP134" s="3263"/>
      <c r="AQ134" s="3266"/>
    </row>
    <row r="135" spans="1:43" ht="72" customHeight="1" x14ac:dyDescent="0.2">
      <c r="A135" s="1279"/>
      <c r="B135" s="1280"/>
      <c r="C135" s="1281"/>
      <c r="D135" s="1280"/>
      <c r="E135" s="1280"/>
      <c r="F135" s="1281"/>
      <c r="G135" s="1287"/>
      <c r="H135" s="1280"/>
      <c r="I135" s="1281"/>
      <c r="J135" s="3246"/>
      <c r="K135" s="3249"/>
      <c r="L135" s="3246"/>
      <c r="M135" s="3246"/>
      <c r="N135" s="3245"/>
      <c r="O135" s="3245"/>
      <c r="P135" s="3248"/>
      <c r="Q135" s="2651"/>
      <c r="R135" s="3277"/>
      <c r="S135" s="3248"/>
      <c r="T135" s="3249"/>
      <c r="U135" s="1288" t="s">
        <v>1514</v>
      </c>
      <c r="V135" s="1194">
        <v>1150000</v>
      </c>
      <c r="W135" s="3273"/>
      <c r="X135" s="3245"/>
      <c r="Y135" s="3245"/>
      <c r="Z135" s="3245"/>
      <c r="AA135" s="3254"/>
      <c r="AB135" s="3254"/>
      <c r="AC135" s="3254"/>
      <c r="AD135" s="3254"/>
      <c r="AE135" s="3254"/>
      <c r="AF135" s="3254"/>
      <c r="AG135" s="3254"/>
      <c r="AH135" s="3254"/>
      <c r="AI135" s="3254"/>
      <c r="AJ135" s="3254"/>
      <c r="AK135" s="3254"/>
      <c r="AL135" s="3254"/>
      <c r="AM135" s="3254"/>
      <c r="AN135" s="3254"/>
      <c r="AO135" s="3263"/>
      <c r="AP135" s="3263"/>
      <c r="AQ135" s="3266"/>
    </row>
    <row r="136" spans="1:43" ht="90" customHeight="1" x14ac:dyDescent="0.2">
      <c r="A136" s="1279"/>
      <c r="B136" s="1280"/>
      <c r="C136" s="1281"/>
      <c r="D136" s="1280"/>
      <c r="E136" s="1280"/>
      <c r="F136" s="1281"/>
      <c r="G136" s="1287"/>
      <c r="H136" s="1280"/>
      <c r="I136" s="1281"/>
      <c r="J136" s="3244">
        <v>148</v>
      </c>
      <c r="K136" s="3247" t="s">
        <v>1515</v>
      </c>
      <c r="L136" s="3244" t="s">
        <v>1318</v>
      </c>
      <c r="M136" s="3244">
        <v>11</v>
      </c>
      <c r="N136" s="3245"/>
      <c r="O136" s="3245"/>
      <c r="P136" s="3248"/>
      <c r="Q136" s="2622">
        <f>(V136+V137+V138+V139)/R133</f>
        <v>0.5</v>
      </c>
      <c r="R136" s="3277"/>
      <c r="S136" s="3248"/>
      <c r="T136" s="3247" t="s">
        <v>1516</v>
      </c>
      <c r="U136" s="1288" t="s">
        <v>1517</v>
      </c>
      <c r="V136" s="1194">
        <v>7850000</v>
      </c>
      <c r="W136" s="3273"/>
      <c r="X136" s="3245"/>
      <c r="Y136" s="3245"/>
      <c r="Z136" s="3245"/>
      <c r="AA136" s="3254"/>
      <c r="AB136" s="3254"/>
      <c r="AC136" s="3254"/>
      <c r="AD136" s="3254"/>
      <c r="AE136" s="3254"/>
      <c r="AF136" s="3254"/>
      <c r="AG136" s="3254"/>
      <c r="AH136" s="3254"/>
      <c r="AI136" s="3254"/>
      <c r="AJ136" s="3254"/>
      <c r="AK136" s="3254"/>
      <c r="AL136" s="3254"/>
      <c r="AM136" s="3254"/>
      <c r="AN136" s="3254"/>
      <c r="AO136" s="3263"/>
      <c r="AP136" s="3263"/>
      <c r="AQ136" s="3266"/>
    </row>
    <row r="137" spans="1:43" ht="45" x14ac:dyDescent="0.2">
      <c r="A137" s="1279"/>
      <c r="B137" s="1280"/>
      <c r="C137" s="1281"/>
      <c r="D137" s="1280"/>
      <c r="E137" s="1280"/>
      <c r="F137" s="1281"/>
      <c r="G137" s="1287"/>
      <c r="H137" s="1280"/>
      <c r="I137" s="1281"/>
      <c r="J137" s="3245"/>
      <c r="K137" s="3248"/>
      <c r="L137" s="3245"/>
      <c r="M137" s="3245"/>
      <c r="N137" s="3245"/>
      <c r="O137" s="3245"/>
      <c r="P137" s="3248"/>
      <c r="Q137" s="2623"/>
      <c r="R137" s="3277"/>
      <c r="S137" s="3248"/>
      <c r="T137" s="3248"/>
      <c r="U137" s="1288" t="s">
        <v>1518</v>
      </c>
      <c r="V137" s="1194">
        <v>500000</v>
      </c>
      <c r="W137" s="3273"/>
      <c r="X137" s="3245"/>
      <c r="Y137" s="3245"/>
      <c r="Z137" s="3245"/>
      <c r="AA137" s="3254"/>
      <c r="AB137" s="3254"/>
      <c r="AC137" s="3254"/>
      <c r="AD137" s="3254"/>
      <c r="AE137" s="3254"/>
      <c r="AF137" s="3254"/>
      <c r="AG137" s="3254"/>
      <c r="AH137" s="3254"/>
      <c r="AI137" s="3254"/>
      <c r="AJ137" s="3254"/>
      <c r="AK137" s="3254"/>
      <c r="AL137" s="3254"/>
      <c r="AM137" s="3254"/>
      <c r="AN137" s="3254"/>
      <c r="AO137" s="3263"/>
      <c r="AP137" s="3263"/>
      <c r="AQ137" s="3266"/>
    </row>
    <row r="138" spans="1:43" ht="60" x14ac:dyDescent="0.2">
      <c r="A138" s="1279"/>
      <c r="B138" s="1280"/>
      <c r="C138" s="1281"/>
      <c r="D138" s="1280"/>
      <c r="E138" s="1280"/>
      <c r="F138" s="1281"/>
      <c r="G138" s="1287"/>
      <c r="H138" s="1280"/>
      <c r="I138" s="1281"/>
      <c r="J138" s="3245"/>
      <c r="K138" s="3248"/>
      <c r="L138" s="3245"/>
      <c r="M138" s="3245"/>
      <c r="N138" s="3245"/>
      <c r="O138" s="3245"/>
      <c r="P138" s="3248"/>
      <c r="Q138" s="2623"/>
      <c r="R138" s="3277"/>
      <c r="S138" s="3248"/>
      <c r="T138" s="3248"/>
      <c r="U138" s="1288" t="s">
        <v>1519</v>
      </c>
      <c r="V138" s="1194">
        <v>500000</v>
      </c>
      <c r="W138" s="3273"/>
      <c r="X138" s="3245"/>
      <c r="Y138" s="3245"/>
      <c r="Z138" s="3245"/>
      <c r="AA138" s="3254"/>
      <c r="AB138" s="3254"/>
      <c r="AC138" s="3254"/>
      <c r="AD138" s="3254"/>
      <c r="AE138" s="3254"/>
      <c r="AF138" s="3254"/>
      <c r="AG138" s="3254"/>
      <c r="AH138" s="3254"/>
      <c r="AI138" s="3254"/>
      <c r="AJ138" s="3254"/>
      <c r="AK138" s="3254"/>
      <c r="AL138" s="3254"/>
      <c r="AM138" s="3254"/>
      <c r="AN138" s="3254"/>
      <c r="AO138" s="3263"/>
      <c r="AP138" s="3263"/>
      <c r="AQ138" s="3266"/>
    </row>
    <row r="139" spans="1:43" ht="75" x14ac:dyDescent="0.2">
      <c r="A139" s="1279"/>
      <c r="B139" s="1280"/>
      <c r="C139" s="1281"/>
      <c r="D139" s="1280"/>
      <c r="E139" s="1280"/>
      <c r="F139" s="1281"/>
      <c r="G139" s="1291"/>
      <c r="H139" s="1289"/>
      <c r="I139" s="1290"/>
      <c r="J139" s="3246"/>
      <c r="K139" s="3249"/>
      <c r="L139" s="3246"/>
      <c r="M139" s="3246"/>
      <c r="N139" s="3246"/>
      <c r="O139" s="3246"/>
      <c r="P139" s="3249"/>
      <c r="Q139" s="2651"/>
      <c r="R139" s="3278"/>
      <c r="S139" s="3249"/>
      <c r="T139" s="3249"/>
      <c r="U139" s="1288" t="s">
        <v>1520</v>
      </c>
      <c r="V139" s="1194">
        <v>1150000</v>
      </c>
      <c r="W139" s="3274"/>
      <c r="X139" s="3246"/>
      <c r="Y139" s="3246"/>
      <c r="Z139" s="3246"/>
      <c r="AA139" s="3255"/>
      <c r="AB139" s="3255"/>
      <c r="AC139" s="3255"/>
      <c r="AD139" s="3255"/>
      <c r="AE139" s="3255"/>
      <c r="AF139" s="3255"/>
      <c r="AG139" s="3255"/>
      <c r="AH139" s="3255"/>
      <c r="AI139" s="3255"/>
      <c r="AJ139" s="3255"/>
      <c r="AK139" s="3255"/>
      <c r="AL139" s="3255"/>
      <c r="AM139" s="3255"/>
      <c r="AN139" s="3255"/>
      <c r="AO139" s="3264"/>
      <c r="AP139" s="3264"/>
      <c r="AQ139" s="3267"/>
    </row>
    <row r="140" spans="1:43" s="1303" customFormat="1" ht="36" customHeight="1" x14ac:dyDescent="0.2">
      <c r="A140" s="1265"/>
      <c r="B140" s="1266"/>
      <c r="C140" s="1267"/>
      <c r="D140" s="1266"/>
      <c r="E140" s="1266"/>
      <c r="F140" s="1267"/>
      <c r="G140" s="1299">
        <v>42</v>
      </c>
      <c r="H140" s="1271" t="s">
        <v>1521</v>
      </c>
      <c r="I140" s="1271"/>
      <c r="J140" s="1271"/>
      <c r="K140" s="1272"/>
      <c r="L140" s="1271"/>
      <c r="M140" s="1271"/>
      <c r="N140" s="1273"/>
      <c r="O140" s="1271"/>
      <c r="P140" s="1272"/>
      <c r="Q140" s="1271"/>
      <c r="R140" s="1271"/>
      <c r="S140" s="1271"/>
      <c r="T140" s="1272"/>
      <c r="U140" s="1272"/>
      <c r="V140" s="1300"/>
      <c r="W140" s="1301"/>
      <c r="X140" s="1273"/>
      <c r="Y140" s="1273"/>
      <c r="Z140" s="1273"/>
      <c r="AA140" s="1302"/>
      <c r="AB140" s="1302"/>
      <c r="AC140" s="1273"/>
      <c r="AD140" s="1302"/>
      <c r="AE140" s="1302"/>
      <c r="AF140" s="1302"/>
      <c r="AG140" s="1302"/>
      <c r="AH140" s="1302"/>
      <c r="AI140" s="1302"/>
      <c r="AJ140" s="1273"/>
      <c r="AK140" s="1302"/>
      <c r="AL140" s="1302"/>
      <c r="AM140" s="1273"/>
      <c r="AN140" s="1302"/>
      <c r="AO140" s="1271"/>
      <c r="AP140" s="1271"/>
      <c r="AQ140" s="1278"/>
    </row>
    <row r="141" spans="1:43" ht="79.5" customHeight="1" x14ac:dyDescent="0.2">
      <c r="A141" s="1279"/>
      <c r="B141" s="1280"/>
      <c r="C141" s="1281"/>
      <c r="D141" s="1280"/>
      <c r="E141" s="1280"/>
      <c r="F141" s="1281"/>
      <c r="G141" s="1282"/>
      <c r="H141" s="1283"/>
      <c r="I141" s="1284"/>
      <c r="J141" s="3244">
        <v>149</v>
      </c>
      <c r="K141" s="3247" t="s">
        <v>1522</v>
      </c>
      <c r="L141" s="3244" t="s">
        <v>1318</v>
      </c>
      <c r="M141" s="3244">
        <v>8</v>
      </c>
      <c r="N141" s="3244" t="s">
        <v>1523</v>
      </c>
      <c r="O141" s="3244">
        <v>145</v>
      </c>
      <c r="P141" s="3247" t="s">
        <v>1524</v>
      </c>
      <c r="Q141" s="2622">
        <f>(V141+V145+V146+V142+V143+V144)/R141</f>
        <v>0.52380952380952384</v>
      </c>
      <c r="R141" s="3276">
        <f>SUM(V141:V151)</f>
        <v>63000000</v>
      </c>
      <c r="S141" s="3247" t="s">
        <v>1525</v>
      </c>
      <c r="T141" s="3247" t="s">
        <v>1526</v>
      </c>
      <c r="U141" s="1288" t="s">
        <v>1527</v>
      </c>
      <c r="V141" s="1194">
        <v>8000000</v>
      </c>
      <c r="W141" s="3272">
        <v>61</v>
      </c>
      <c r="X141" s="3244" t="s">
        <v>1324</v>
      </c>
      <c r="Y141" s="3244">
        <v>292684</v>
      </c>
      <c r="Z141" s="3244">
        <v>282326</v>
      </c>
      <c r="AA141" s="3253">
        <v>135912</v>
      </c>
      <c r="AB141" s="3253">
        <v>45122</v>
      </c>
      <c r="AC141" s="3253">
        <f t="shared" ref="AC141:AD141" si="1">AC133</f>
        <v>307101</v>
      </c>
      <c r="AD141" s="3253">
        <f t="shared" si="1"/>
        <v>86875</v>
      </c>
      <c r="AE141" s="3253">
        <v>2145</v>
      </c>
      <c r="AF141" s="3253">
        <v>12718</v>
      </c>
      <c r="AG141" s="3253">
        <v>26</v>
      </c>
      <c r="AH141" s="3253">
        <v>37</v>
      </c>
      <c r="AI141" s="3253" t="s">
        <v>1325</v>
      </c>
      <c r="AJ141" s="3300" t="s">
        <v>1325</v>
      </c>
      <c r="AK141" s="3253">
        <v>53164</v>
      </c>
      <c r="AL141" s="3253">
        <v>16982</v>
      </c>
      <c r="AM141" s="3300">
        <v>60013</v>
      </c>
      <c r="AN141" s="3253">
        <v>575010</v>
      </c>
      <c r="AO141" s="3262">
        <v>43101</v>
      </c>
      <c r="AP141" s="3262">
        <v>43465</v>
      </c>
      <c r="AQ141" s="3265" t="s">
        <v>1326</v>
      </c>
    </row>
    <row r="142" spans="1:43" ht="90" x14ac:dyDescent="0.2">
      <c r="A142" s="1279"/>
      <c r="B142" s="1280"/>
      <c r="C142" s="1281"/>
      <c r="D142" s="1280"/>
      <c r="E142" s="1280"/>
      <c r="F142" s="1281"/>
      <c r="G142" s="1287"/>
      <c r="H142" s="1280"/>
      <c r="I142" s="1281"/>
      <c r="J142" s="3245"/>
      <c r="K142" s="3248"/>
      <c r="L142" s="3245"/>
      <c r="M142" s="3245"/>
      <c r="N142" s="3245"/>
      <c r="O142" s="3245"/>
      <c r="P142" s="3248"/>
      <c r="Q142" s="2623"/>
      <c r="R142" s="3277"/>
      <c r="S142" s="3248"/>
      <c r="T142" s="3248"/>
      <c r="U142" s="1288" t="s">
        <v>1528</v>
      </c>
      <c r="V142" s="1194">
        <v>8000000</v>
      </c>
      <c r="W142" s="3273"/>
      <c r="X142" s="3245"/>
      <c r="Y142" s="3245"/>
      <c r="Z142" s="3245"/>
      <c r="AA142" s="3254"/>
      <c r="AB142" s="3254"/>
      <c r="AC142" s="3254"/>
      <c r="AD142" s="3254"/>
      <c r="AE142" s="3254"/>
      <c r="AF142" s="3254"/>
      <c r="AG142" s="3254"/>
      <c r="AH142" s="3254"/>
      <c r="AI142" s="3254"/>
      <c r="AJ142" s="3301"/>
      <c r="AK142" s="3254"/>
      <c r="AL142" s="3254"/>
      <c r="AM142" s="3301"/>
      <c r="AN142" s="3254"/>
      <c r="AO142" s="3263"/>
      <c r="AP142" s="3263"/>
      <c r="AQ142" s="3266"/>
    </row>
    <row r="143" spans="1:43" ht="90" x14ac:dyDescent="0.2">
      <c r="A143" s="1279"/>
      <c r="B143" s="1280"/>
      <c r="C143" s="1281"/>
      <c r="D143" s="1280"/>
      <c r="E143" s="1280"/>
      <c r="F143" s="1281"/>
      <c r="G143" s="1287"/>
      <c r="H143" s="1280"/>
      <c r="I143" s="1281"/>
      <c r="J143" s="3245"/>
      <c r="K143" s="3248"/>
      <c r="L143" s="3245"/>
      <c r="M143" s="3245"/>
      <c r="N143" s="3245"/>
      <c r="O143" s="3245"/>
      <c r="P143" s="3248"/>
      <c r="Q143" s="2623"/>
      <c r="R143" s="3277"/>
      <c r="S143" s="3248"/>
      <c r="T143" s="3248"/>
      <c r="U143" s="1288" t="s">
        <v>1529</v>
      </c>
      <c r="V143" s="1194">
        <v>8000000</v>
      </c>
      <c r="W143" s="3273"/>
      <c r="X143" s="3245"/>
      <c r="Y143" s="3245"/>
      <c r="Z143" s="3245"/>
      <c r="AA143" s="3254"/>
      <c r="AB143" s="3254"/>
      <c r="AC143" s="3254"/>
      <c r="AD143" s="3254"/>
      <c r="AE143" s="3254"/>
      <c r="AF143" s="3254"/>
      <c r="AG143" s="3254"/>
      <c r="AH143" s="3254"/>
      <c r="AI143" s="3254"/>
      <c r="AJ143" s="3301"/>
      <c r="AK143" s="3254"/>
      <c r="AL143" s="3254"/>
      <c r="AM143" s="3301"/>
      <c r="AN143" s="3254"/>
      <c r="AO143" s="3263"/>
      <c r="AP143" s="3263"/>
      <c r="AQ143" s="3266"/>
    </row>
    <row r="144" spans="1:43" ht="90" x14ac:dyDescent="0.2">
      <c r="A144" s="1279"/>
      <c r="B144" s="1280"/>
      <c r="C144" s="1281"/>
      <c r="D144" s="1280"/>
      <c r="E144" s="1280"/>
      <c r="F144" s="1281"/>
      <c r="G144" s="1287"/>
      <c r="H144" s="1280"/>
      <c r="I144" s="1281"/>
      <c r="J144" s="3245"/>
      <c r="K144" s="3248"/>
      <c r="L144" s="3245"/>
      <c r="M144" s="3245"/>
      <c r="N144" s="3245"/>
      <c r="O144" s="3245"/>
      <c r="P144" s="3248"/>
      <c r="Q144" s="2623"/>
      <c r="R144" s="3277"/>
      <c r="S144" s="3248"/>
      <c r="T144" s="3248"/>
      <c r="U144" s="1288" t="s">
        <v>1530</v>
      </c>
      <c r="V144" s="1194">
        <v>1000000</v>
      </c>
      <c r="W144" s="3273"/>
      <c r="X144" s="3245"/>
      <c r="Y144" s="3245"/>
      <c r="Z144" s="3245"/>
      <c r="AA144" s="3254"/>
      <c r="AB144" s="3254"/>
      <c r="AC144" s="3254"/>
      <c r="AD144" s="3254"/>
      <c r="AE144" s="3254"/>
      <c r="AF144" s="3254"/>
      <c r="AG144" s="3254"/>
      <c r="AH144" s="3254"/>
      <c r="AI144" s="3254"/>
      <c r="AJ144" s="3301"/>
      <c r="AK144" s="3254"/>
      <c r="AL144" s="3254"/>
      <c r="AM144" s="3301"/>
      <c r="AN144" s="3254"/>
      <c r="AO144" s="3263"/>
      <c r="AP144" s="3263"/>
      <c r="AQ144" s="3266"/>
    </row>
    <row r="145" spans="1:43" ht="60" x14ac:dyDescent="0.2">
      <c r="A145" s="1279"/>
      <c r="B145" s="1280"/>
      <c r="C145" s="1281"/>
      <c r="D145" s="1280"/>
      <c r="E145" s="1280"/>
      <c r="F145" s="1281"/>
      <c r="G145" s="1287"/>
      <c r="H145" s="1280"/>
      <c r="I145" s="1281"/>
      <c r="J145" s="3245"/>
      <c r="K145" s="3248"/>
      <c r="L145" s="3245"/>
      <c r="M145" s="3245"/>
      <c r="N145" s="3245"/>
      <c r="O145" s="3245"/>
      <c r="P145" s="3248"/>
      <c r="Q145" s="2623"/>
      <c r="R145" s="3277"/>
      <c r="S145" s="3248"/>
      <c r="T145" s="3248"/>
      <c r="U145" s="1288" t="s">
        <v>1531</v>
      </c>
      <c r="V145" s="1194">
        <v>7000000</v>
      </c>
      <c r="W145" s="3273"/>
      <c r="X145" s="3245"/>
      <c r="Y145" s="3245"/>
      <c r="Z145" s="3245"/>
      <c r="AA145" s="3254"/>
      <c r="AB145" s="3254"/>
      <c r="AC145" s="3254"/>
      <c r="AD145" s="3254"/>
      <c r="AE145" s="3254"/>
      <c r="AF145" s="3254"/>
      <c r="AG145" s="3254"/>
      <c r="AH145" s="3254"/>
      <c r="AI145" s="3254"/>
      <c r="AJ145" s="3301"/>
      <c r="AK145" s="3254"/>
      <c r="AL145" s="3254"/>
      <c r="AM145" s="3301"/>
      <c r="AN145" s="3254"/>
      <c r="AO145" s="3263"/>
      <c r="AP145" s="3263"/>
      <c r="AQ145" s="3266"/>
    </row>
    <row r="146" spans="1:43" ht="67.5" customHeight="1" x14ac:dyDescent="0.2">
      <c r="A146" s="1279"/>
      <c r="B146" s="1280"/>
      <c r="C146" s="1281"/>
      <c r="D146" s="1280"/>
      <c r="E146" s="1280"/>
      <c r="F146" s="1281"/>
      <c r="G146" s="1287"/>
      <c r="H146" s="1280"/>
      <c r="I146" s="1281"/>
      <c r="J146" s="3246"/>
      <c r="K146" s="3249"/>
      <c r="L146" s="3246"/>
      <c r="M146" s="3246"/>
      <c r="N146" s="3245"/>
      <c r="O146" s="3245"/>
      <c r="P146" s="3248"/>
      <c r="Q146" s="2651"/>
      <c r="R146" s="3277"/>
      <c r="S146" s="3248"/>
      <c r="T146" s="3249"/>
      <c r="U146" s="1288" t="s">
        <v>1532</v>
      </c>
      <c r="V146" s="1194">
        <v>1000000</v>
      </c>
      <c r="W146" s="3273"/>
      <c r="X146" s="3245"/>
      <c r="Y146" s="3245"/>
      <c r="Z146" s="3245"/>
      <c r="AA146" s="3254"/>
      <c r="AB146" s="3254"/>
      <c r="AC146" s="3254"/>
      <c r="AD146" s="3254"/>
      <c r="AE146" s="3254"/>
      <c r="AF146" s="3254"/>
      <c r="AG146" s="3254"/>
      <c r="AH146" s="3254"/>
      <c r="AI146" s="3254"/>
      <c r="AJ146" s="3301"/>
      <c r="AK146" s="3254"/>
      <c r="AL146" s="3254"/>
      <c r="AM146" s="3301"/>
      <c r="AN146" s="3254"/>
      <c r="AO146" s="3263"/>
      <c r="AP146" s="3263"/>
      <c r="AQ146" s="3266"/>
    </row>
    <row r="147" spans="1:43" ht="75" x14ac:dyDescent="0.2">
      <c r="A147" s="1279"/>
      <c r="B147" s="1280"/>
      <c r="C147" s="1281"/>
      <c r="D147" s="1280"/>
      <c r="E147" s="1280"/>
      <c r="F147" s="1281"/>
      <c r="G147" s="1287"/>
      <c r="H147" s="1280"/>
      <c r="I147" s="1281"/>
      <c r="J147" s="3244">
        <v>150</v>
      </c>
      <c r="K147" s="3247" t="s">
        <v>1533</v>
      </c>
      <c r="L147" s="3244" t="s">
        <v>1318</v>
      </c>
      <c r="M147" s="3244">
        <v>14</v>
      </c>
      <c r="N147" s="3245"/>
      <c r="O147" s="3245"/>
      <c r="P147" s="3248"/>
      <c r="Q147" s="2622">
        <f>(V147+V150+V151+V148+V149)/R141</f>
        <v>0.47619047619047616</v>
      </c>
      <c r="R147" s="3277"/>
      <c r="S147" s="3248"/>
      <c r="T147" s="3247" t="s">
        <v>1534</v>
      </c>
      <c r="U147" s="1288" t="s">
        <v>1535</v>
      </c>
      <c r="V147" s="1194">
        <v>9000000</v>
      </c>
      <c r="W147" s="3273"/>
      <c r="X147" s="3245"/>
      <c r="Y147" s="3245"/>
      <c r="Z147" s="3245"/>
      <c r="AA147" s="3254"/>
      <c r="AB147" s="3254"/>
      <c r="AC147" s="3254"/>
      <c r="AD147" s="3254"/>
      <c r="AE147" s="3254"/>
      <c r="AF147" s="3254"/>
      <c r="AG147" s="3254"/>
      <c r="AH147" s="3254"/>
      <c r="AI147" s="3254"/>
      <c r="AJ147" s="3301"/>
      <c r="AK147" s="3254"/>
      <c r="AL147" s="3254"/>
      <c r="AM147" s="3301"/>
      <c r="AN147" s="3254"/>
      <c r="AO147" s="3263"/>
      <c r="AP147" s="3263"/>
      <c r="AQ147" s="3266"/>
    </row>
    <row r="148" spans="1:43" ht="60" x14ac:dyDescent="0.2">
      <c r="A148" s="1279"/>
      <c r="B148" s="1280"/>
      <c r="C148" s="1281"/>
      <c r="D148" s="1280"/>
      <c r="E148" s="1280"/>
      <c r="F148" s="1281"/>
      <c r="G148" s="1287"/>
      <c r="H148" s="1280"/>
      <c r="I148" s="1281"/>
      <c r="J148" s="3245"/>
      <c r="K148" s="3248"/>
      <c r="L148" s="3245"/>
      <c r="M148" s="3245"/>
      <c r="N148" s="3245"/>
      <c r="O148" s="3245"/>
      <c r="P148" s="3248"/>
      <c r="Q148" s="2623"/>
      <c r="R148" s="3277"/>
      <c r="S148" s="3248"/>
      <c r="T148" s="3248"/>
      <c r="U148" s="1288" t="s">
        <v>1536</v>
      </c>
      <c r="V148" s="1194">
        <v>6000000</v>
      </c>
      <c r="W148" s="3273"/>
      <c r="X148" s="3245"/>
      <c r="Y148" s="3245"/>
      <c r="Z148" s="3245"/>
      <c r="AA148" s="3254"/>
      <c r="AB148" s="3254"/>
      <c r="AC148" s="3254"/>
      <c r="AD148" s="3254"/>
      <c r="AE148" s="3254"/>
      <c r="AF148" s="3254"/>
      <c r="AG148" s="3254"/>
      <c r="AH148" s="3254"/>
      <c r="AI148" s="3254"/>
      <c r="AJ148" s="3301"/>
      <c r="AK148" s="3254"/>
      <c r="AL148" s="3254"/>
      <c r="AM148" s="3301"/>
      <c r="AN148" s="3254"/>
      <c r="AO148" s="3263"/>
      <c r="AP148" s="3263"/>
      <c r="AQ148" s="3266"/>
    </row>
    <row r="149" spans="1:43" ht="105" x14ac:dyDescent="0.2">
      <c r="A149" s="1279"/>
      <c r="B149" s="1280"/>
      <c r="C149" s="1281"/>
      <c r="D149" s="1280"/>
      <c r="E149" s="1280"/>
      <c r="F149" s="1281"/>
      <c r="G149" s="1287"/>
      <c r="H149" s="1280"/>
      <c r="I149" s="1281"/>
      <c r="J149" s="3245"/>
      <c r="K149" s="3248"/>
      <c r="L149" s="3245"/>
      <c r="M149" s="3245"/>
      <c r="N149" s="3245"/>
      <c r="O149" s="3245"/>
      <c r="P149" s="3248"/>
      <c r="Q149" s="2623"/>
      <c r="R149" s="3277"/>
      <c r="S149" s="3248"/>
      <c r="T149" s="3248"/>
      <c r="U149" s="1288" t="s">
        <v>1537</v>
      </c>
      <c r="V149" s="1194">
        <v>9000000</v>
      </c>
      <c r="W149" s="3273"/>
      <c r="X149" s="3245"/>
      <c r="Y149" s="3245"/>
      <c r="Z149" s="3245"/>
      <c r="AA149" s="3254"/>
      <c r="AB149" s="3254"/>
      <c r="AC149" s="3254"/>
      <c r="AD149" s="3254"/>
      <c r="AE149" s="3254"/>
      <c r="AF149" s="3254"/>
      <c r="AG149" s="3254"/>
      <c r="AH149" s="3254"/>
      <c r="AI149" s="3254"/>
      <c r="AJ149" s="3301"/>
      <c r="AK149" s="3254"/>
      <c r="AL149" s="3254"/>
      <c r="AM149" s="3301"/>
      <c r="AN149" s="3254"/>
      <c r="AO149" s="3263"/>
      <c r="AP149" s="3263"/>
      <c r="AQ149" s="3266"/>
    </row>
    <row r="150" spans="1:43" ht="61.5" customHeight="1" x14ac:dyDescent="0.2">
      <c r="A150" s="1279"/>
      <c r="B150" s="1280"/>
      <c r="C150" s="1281"/>
      <c r="D150" s="1280"/>
      <c r="E150" s="1280"/>
      <c r="F150" s="1281"/>
      <c r="G150" s="1287"/>
      <c r="H150" s="1280"/>
      <c r="I150" s="1281"/>
      <c r="J150" s="3245"/>
      <c r="K150" s="3248"/>
      <c r="L150" s="3245"/>
      <c r="M150" s="3245"/>
      <c r="N150" s="3245"/>
      <c r="O150" s="3245"/>
      <c r="P150" s="3248"/>
      <c r="Q150" s="2623"/>
      <c r="R150" s="3277"/>
      <c r="S150" s="3248"/>
      <c r="T150" s="3248"/>
      <c r="U150" s="1288" t="s">
        <v>1538</v>
      </c>
      <c r="V150" s="1194">
        <v>1000000</v>
      </c>
      <c r="W150" s="3273"/>
      <c r="X150" s="3245"/>
      <c r="Y150" s="3245"/>
      <c r="Z150" s="3245"/>
      <c r="AA150" s="3254"/>
      <c r="AB150" s="3254"/>
      <c r="AC150" s="3254"/>
      <c r="AD150" s="3254"/>
      <c r="AE150" s="3254"/>
      <c r="AF150" s="3254"/>
      <c r="AG150" s="3254"/>
      <c r="AH150" s="3254"/>
      <c r="AI150" s="3254"/>
      <c r="AJ150" s="3301"/>
      <c r="AK150" s="3254"/>
      <c r="AL150" s="3254"/>
      <c r="AM150" s="3301"/>
      <c r="AN150" s="3254"/>
      <c r="AO150" s="3263"/>
      <c r="AP150" s="3263"/>
      <c r="AQ150" s="3266"/>
    </row>
    <row r="151" spans="1:43" ht="60" x14ac:dyDescent="0.2">
      <c r="A151" s="1279"/>
      <c r="B151" s="1280"/>
      <c r="C151" s="1281"/>
      <c r="D151" s="1280"/>
      <c r="E151" s="1280"/>
      <c r="F151" s="1281"/>
      <c r="G151" s="1291"/>
      <c r="H151" s="1289"/>
      <c r="I151" s="1290"/>
      <c r="J151" s="3246"/>
      <c r="K151" s="3249"/>
      <c r="L151" s="3246"/>
      <c r="M151" s="3246"/>
      <c r="N151" s="3246"/>
      <c r="O151" s="3246"/>
      <c r="P151" s="3249"/>
      <c r="Q151" s="2651"/>
      <c r="R151" s="3278"/>
      <c r="S151" s="3249"/>
      <c r="T151" s="3249"/>
      <c r="U151" s="1288" t="s">
        <v>1539</v>
      </c>
      <c r="V151" s="1194">
        <v>5000000</v>
      </c>
      <c r="W151" s="3274"/>
      <c r="X151" s="3246"/>
      <c r="Y151" s="3246"/>
      <c r="Z151" s="3246"/>
      <c r="AA151" s="3255"/>
      <c r="AB151" s="3255"/>
      <c r="AC151" s="3255"/>
      <c r="AD151" s="3255"/>
      <c r="AE151" s="3255"/>
      <c r="AF151" s="3255"/>
      <c r="AG151" s="3255"/>
      <c r="AH151" s="3255"/>
      <c r="AI151" s="3255"/>
      <c r="AJ151" s="3302"/>
      <c r="AK151" s="3255"/>
      <c r="AL151" s="3255"/>
      <c r="AM151" s="3302"/>
      <c r="AN151" s="3255"/>
      <c r="AO151" s="3264"/>
      <c r="AP151" s="3264"/>
      <c r="AQ151" s="3267"/>
    </row>
    <row r="152" spans="1:43" s="1303" customFormat="1" ht="36" customHeight="1" x14ac:dyDescent="0.2">
      <c r="A152" s="1265"/>
      <c r="B152" s="1266"/>
      <c r="C152" s="1267"/>
      <c r="D152" s="1266"/>
      <c r="E152" s="1266"/>
      <c r="F152" s="1267"/>
      <c r="G152" s="1299">
        <v>43</v>
      </c>
      <c r="H152" s="1271" t="s">
        <v>1540</v>
      </c>
      <c r="I152" s="1271"/>
      <c r="J152" s="1271"/>
      <c r="K152" s="1272"/>
      <c r="L152" s="1271"/>
      <c r="M152" s="1271"/>
      <c r="N152" s="1273"/>
      <c r="O152" s="1271"/>
      <c r="P152" s="1272"/>
      <c r="Q152" s="1271"/>
      <c r="R152" s="1271"/>
      <c r="S152" s="1271"/>
      <c r="T152" s="1272"/>
      <c r="U152" s="1272"/>
      <c r="V152" s="1300"/>
      <c r="W152" s="1301"/>
      <c r="X152" s="1273"/>
      <c r="Y152" s="1273"/>
      <c r="Z152" s="1273"/>
      <c r="AA152" s="1302"/>
      <c r="AB152" s="1302"/>
      <c r="AC152" s="1273"/>
      <c r="AD152" s="1302"/>
      <c r="AE152" s="1302"/>
      <c r="AF152" s="1302"/>
      <c r="AG152" s="1302"/>
      <c r="AH152" s="1302"/>
      <c r="AI152" s="1302"/>
      <c r="AJ152" s="1273"/>
      <c r="AK152" s="1302"/>
      <c r="AL152" s="1302"/>
      <c r="AM152" s="1273"/>
      <c r="AN152" s="1302"/>
      <c r="AO152" s="1271"/>
      <c r="AP152" s="1271"/>
      <c r="AQ152" s="1278"/>
    </row>
    <row r="153" spans="1:43" ht="180" customHeight="1" x14ac:dyDescent="0.2">
      <c r="A153" s="1304"/>
      <c r="B153" s="1305"/>
      <c r="C153" s="1306"/>
      <c r="D153" s="1305"/>
      <c r="E153" s="1305"/>
      <c r="F153" s="1306"/>
      <c r="G153" s="1307"/>
      <c r="H153" s="1308"/>
      <c r="I153" s="1309"/>
      <c r="J153" s="3244">
        <v>151</v>
      </c>
      <c r="K153" s="3247" t="s">
        <v>1541</v>
      </c>
      <c r="L153" s="3268" t="s">
        <v>1318</v>
      </c>
      <c r="M153" s="3268">
        <v>12</v>
      </c>
      <c r="N153" s="1345"/>
      <c r="O153" s="3244">
        <v>146</v>
      </c>
      <c r="P153" s="3247" t="s">
        <v>1542</v>
      </c>
      <c r="Q153" s="2622">
        <f>+(V153+V155+V154)/R153</f>
        <v>8.6395730253103292E-2</v>
      </c>
      <c r="R153" s="3276">
        <f>SUM(V153:V165)</f>
        <v>1518324003</v>
      </c>
      <c r="S153" s="3247" t="s">
        <v>1543</v>
      </c>
      <c r="T153" s="3247" t="s">
        <v>1544</v>
      </c>
      <c r="U153" s="1288" t="s">
        <v>1545</v>
      </c>
      <c r="V153" s="1194">
        <v>44000000</v>
      </c>
      <c r="W153" s="1346"/>
      <c r="X153" s="1345"/>
      <c r="Y153" s="3294">
        <v>292684</v>
      </c>
      <c r="Z153" s="3244">
        <v>282326</v>
      </c>
      <c r="AA153" s="3253">
        <v>135912</v>
      </c>
      <c r="AB153" s="3253">
        <v>45122</v>
      </c>
      <c r="AC153" s="3253">
        <f t="shared" ref="AC153:AD153" si="2">AC141</f>
        <v>307101</v>
      </c>
      <c r="AD153" s="3253">
        <f t="shared" si="2"/>
        <v>86875</v>
      </c>
      <c r="AE153" s="3253">
        <v>2145</v>
      </c>
      <c r="AF153" s="3253">
        <v>12718</v>
      </c>
      <c r="AG153" s="3253">
        <v>26</v>
      </c>
      <c r="AH153" s="3253">
        <v>37</v>
      </c>
      <c r="AI153" s="3253" t="s">
        <v>1325</v>
      </c>
      <c r="AJ153" s="3253" t="s">
        <v>1325</v>
      </c>
      <c r="AK153" s="3253">
        <v>53164</v>
      </c>
      <c r="AL153" s="3253">
        <v>16982</v>
      </c>
      <c r="AM153" s="3253">
        <v>60013</v>
      </c>
      <c r="AN153" s="3253">
        <v>575010</v>
      </c>
      <c r="AO153" s="3339">
        <v>43101</v>
      </c>
      <c r="AP153" s="3339">
        <v>43465</v>
      </c>
      <c r="AQ153" s="3265" t="s">
        <v>1326</v>
      </c>
    </row>
    <row r="154" spans="1:43" ht="90" x14ac:dyDescent="0.2">
      <c r="A154" s="1304"/>
      <c r="B154" s="1305"/>
      <c r="C154" s="1306"/>
      <c r="D154" s="1305"/>
      <c r="E154" s="1305"/>
      <c r="F154" s="1306"/>
      <c r="G154" s="1310"/>
      <c r="H154" s="1305"/>
      <c r="I154" s="1306"/>
      <c r="J154" s="3245"/>
      <c r="K154" s="3248"/>
      <c r="L154" s="3268"/>
      <c r="M154" s="3268"/>
      <c r="N154" s="1347"/>
      <c r="O154" s="3245"/>
      <c r="P154" s="3248"/>
      <c r="Q154" s="2623"/>
      <c r="R154" s="3277"/>
      <c r="S154" s="3248"/>
      <c r="T154" s="3248"/>
      <c r="U154" s="1288" t="s">
        <v>1546</v>
      </c>
      <c r="V154" s="1194">
        <v>44000000</v>
      </c>
      <c r="W154" s="1348"/>
      <c r="X154" s="1347"/>
      <c r="Y154" s="3295"/>
      <c r="Z154" s="3245"/>
      <c r="AA154" s="3254"/>
      <c r="AB154" s="3254"/>
      <c r="AC154" s="3254"/>
      <c r="AD154" s="3254"/>
      <c r="AE154" s="3254"/>
      <c r="AF154" s="3254"/>
      <c r="AG154" s="3254"/>
      <c r="AH154" s="3254"/>
      <c r="AI154" s="3254"/>
      <c r="AJ154" s="3254"/>
      <c r="AK154" s="3254"/>
      <c r="AL154" s="3254"/>
      <c r="AM154" s="3254"/>
      <c r="AN154" s="3254"/>
      <c r="AO154" s="3340"/>
      <c r="AP154" s="3340"/>
      <c r="AQ154" s="3266"/>
    </row>
    <row r="155" spans="1:43" ht="105" x14ac:dyDescent="0.2">
      <c r="A155" s="1304"/>
      <c r="B155" s="1305"/>
      <c r="C155" s="1306"/>
      <c r="D155" s="1305"/>
      <c r="E155" s="1305"/>
      <c r="F155" s="1306"/>
      <c r="G155" s="1310"/>
      <c r="H155" s="1305"/>
      <c r="I155" s="1306"/>
      <c r="J155" s="3246"/>
      <c r="K155" s="3249"/>
      <c r="L155" s="3268"/>
      <c r="M155" s="3268"/>
      <c r="N155" s="1347"/>
      <c r="O155" s="3245"/>
      <c r="P155" s="3248"/>
      <c r="Q155" s="2651"/>
      <c r="R155" s="3277"/>
      <c r="S155" s="3248"/>
      <c r="T155" s="3249"/>
      <c r="U155" s="1288" t="s">
        <v>1547</v>
      </c>
      <c r="V155" s="1194">
        <v>43176711</v>
      </c>
      <c r="W155" s="1348"/>
      <c r="X155" s="1347"/>
      <c r="Y155" s="3295"/>
      <c r="Z155" s="3245"/>
      <c r="AA155" s="3254"/>
      <c r="AB155" s="3254"/>
      <c r="AC155" s="3254"/>
      <c r="AD155" s="3254"/>
      <c r="AE155" s="3254"/>
      <c r="AF155" s="3254"/>
      <c r="AG155" s="3254"/>
      <c r="AH155" s="3254"/>
      <c r="AI155" s="3254"/>
      <c r="AJ155" s="3254"/>
      <c r="AK155" s="3254"/>
      <c r="AL155" s="3254"/>
      <c r="AM155" s="3254"/>
      <c r="AN155" s="3254"/>
      <c r="AO155" s="3340"/>
      <c r="AP155" s="3340"/>
      <c r="AQ155" s="3266"/>
    </row>
    <row r="156" spans="1:43" ht="90" x14ac:dyDescent="0.2">
      <c r="A156" s="1304"/>
      <c r="B156" s="1305"/>
      <c r="C156" s="1306"/>
      <c r="D156" s="1305"/>
      <c r="E156" s="1305"/>
      <c r="F156" s="1306"/>
      <c r="G156" s="1310"/>
      <c r="H156" s="1305"/>
      <c r="I156" s="1306"/>
      <c r="J156" s="3244">
        <v>152</v>
      </c>
      <c r="K156" s="3247" t="s">
        <v>1548</v>
      </c>
      <c r="L156" s="3268" t="s">
        <v>1318</v>
      </c>
      <c r="M156" s="3268">
        <v>1</v>
      </c>
      <c r="N156" s="1347" t="s">
        <v>1549</v>
      </c>
      <c r="O156" s="3245"/>
      <c r="P156" s="3248"/>
      <c r="Q156" s="2622">
        <f>+(V156+V158+V157)/R153</f>
        <v>0.10702590466785895</v>
      </c>
      <c r="R156" s="3277"/>
      <c r="S156" s="3248"/>
      <c r="T156" s="3247" t="s">
        <v>1550</v>
      </c>
      <c r="U156" s="1288" t="s">
        <v>1551</v>
      </c>
      <c r="V156" s="1194">
        <v>57000000</v>
      </c>
      <c r="W156" s="1349">
        <v>61</v>
      </c>
      <c r="X156" s="1347" t="s">
        <v>1324</v>
      </c>
      <c r="Y156" s="3295"/>
      <c r="Z156" s="3245"/>
      <c r="AA156" s="3254"/>
      <c r="AB156" s="3254"/>
      <c r="AC156" s="3254"/>
      <c r="AD156" s="3254"/>
      <c r="AE156" s="3254"/>
      <c r="AF156" s="3254"/>
      <c r="AG156" s="3254"/>
      <c r="AH156" s="3254"/>
      <c r="AI156" s="3254"/>
      <c r="AJ156" s="3254"/>
      <c r="AK156" s="3254"/>
      <c r="AL156" s="3254"/>
      <c r="AM156" s="3254"/>
      <c r="AN156" s="3254"/>
      <c r="AO156" s="3340"/>
      <c r="AP156" s="3340"/>
      <c r="AQ156" s="3266"/>
    </row>
    <row r="157" spans="1:43" ht="75" x14ac:dyDescent="0.2">
      <c r="A157" s="1304"/>
      <c r="B157" s="1305"/>
      <c r="C157" s="1306"/>
      <c r="D157" s="1305"/>
      <c r="E157" s="1305"/>
      <c r="F157" s="1306"/>
      <c r="G157" s="1310"/>
      <c r="H157" s="1305"/>
      <c r="I157" s="1306"/>
      <c r="J157" s="3245"/>
      <c r="K157" s="3248"/>
      <c r="L157" s="3268"/>
      <c r="M157" s="3268"/>
      <c r="N157" s="1347" t="s">
        <v>1552</v>
      </c>
      <c r="O157" s="3245"/>
      <c r="P157" s="3248"/>
      <c r="Q157" s="2623"/>
      <c r="R157" s="3277"/>
      <c r="S157" s="3248"/>
      <c r="T157" s="3248"/>
      <c r="U157" s="1288" t="s">
        <v>1553</v>
      </c>
      <c r="V157" s="1194">
        <v>48500000</v>
      </c>
      <c r="W157" s="1349"/>
      <c r="X157" s="1347"/>
      <c r="Y157" s="3295"/>
      <c r="Z157" s="3245"/>
      <c r="AA157" s="3254"/>
      <c r="AB157" s="3254"/>
      <c r="AC157" s="3254"/>
      <c r="AD157" s="3254"/>
      <c r="AE157" s="3254"/>
      <c r="AF157" s="3254"/>
      <c r="AG157" s="3254"/>
      <c r="AH157" s="3254"/>
      <c r="AI157" s="3254"/>
      <c r="AJ157" s="3254"/>
      <c r="AK157" s="3254"/>
      <c r="AL157" s="3254"/>
      <c r="AM157" s="3254"/>
      <c r="AN157" s="3254"/>
      <c r="AO157" s="3340"/>
      <c r="AP157" s="3340"/>
      <c r="AQ157" s="3266"/>
    </row>
    <row r="158" spans="1:43" ht="90" x14ac:dyDescent="0.2">
      <c r="A158" s="1304"/>
      <c r="B158" s="1305"/>
      <c r="C158" s="1306"/>
      <c r="D158" s="1305"/>
      <c r="E158" s="1305"/>
      <c r="F158" s="1306"/>
      <c r="G158" s="1310"/>
      <c r="H158" s="1305"/>
      <c r="I158" s="1306"/>
      <c r="J158" s="3246"/>
      <c r="K158" s="3249"/>
      <c r="L158" s="3268"/>
      <c r="M158" s="3268"/>
      <c r="N158" s="1347" t="s">
        <v>1554</v>
      </c>
      <c r="O158" s="3245"/>
      <c r="P158" s="3248"/>
      <c r="Q158" s="2651"/>
      <c r="R158" s="3277"/>
      <c r="S158" s="3248"/>
      <c r="T158" s="3248"/>
      <c r="U158" s="1288" t="s">
        <v>1555</v>
      </c>
      <c r="V158" s="1194">
        <v>57000000</v>
      </c>
      <c r="W158" s="1349">
        <v>63</v>
      </c>
      <c r="X158" s="1347" t="s">
        <v>1556</v>
      </c>
      <c r="Y158" s="3295"/>
      <c r="Z158" s="3245"/>
      <c r="AA158" s="3254"/>
      <c r="AB158" s="3254"/>
      <c r="AC158" s="3254"/>
      <c r="AD158" s="3254"/>
      <c r="AE158" s="3254"/>
      <c r="AF158" s="3254"/>
      <c r="AG158" s="3254"/>
      <c r="AH158" s="3254"/>
      <c r="AI158" s="3254"/>
      <c r="AJ158" s="3254"/>
      <c r="AK158" s="3254"/>
      <c r="AL158" s="3254"/>
      <c r="AM158" s="3254"/>
      <c r="AN158" s="3254"/>
      <c r="AO158" s="3340"/>
      <c r="AP158" s="3340"/>
      <c r="AQ158" s="3266"/>
    </row>
    <row r="159" spans="1:43" ht="90" x14ac:dyDescent="0.2">
      <c r="A159" s="1304"/>
      <c r="B159" s="1305"/>
      <c r="C159" s="1306"/>
      <c r="D159" s="1305"/>
      <c r="E159" s="1305"/>
      <c r="F159" s="1306"/>
      <c r="G159" s="1310"/>
      <c r="H159" s="1305"/>
      <c r="I159" s="1306"/>
      <c r="J159" s="3268">
        <v>153</v>
      </c>
      <c r="K159" s="3247" t="s">
        <v>1557</v>
      </c>
      <c r="L159" s="3245" t="s">
        <v>1318</v>
      </c>
      <c r="M159" s="3245">
        <v>150</v>
      </c>
      <c r="N159" s="1347" t="s">
        <v>1558</v>
      </c>
      <c r="O159" s="3245"/>
      <c r="P159" s="3248"/>
      <c r="Q159" s="2622">
        <f>SUM(V159:V165)/R153</f>
        <v>0.8065783650790378</v>
      </c>
      <c r="R159" s="3277"/>
      <c r="S159" s="3248"/>
      <c r="T159" s="3248"/>
      <c r="U159" s="1288" t="s">
        <v>1559</v>
      </c>
      <c r="V159" s="1194">
        <v>23669712</v>
      </c>
      <c r="W159" s="1349">
        <v>20</v>
      </c>
      <c r="X159" s="1347" t="s">
        <v>61</v>
      </c>
      <c r="Y159" s="3295"/>
      <c r="Z159" s="3245"/>
      <c r="AA159" s="3254"/>
      <c r="AB159" s="3254"/>
      <c r="AC159" s="3254"/>
      <c r="AD159" s="3254"/>
      <c r="AE159" s="3254"/>
      <c r="AF159" s="3254"/>
      <c r="AG159" s="3254"/>
      <c r="AH159" s="3254"/>
      <c r="AI159" s="3254"/>
      <c r="AJ159" s="3254"/>
      <c r="AK159" s="3254"/>
      <c r="AL159" s="3254"/>
      <c r="AM159" s="3254"/>
      <c r="AN159" s="3254"/>
      <c r="AO159" s="3340"/>
      <c r="AP159" s="3340"/>
      <c r="AQ159" s="3266"/>
    </row>
    <row r="160" spans="1:43" ht="60" x14ac:dyDescent="0.2">
      <c r="A160" s="1304"/>
      <c r="B160" s="1305"/>
      <c r="C160" s="1306"/>
      <c r="D160" s="1305"/>
      <c r="E160" s="1305"/>
      <c r="F160" s="1306"/>
      <c r="G160" s="1310"/>
      <c r="H160" s="1305"/>
      <c r="I160" s="1306"/>
      <c r="J160" s="3268"/>
      <c r="K160" s="3248"/>
      <c r="L160" s="3245"/>
      <c r="M160" s="3245"/>
      <c r="N160" s="1350" t="s">
        <v>1560</v>
      </c>
      <c r="O160" s="3245"/>
      <c r="P160" s="3248"/>
      <c r="Q160" s="2623"/>
      <c r="R160" s="3277"/>
      <c r="S160" s="3248"/>
      <c r="T160" s="3248"/>
      <c r="U160" s="1288" t="s">
        <v>1561</v>
      </c>
      <c r="V160" s="1194">
        <v>1100977580</v>
      </c>
      <c r="W160" s="1349"/>
      <c r="X160" s="1347"/>
      <c r="Y160" s="3295"/>
      <c r="Z160" s="3245"/>
      <c r="AA160" s="3254"/>
      <c r="AB160" s="3254"/>
      <c r="AC160" s="3254"/>
      <c r="AD160" s="3254"/>
      <c r="AE160" s="3254"/>
      <c r="AF160" s="3254"/>
      <c r="AG160" s="3254"/>
      <c r="AH160" s="3254"/>
      <c r="AI160" s="3254"/>
      <c r="AJ160" s="3254"/>
      <c r="AK160" s="3254"/>
      <c r="AL160" s="3254"/>
      <c r="AM160" s="3254"/>
      <c r="AN160" s="3254"/>
      <c r="AO160" s="3340"/>
      <c r="AP160" s="3340"/>
      <c r="AQ160" s="3266"/>
    </row>
    <row r="161" spans="1:43" ht="45" x14ac:dyDescent="0.2">
      <c r="A161" s="1304"/>
      <c r="B161" s="1305"/>
      <c r="C161" s="1306"/>
      <c r="D161" s="1305"/>
      <c r="E161" s="1305"/>
      <c r="F161" s="1306"/>
      <c r="G161" s="1310"/>
      <c r="H161" s="1305"/>
      <c r="I161" s="1306"/>
      <c r="J161" s="3268"/>
      <c r="K161" s="3248"/>
      <c r="L161" s="3245"/>
      <c r="M161" s="3245"/>
      <c r="N161" s="1351"/>
      <c r="O161" s="3245"/>
      <c r="P161" s="3248"/>
      <c r="Q161" s="2623"/>
      <c r="R161" s="3277"/>
      <c r="S161" s="3248"/>
      <c r="T161" s="3248"/>
      <c r="U161" s="1288" t="s">
        <v>1562</v>
      </c>
      <c r="V161" s="1194">
        <v>20000000</v>
      </c>
      <c r="W161" s="1349"/>
      <c r="X161" s="1347"/>
      <c r="Y161" s="3295"/>
      <c r="Z161" s="3245"/>
      <c r="AA161" s="3254"/>
      <c r="AB161" s="3254"/>
      <c r="AC161" s="3254"/>
      <c r="AD161" s="3254"/>
      <c r="AE161" s="3254"/>
      <c r="AF161" s="3254"/>
      <c r="AG161" s="3254"/>
      <c r="AH161" s="3254"/>
      <c r="AI161" s="3254"/>
      <c r="AJ161" s="3254"/>
      <c r="AK161" s="3254"/>
      <c r="AL161" s="3254"/>
      <c r="AM161" s="3254"/>
      <c r="AN161" s="3254"/>
      <c r="AO161" s="3340"/>
      <c r="AP161" s="3340"/>
      <c r="AQ161" s="3266"/>
    </row>
    <row r="162" spans="1:43" ht="75" x14ac:dyDescent="0.2">
      <c r="A162" s="1304"/>
      <c r="B162" s="1305"/>
      <c r="C162" s="1306"/>
      <c r="D162" s="1305"/>
      <c r="E162" s="1305"/>
      <c r="F162" s="1306"/>
      <c r="G162" s="1310"/>
      <c r="H162" s="1305"/>
      <c r="I162" s="1306"/>
      <c r="J162" s="3268"/>
      <c r="K162" s="3248"/>
      <c r="L162" s="3245"/>
      <c r="M162" s="3245"/>
      <c r="N162" s="1352" t="s">
        <v>1563</v>
      </c>
      <c r="O162" s="3245"/>
      <c r="P162" s="3248"/>
      <c r="Q162" s="2623"/>
      <c r="R162" s="3277"/>
      <c r="S162" s="3248"/>
      <c r="T162" s="3248"/>
      <c r="U162" s="1288" t="s">
        <v>1564</v>
      </c>
      <c r="V162" s="1194">
        <v>20000000</v>
      </c>
      <c r="W162" s="1349"/>
      <c r="X162" s="1347"/>
      <c r="Y162" s="3295"/>
      <c r="Z162" s="3245"/>
      <c r="AA162" s="3254"/>
      <c r="AB162" s="3254"/>
      <c r="AC162" s="3254"/>
      <c r="AD162" s="3254"/>
      <c r="AE162" s="3254"/>
      <c r="AF162" s="3254"/>
      <c r="AG162" s="3254"/>
      <c r="AH162" s="3254"/>
      <c r="AI162" s="3254"/>
      <c r="AJ162" s="3254"/>
      <c r="AK162" s="3254"/>
      <c r="AL162" s="3254"/>
      <c r="AM162" s="3254"/>
      <c r="AN162" s="3254"/>
      <c r="AO162" s="3340"/>
      <c r="AP162" s="3340"/>
      <c r="AQ162" s="3266"/>
    </row>
    <row r="163" spans="1:43" ht="90" x14ac:dyDescent="0.2">
      <c r="A163" s="1304"/>
      <c r="B163" s="1305"/>
      <c r="C163" s="1306"/>
      <c r="D163" s="1305"/>
      <c r="E163" s="1305"/>
      <c r="F163" s="1306"/>
      <c r="G163" s="1310"/>
      <c r="H163" s="1305"/>
      <c r="I163" s="1306"/>
      <c r="J163" s="3268"/>
      <c r="K163" s="3248"/>
      <c r="L163" s="3245"/>
      <c r="M163" s="3245"/>
      <c r="N163" s="1347"/>
      <c r="O163" s="3245"/>
      <c r="P163" s="3248"/>
      <c r="Q163" s="2623"/>
      <c r="R163" s="3277"/>
      <c r="S163" s="3248"/>
      <c r="T163" s="3248"/>
      <c r="U163" s="1288" t="s">
        <v>1565</v>
      </c>
      <c r="V163" s="1194">
        <v>20000000</v>
      </c>
      <c r="W163" s="1349"/>
      <c r="X163" s="1347"/>
      <c r="Y163" s="3295"/>
      <c r="Z163" s="3245"/>
      <c r="AA163" s="3254"/>
      <c r="AB163" s="3254"/>
      <c r="AC163" s="3254"/>
      <c r="AD163" s="3254"/>
      <c r="AE163" s="3254"/>
      <c r="AF163" s="3254"/>
      <c r="AG163" s="3254"/>
      <c r="AH163" s="3254"/>
      <c r="AI163" s="3254"/>
      <c r="AJ163" s="3254"/>
      <c r="AK163" s="3254"/>
      <c r="AL163" s="3254"/>
      <c r="AM163" s="3254"/>
      <c r="AN163" s="3254"/>
      <c r="AO163" s="3340"/>
      <c r="AP163" s="3340"/>
      <c r="AQ163" s="3266"/>
    </row>
    <row r="164" spans="1:43" ht="73.5" customHeight="1" x14ac:dyDescent="0.2">
      <c r="A164" s="1279"/>
      <c r="B164" s="1280"/>
      <c r="C164" s="1281"/>
      <c r="D164" s="1305"/>
      <c r="E164" s="1305"/>
      <c r="F164" s="1306"/>
      <c r="G164" s="1310"/>
      <c r="H164" s="1305"/>
      <c r="I164" s="1306"/>
      <c r="J164" s="3268"/>
      <c r="K164" s="3248"/>
      <c r="L164" s="3245"/>
      <c r="M164" s="3245"/>
      <c r="N164" s="1347"/>
      <c r="O164" s="3245"/>
      <c r="P164" s="3248"/>
      <c r="Q164" s="2623"/>
      <c r="R164" s="3277"/>
      <c r="S164" s="3248"/>
      <c r="T164" s="3248"/>
      <c r="U164" s="1288" t="s">
        <v>1566</v>
      </c>
      <c r="V164" s="1194">
        <v>20000000</v>
      </c>
      <c r="W164" s="1348"/>
      <c r="X164" s="1347"/>
      <c r="Y164" s="3295"/>
      <c r="Z164" s="3245"/>
      <c r="AA164" s="3254"/>
      <c r="AB164" s="3254"/>
      <c r="AC164" s="3254"/>
      <c r="AD164" s="3254"/>
      <c r="AE164" s="3254"/>
      <c r="AF164" s="3254"/>
      <c r="AG164" s="3254"/>
      <c r="AH164" s="3254"/>
      <c r="AI164" s="3254"/>
      <c r="AJ164" s="3254"/>
      <c r="AK164" s="3254"/>
      <c r="AL164" s="3254"/>
      <c r="AM164" s="3254"/>
      <c r="AN164" s="3254"/>
      <c r="AO164" s="3340"/>
      <c r="AP164" s="3340"/>
      <c r="AQ164" s="3266"/>
    </row>
    <row r="165" spans="1:43" ht="90" x14ac:dyDescent="0.2">
      <c r="A165" s="1279"/>
      <c r="B165" s="1280"/>
      <c r="C165" s="1281"/>
      <c r="D165" s="1280"/>
      <c r="E165" s="1280"/>
      <c r="F165" s="1281"/>
      <c r="G165" s="1291"/>
      <c r="H165" s="1289"/>
      <c r="I165" s="1290"/>
      <c r="J165" s="3268"/>
      <c r="K165" s="3249"/>
      <c r="L165" s="3246"/>
      <c r="M165" s="3246"/>
      <c r="N165" s="1353"/>
      <c r="O165" s="3246"/>
      <c r="P165" s="3249"/>
      <c r="Q165" s="2651"/>
      <c r="R165" s="3278"/>
      <c r="S165" s="3249"/>
      <c r="T165" s="3249"/>
      <c r="U165" s="1288" t="s">
        <v>1567</v>
      </c>
      <c r="V165" s="1194">
        <v>20000000</v>
      </c>
      <c r="W165" s="1354"/>
      <c r="X165" s="1353"/>
      <c r="Y165" s="3296"/>
      <c r="Z165" s="3246"/>
      <c r="AA165" s="3255"/>
      <c r="AB165" s="3255"/>
      <c r="AC165" s="3255"/>
      <c r="AD165" s="3255"/>
      <c r="AE165" s="3255"/>
      <c r="AF165" s="3255"/>
      <c r="AG165" s="3255"/>
      <c r="AH165" s="3255"/>
      <c r="AI165" s="3255"/>
      <c r="AJ165" s="3255"/>
      <c r="AK165" s="3255"/>
      <c r="AL165" s="3255"/>
      <c r="AM165" s="3255"/>
      <c r="AN165" s="3255"/>
      <c r="AO165" s="3341"/>
      <c r="AP165" s="3341"/>
      <c r="AQ165" s="3267"/>
    </row>
    <row r="166" spans="1:43" s="1303" customFormat="1" ht="36" customHeight="1" x14ac:dyDescent="0.2">
      <c r="A166" s="1265"/>
      <c r="B166" s="1266"/>
      <c r="C166" s="1267"/>
      <c r="D166" s="1266"/>
      <c r="E166" s="1266"/>
      <c r="F166" s="1267"/>
      <c r="G166" s="1299">
        <v>44</v>
      </c>
      <c r="H166" s="1271" t="s">
        <v>1568</v>
      </c>
      <c r="I166" s="1271"/>
      <c r="J166" s="1271"/>
      <c r="K166" s="1272"/>
      <c r="L166" s="1271"/>
      <c r="M166" s="1271"/>
      <c r="N166" s="1273"/>
      <c r="O166" s="1271"/>
      <c r="P166" s="1272"/>
      <c r="Q166" s="1271"/>
      <c r="R166" s="1271"/>
      <c r="S166" s="1271"/>
      <c r="T166" s="1272"/>
      <c r="U166" s="1271"/>
      <c r="V166" s="1355"/>
      <c r="W166" s="1301"/>
      <c r="X166" s="1273"/>
      <c r="Y166" s="1273"/>
      <c r="Z166" s="1273"/>
      <c r="AA166" s="1302"/>
      <c r="AB166" s="1302"/>
      <c r="AC166" s="1273"/>
      <c r="AD166" s="1302"/>
      <c r="AE166" s="1302"/>
      <c r="AF166" s="1302"/>
      <c r="AG166" s="1302"/>
      <c r="AH166" s="1302"/>
      <c r="AI166" s="1302"/>
      <c r="AJ166" s="1273"/>
      <c r="AK166" s="1302"/>
      <c r="AL166" s="1302"/>
      <c r="AM166" s="1273"/>
      <c r="AN166" s="1302"/>
      <c r="AO166" s="1273"/>
      <c r="AP166" s="1271"/>
      <c r="AQ166" s="1278"/>
    </row>
    <row r="167" spans="1:43" ht="180" customHeight="1" x14ac:dyDescent="0.2">
      <c r="A167" s="1279"/>
      <c r="B167" s="1280"/>
      <c r="C167" s="1281"/>
      <c r="D167" s="1280"/>
      <c r="E167" s="1280"/>
      <c r="F167" s="1281"/>
      <c r="G167" s="1282"/>
      <c r="H167" s="1283"/>
      <c r="I167" s="1284"/>
      <c r="J167" s="3244">
        <v>154</v>
      </c>
      <c r="K167" s="3247" t="s">
        <v>1569</v>
      </c>
      <c r="L167" s="3244" t="s">
        <v>1318</v>
      </c>
      <c r="M167" s="3244">
        <v>5</v>
      </c>
      <c r="N167" s="1345"/>
      <c r="O167" s="3244">
        <v>148</v>
      </c>
      <c r="P167" s="3247" t="s">
        <v>1570</v>
      </c>
      <c r="Q167" s="2622">
        <f>(V167+V172+V173+V168+V169+V170+V171)/R167</f>
        <v>0.31535832537088154</v>
      </c>
      <c r="R167" s="3276">
        <f>SUM(V167:V190)</f>
        <v>273927352</v>
      </c>
      <c r="S167" s="3247" t="s">
        <v>1571</v>
      </c>
      <c r="T167" s="3247" t="s">
        <v>1572</v>
      </c>
      <c r="U167" s="1288" t="s">
        <v>1573</v>
      </c>
      <c r="V167" s="1194">
        <v>9885271</v>
      </c>
      <c r="W167" s="1346"/>
      <c r="X167" s="1356"/>
      <c r="Y167" s="3272">
        <v>292684</v>
      </c>
      <c r="Z167" s="3272">
        <v>282326</v>
      </c>
      <c r="AA167" s="3253" t="s">
        <v>1325</v>
      </c>
      <c r="AB167" s="3253" t="s">
        <v>1325</v>
      </c>
      <c r="AC167" s="3269" t="s">
        <v>1325</v>
      </c>
      <c r="AD167" s="3253" t="s">
        <v>1325</v>
      </c>
      <c r="AE167" s="3253">
        <v>2145</v>
      </c>
      <c r="AF167" s="3253">
        <v>12718</v>
      </c>
      <c r="AG167" s="3253">
        <v>26</v>
      </c>
      <c r="AH167" s="3253">
        <v>37</v>
      </c>
      <c r="AI167" s="3253" t="s">
        <v>1325</v>
      </c>
      <c r="AJ167" s="3253" t="s">
        <v>1325</v>
      </c>
      <c r="AK167" s="3253">
        <v>53164</v>
      </c>
      <c r="AL167" s="3253">
        <v>16982</v>
      </c>
      <c r="AM167" s="3253">
        <v>60013</v>
      </c>
      <c r="AN167" s="3253">
        <v>575010</v>
      </c>
      <c r="AO167" s="3339">
        <v>43101</v>
      </c>
      <c r="AP167" s="3339">
        <v>43465</v>
      </c>
      <c r="AQ167" s="3342" t="s">
        <v>1326</v>
      </c>
    </row>
    <row r="168" spans="1:43" ht="60" x14ac:dyDescent="0.2">
      <c r="A168" s="1279"/>
      <c r="B168" s="1280"/>
      <c r="C168" s="1281"/>
      <c r="D168" s="1280"/>
      <c r="E168" s="1280"/>
      <c r="F168" s="1281"/>
      <c r="G168" s="1287"/>
      <c r="H168" s="1280"/>
      <c r="I168" s="1281"/>
      <c r="J168" s="3245"/>
      <c r="K168" s="3248"/>
      <c r="L168" s="3245"/>
      <c r="M168" s="3245"/>
      <c r="N168" s="1347"/>
      <c r="O168" s="3245"/>
      <c r="P168" s="3248"/>
      <c r="Q168" s="2623"/>
      <c r="R168" s="3277"/>
      <c r="S168" s="3248"/>
      <c r="T168" s="3248"/>
      <c r="U168" s="1288" t="s">
        <v>1574</v>
      </c>
      <c r="V168" s="1194">
        <v>500000</v>
      </c>
      <c r="W168" s="1348"/>
      <c r="X168" s="1349"/>
      <c r="Y168" s="3273"/>
      <c r="Z168" s="3273"/>
      <c r="AA168" s="3254"/>
      <c r="AB168" s="3254"/>
      <c r="AC168" s="3270"/>
      <c r="AD168" s="3254"/>
      <c r="AE168" s="3254"/>
      <c r="AF168" s="3254"/>
      <c r="AG168" s="3254"/>
      <c r="AH168" s="3254"/>
      <c r="AI168" s="3254"/>
      <c r="AJ168" s="3254"/>
      <c r="AK168" s="3254"/>
      <c r="AL168" s="3254"/>
      <c r="AM168" s="3254"/>
      <c r="AN168" s="3254"/>
      <c r="AO168" s="3340"/>
      <c r="AP168" s="3340"/>
      <c r="AQ168" s="3343"/>
    </row>
    <row r="169" spans="1:43" ht="120" x14ac:dyDescent="0.2">
      <c r="A169" s="1279"/>
      <c r="B169" s="1280"/>
      <c r="C169" s="1281"/>
      <c r="D169" s="1280"/>
      <c r="E169" s="1280"/>
      <c r="F169" s="1281"/>
      <c r="G169" s="1287"/>
      <c r="H169" s="1280"/>
      <c r="I169" s="1281"/>
      <c r="J169" s="3245"/>
      <c r="K169" s="3248"/>
      <c r="L169" s="3245"/>
      <c r="M169" s="3245"/>
      <c r="N169" s="1347"/>
      <c r="O169" s="3245"/>
      <c r="P169" s="3248"/>
      <c r="Q169" s="2623"/>
      <c r="R169" s="3277"/>
      <c r="S169" s="3248"/>
      <c r="T169" s="3248"/>
      <c r="U169" s="1288" t="s">
        <v>1575</v>
      </c>
      <c r="V169" s="1194">
        <v>14000000</v>
      </c>
      <c r="W169" s="1348"/>
      <c r="X169" s="1349"/>
      <c r="Y169" s="3273"/>
      <c r="Z169" s="3273"/>
      <c r="AA169" s="3254"/>
      <c r="AB169" s="3254"/>
      <c r="AC169" s="3270"/>
      <c r="AD169" s="3254"/>
      <c r="AE169" s="3254"/>
      <c r="AF169" s="3254"/>
      <c r="AG169" s="3254"/>
      <c r="AH169" s="3254"/>
      <c r="AI169" s="3254"/>
      <c r="AJ169" s="3254"/>
      <c r="AK169" s="3254"/>
      <c r="AL169" s="3254"/>
      <c r="AM169" s="3254"/>
      <c r="AN169" s="3254"/>
      <c r="AO169" s="3340"/>
      <c r="AP169" s="3340"/>
      <c r="AQ169" s="3343"/>
    </row>
    <row r="170" spans="1:43" ht="90" x14ac:dyDescent="0.2">
      <c r="A170" s="1279"/>
      <c r="B170" s="1280"/>
      <c r="C170" s="1281"/>
      <c r="D170" s="1280"/>
      <c r="E170" s="1280"/>
      <c r="F170" s="1281"/>
      <c r="G170" s="1287"/>
      <c r="H170" s="1280"/>
      <c r="I170" s="1281"/>
      <c r="J170" s="3245"/>
      <c r="K170" s="3248"/>
      <c r="L170" s="3245"/>
      <c r="M170" s="3245"/>
      <c r="N170" s="1347"/>
      <c r="O170" s="3245"/>
      <c r="P170" s="3248"/>
      <c r="Q170" s="2623"/>
      <c r="R170" s="3277"/>
      <c r="S170" s="3248"/>
      <c r="T170" s="3248"/>
      <c r="U170" s="1288" t="s">
        <v>1576</v>
      </c>
      <c r="V170" s="1194">
        <v>14000000</v>
      </c>
      <c r="W170" s="1348"/>
      <c r="X170" s="1349"/>
      <c r="Y170" s="3273"/>
      <c r="Z170" s="3273"/>
      <c r="AA170" s="3254"/>
      <c r="AB170" s="3254"/>
      <c r="AC170" s="3270"/>
      <c r="AD170" s="3254"/>
      <c r="AE170" s="3254"/>
      <c r="AF170" s="3254"/>
      <c r="AG170" s="3254"/>
      <c r="AH170" s="3254"/>
      <c r="AI170" s="3254"/>
      <c r="AJ170" s="3254"/>
      <c r="AK170" s="3254"/>
      <c r="AL170" s="3254"/>
      <c r="AM170" s="3254"/>
      <c r="AN170" s="3254"/>
      <c r="AO170" s="3340"/>
      <c r="AP170" s="3340"/>
      <c r="AQ170" s="3343"/>
    </row>
    <row r="171" spans="1:43" ht="105" x14ac:dyDescent="0.2">
      <c r="A171" s="1279"/>
      <c r="B171" s="1280"/>
      <c r="C171" s="1281"/>
      <c r="D171" s="1280"/>
      <c r="E171" s="1280"/>
      <c r="F171" s="1281"/>
      <c r="G171" s="1287"/>
      <c r="H171" s="1280"/>
      <c r="I171" s="1281"/>
      <c r="J171" s="3245"/>
      <c r="K171" s="3248"/>
      <c r="L171" s="3245"/>
      <c r="M171" s="3245"/>
      <c r="N171" s="1347"/>
      <c r="O171" s="3245"/>
      <c r="P171" s="3248"/>
      <c r="Q171" s="2623"/>
      <c r="R171" s="3277"/>
      <c r="S171" s="3248"/>
      <c r="T171" s="3248"/>
      <c r="U171" s="1288" t="s">
        <v>1577</v>
      </c>
      <c r="V171" s="1194">
        <v>14000000</v>
      </c>
      <c r="W171" s="1348"/>
      <c r="X171" s="1349"/>
      <c r="Y171" s="3273"/>
      <c r="Z171" s="3273"/>
      <c r="AA171" s="3254"/>
      <c r="AB171" s="3254"/>
      <c r="AC171" s="3270"/>
      <c r="AD171" s="3254"/>
      <c r="AE171" s="3254"/>
      <c r="AF171" s="3254"/>
      <c r="AG171" s="3254"/>
      <c r="AH171" s="3254"/>
      <c r="AI171" s="3254"/>
      <c r="AJ171" s="3254"/>
      <c r="AK171" s="3254"/>
      <c r="AL171" s="3254"/>
      <c r="AM171" s="3254"/>
      <c r="AN171" s="3254"/>
      <c r="AO171" s="3340"/>
      <c r="AP171" s="3340"/>
      <c r="AQ171" s="3343"/>
    </row>
    <row r="172" spans="1:43" ht="90" x14ac:dyDescent="0.2">
      <c r="A172" s="1279"/>
      <c r="B172" s="1280"/>
      <c r="C172" s="1281"/>
      <c r="D172" s="1280"/>
      <c r="E172" s="1280"/>
      <c r="F172" s="1281"/>
      <c r="G172" s="1287"/>
      <c r="H172" s="1280"/>
      <c r="I172" s="1281"/>
      <c r="J172" s="3245"/>
      <c r="K172" s="3248"/>
      <c r="L172" s="3245"/>
      <c r="M172" s="3245"/>
      <c r="N172" s="1347"/>
      <c r="O172" s="3245"/>
      <c r="P172" s="3248"/>
      <c r="Q172" s="2623"/>
      <c r="R172" s="3277"/>
      <c r="S172" s="3248"/>
      <c r="T172" s="3248"/>
      <c r="U172" s="1288" t="s">
        <v>1578</v>
      </c>
      <c r="V172" s="1194">
        <v>25000000</v>
      </c>
      <c r="W172" s="1348"/>
      <c r="X172" s="1349"/>
      <c r="Y172" s="3273"/>
      <c r="Z172" s="3273"/>
      <c r="AA172" s="3254"/>
      <c r="AB172" s="3254"/>
      <c r="AC172" s="3270"/>
      <c r="AD172" s="3254"/>
      <c r="AE172" s="3254"/>
      <c r="AF172" s="3254"/>
      <c r="AG172" s="3254"/>
      <c r="AH172" s="3254"/>
      <c r="AI172" s="3254"/>
      <c r="AJ172" s="3254"/>
      <c r="AK172" s="3254"/>
      <c r="AL172" s="3254"/>
      <c r="AM172" s="3254"/>
      <c r="AN172" s="3254"/>
      <c r="AO172" s="3340"/>
      <c r="AP172" s="3340"/>
      <c r="AQ172" s="3343"/>
    </row>
    <row r="173" spans="1:43" ht="75" x14ac:dyDescent="0.2">
      <c r="A173" s="1279"/>
      <c r="B173" s="1280"/>
      <c r="C173" s="1281"/>
      <c r="D173" s="1280"/>
      <c r="E173" s="1280"/>
      <c r="F173" s="1281"/>
      <c r="G173" s="1287"/>
      <c r="H173" s="1280"/>
      <c r="I173" s="1281"/>
      <c r="J173" s="3246"/>
      <c r="K173" s="3249"/>
      <c r="L173" s="3246"/>
      <c r="M173" s="3246"/>
      <c r="N173" s="1347"/>
      <c r="O173" s="3245"/>
      <c r="P173" s="3248"/>
      <c r="Q173" s="2651"/>
      <c r="R173" s="3277"/>
      <c r="S173" s="3248"/>
      <c r="T173" s="3249"/>
      <c r="U173" s="1288" t="s">
        <v>1579</v>
      </c>
      <c r="V173" s="1194">
        <v>9000000</v>
      </c>
      <c r="W173" s="1348"/>
      <c r="X173" s="1349"/>
      <c r="Y173" s="3273"/>
      <c r="Z173" s="3273"/>
      <c r="AA173" s="3254"/>
      <c r="AB173" s="3254"/>
      <c r="AC173" s="3270"/>
      <c r="AD173" s="3254"/>
      <c r="AE173" s="3254"/>
      <c r="AF173" s="3254"/>
      <c r="AG173" s="3254"/>
      <c r="AH173" s="3254"/>
      <c r="AI173" s="3254"/>
      <c r="AJ173" s="3254"/>
      <c r="AK173" s="3254"/>
      <c r="AL173" s="3254"/>
      <c r="AM173" s="3254"/>
      <c r="AN173" s="3254"/>
      <c r="AO173" s="3340"/>
      <c r="AP173" s="3340"/>
      <c r="AQ173" s="3343"/>
    </row>
    <row r="174" spans="1:43" ht="75" x14ac:dyDescent="0.2">
      <c r="A174" s="1279"/>
      <c r="B174" s="1280"/>
      <c r="C174" s="1281"/>
      <c r="D174" s="1280"/>
      <c r="E174" s="1280"/>
      <c r="F174" s="1281"/>
      <c r="G174" s="1287"/>
      <c r="H174" s="1280"/>
      <c r="I174" s="1281"/>
      <c r="J174" s="3244">
        <v>155</v>
      </c>
      <c r="K174" s="3247" t="s">
        <v>1580</v>
      </c>
      <c r="L174" s="3244" t="s">
        <v>1318</v>
      </c>
      <c r="M174" s="3244">
        <v>1</v>
      </c>
      <c r="N174" s="1347"/>
      <c r="O174" s="3245"/>
      <c r="P174" s="3248"/>
      <c r="Q174" s="2622">
        <f>(V174+V179+V180+V175+V176+V177+V178)/R167</f>
        <v>0.19275183589552605</v>
      </c>
      <c r="R174" s="3277"/>
      <c r="S174" s="3248"/>
      <c r="T174" s="3247" t="s">
        <v>1581</v>
      </c>
      <c r="U174" s="1288" t="s">
        <v>1582</v>
      </c>
      <c r="V174" s="1194">
        <v>1000000</v>
      </c>
      <c r="W174" s="1348"/>
      <c r="X174" s="1349"/>
      <c r="Y174" s="3273"/>
      <c r="Z174" s="3273"/>
      <c r="AA174" s="3254"/>
      <c r="AB174" s="3254"/>
      <c r="AC174" s="3270"/>
      <c r="AD174" s="3254"/>
      <c r="AE174" s="3254"/>
      <c r="AF174" s="3254"/>
      <c r="AG174" s="3254"/>
      <c r="AH174" s="3254"/>
      <c r="AI174" s="3254"/>
      <c r="AJ174" s="3254"/>
      <c r="AK174" s="3254"/>
      <c r="AL174" s="3254"/>
      <c r="AM174" s="3254"/>
      <c r="AN174" s="3254"/>
      <c r="AO174" s="3340"/>
      <c r="AP174" s="3340"/>
      <c r="AQ174" s="3343"/>
    </row>
    <row r="175" spans="1:43" ht="135" x14ac:dyDescent="0.2">
      <c r="A175" s="1279"/>
      <c r="B175" s="1280"/>
      <c r="C175" s="1281"/>
      <c r="D175" s="1280"/>
      <c r="E175" s="1280"/>
      <c r="F175" s="1281"/>
      <c r="G175" s="1287"/>
      <c r="H175" s="1280"/>
      <c r="I175" s="1281"/>
      <c r="J175" s="3245"/>
      <c r="K175" s="3248"/>
      <c r="L175" s="3245"/>
      <c r="M175" s="3245"/>
      <c r="N175" s="1347"/>
      <c r="O175" s="3245"/>
      <c r="P175" s="3248"/>
      <c r="Q175" s="2623"/>
      <c r="R175" s="3277"/>
      <c r="S175" s="3248"/>
      <c r="T175" s="3248"/>
      <c r="U175" s="1288" t="s">
        <v>1583</v>
      </c>
      <c r="V175" s="1194">
        <v>18000000</v>
      </c>
      <c r="W175" s="1348"/>
      <c r="X175" s="1349"/>
      <c r="Y175" s="3273"/>
      <c r="Z175" s="3273"/>
      <c r="AA175" s="3254"/>
      <c r="AB175" s="3254"/>
      <c r="AC175" s="3270"/>
      <c r="AD175" s="3254"/>
      <c r="AE175" s="3254"/>
      <c r="AF175" s="3254"/>
      <c r="AG175" s="3254"/>
      <c r="AH175" s="3254"/>
      <c r="AI175" s="3254"/>
      <c r="AJ175" s="3254"/>
      <c r="AK175" s="3254"/>
      <c r="AL175" s="3254"/>
      <c r="AM175" s="3254"/>
      <c r="AN175" s="3254"/>
      <c r="AO175" s="3340"/>
      <c r="AP175" s="3340"/>
      <c r="AQ175" s="3343"/>
    </row>
    <row r="176" spans="1:43" ht="75" x14ac:dyDescent="0.2">
      <c r="A176" s="1279"/>
      <c r="B176" s="1280"/>
      <c r="C176" s="1281"/>
      <c r="D176" s="1280"/>
      <c r="E176" s="1280"/>
      <c r="F176" s="1281"/>
      <c r="G176" s="1287"/>
      <c r="H176" s="1280"/>
      <c r="I176" s="1281"/>
      <c r="J176" s="3245"/>
      <c r="K176" s="3248"/>
      <c r="L176" s="3245"/>
      <c r="M176" s="3245"/>
      <c r="N176" s="1347"/>
      <c r="O176" s="3245"/>
      <c r="P176" s="3248"/>
      <c r="Q176" s="2623"/>
      <c r="R176" s="3277"/>
      <c r="S176" s="3248"/>
      <c r="T176" s="3248"/>
      <c r="U176" s="1288" t="s">
        <v>1584</v>
      </c>
      <c r="V176" s="1194">
        <v>17300000</v>
      </c>
      <c r="W176" s="1348"/>
      <c r="X176" s="1349"/>
      <c r="Y176" s="3273"/>
      <c r="Z176" s="3273"/>
      <c r="AA176" s="3254"/>
      <c r="AB176" s="3254"/>
      <c r="AC176" s="3270"/>
      <c r="AD176" s="3254"/>
      <c r="AE176" s="3254"/>
      <c r="AF176" s="3254"/>
      <c r="AG176" s="3254"/>
      <c r="AH176" s="3254"/>
      <c r="AI176" s="3254"/>
      <c r="AJ176" s="3254"/>
      <c r="AK176" s="3254"/>
      <c r="AL176" s="3254"/>
      <c r="AM176" s="3254"/>
      <c r="AN176" s="3254"/>
      <c r="AO176" s="3340"/>
      <c r="AP176" s="3340"/>
      <c r="AQ176" s="3343"/>
    </row>
    <row r="177" spans="1:43" ht="60" x14ac:dyDescent="0.2">
      <c r="A177" s="1279"/>
      <c r="B177" s="1280"/>
      <c r="C177" s="1281"/>
      <c r="D177" s="1280"/>
      <c r="E177" s="1280"/>
      <c r="F177" s="1281"/>
      <c r="G177" s="1287"/>
      <c r="H177" s="1280"/>
      <c r="I177" s="1281"/>
      <c r="J177" s="3245"/>
      <c r="K177" s="3248"/>
      <c r="L177" s="3245"/>
      <c r="M177" s="3245"/>
      <c r="N177" s="1347"/>
      <c r="O177" s="3245"/>
      <c r="P177" s="3248"/>
      <c r="Q177" s="2623"/>
      <c r="R177" s="3277"/>
      <c r="S177" s="3248"/>
      <c r="T177" s="3248"/>
      <c r="U177" s="1288" t="s">
        <v>1585</v>
      </c>
      <c r="V177" s="1194">
        <v>1000000</v>
      </c>
      <c r="W177" s="1348"/>
      <c r="X177" s="1349"/>
      <c r="Y177" s="3273"/>
      <c r="Z177" s="3273"/>
      <c r="AA177" s="3254"/>
      <c r="AB177" s="3254"/>
      <c r="AC177" s="3270"/>
      <c r="AD177" s="3254"/>
      <c r="AE177" s="3254"/>
      <c r="AF177" s="3254"/>
      <c r="AG177" s="3254"/>
      <c r="AH177" s="3254"/>
      <c r="AI177" s="3254"/>
      <c r="AJ177" s="3254"/>
      <c r="AK177" s="3254"/>
      <c r="AL177" s="3254"/>
      <c r="AM177" s="3254"/>
      <c r="AN177" s="3254"/>
      <c r="AO177" s="3340"/>
      <c r="AP177" s="3340"/>
      <c r="AQ177" s="3343"/>
    </row>
    <row r="178" spans="1:43" ht="90" x14ac:dyDescent="0.2">
      <c r="A178" s="1279"/>
      <c r="B178" s="1280"/>
      <c r="C178" s="1281"/>
      <c r="D178" s="1280"/>
      <c r="E178" s="1280"/>
      <c r="F178" s="1281"/>
      <c r="G178" s="1287"/>
      <c r="H178" s="1280"/>
      <c r="I178" s="1281"/>
      <c r="J178" s="3245"/>
      <c r="K178" s="3248"/>
      <c r="L178" s="3245"/>
      <c r="M178" s="3245"/>
      <c r="N178" s="1347"/>
      <c r="O178" s="3245"/>
      <c r="P178" s="3248"/>
      <c r="Q178" s="2623"/>
      <c r="R178" s="3277"/>
      <c r="S178" s="3248"/>
      <c r="T178" s="3248"/>
      <c r="U178" s="1288" t="s">
        <v>1586</v>
      </c>
      <c r="V178" s="1194">
        <v>1000000</v>
      </c>
      <c r="W178" s="1348"/>
      <c r="X178" s="1349"/>
      <c r="Y178" s="3273"/>
      <c r="Z178" s="3273"/>
      <c r="AA178" s="3254"/>
      <c r="AB178" s="3254"/>
      <c r="AC178" s="3270"/>
      <c r="AD178" s="3254"/>
      <c r="AE178" s="3254"/>
      <c r="AF178" s="3254"/>
      <c r="AG178" s="3254"/>
      <c r="AH178" s="3254"/>
      <c r="AI178" s="3254"/>
      <c r="AJ178" s="3254"/>
      <c r="AK178" s="3254"/>
      <c r="AL178" s="3254"/>
      <c r="AM178" s="3254"/>
      <c r="AN178" s="3254"/>
      <c r="AO178" s="3340"/>
      <c r="AP178" s="3340"/>
      <c r="AQ178" s="3343"/>
    </row>
    <row r="179" spans="1:43" ht="75" x14ac:dyDescent="0.2">
      <c r="A179" s="1279"/>
      <c r="B179" s="1280"/>
      <c r="C179" s="1281"/>
      <c r="D179" s="1280"/>
      <c r="E179" s="1280"/>
      <c r="F179" s="1281"/>
      <c r="G179" s="1287"/>
      <c r="H179" s="1280"/>
      <c r="I179" s="1281"/>
      <c r="J179" s="3245"/>
      <c r="K179" s="3248"/>
      <c r="L179" s="3245"/>
      <c r="M179" s="3245"/>
      <c r="N179" s="1347"/>
      <c r="O179" s="3245"/>
      <c r="P179" s="3248"/>
      <c r="Q179" s="2623"/>
      <c r="R179" s="3277"/>
      <c r="S179" s="3248"/>
      <c r="T179" s="3248"/>
      <c r="U179" s="1288" t="s">
        <v>1587</v>
      </c>
      <c r="V179" s="1194">
        <v>13500000</v>
      </c>
      <c r="W179" s="1348"/>
      <c r="X179" s="1349"/>
      <c r="Y179" s="3273"/>
      <c r="Z179" s="3273"/>
      <c r="AA179" s="3254"/>
      <c r="AB179" s="3254"/>
      <c r="AC179" s="3270"/>
      <c r="AD179" s="3254"/>
      <c r="AE179" s="3254"/>
      <c r="AF179" s="3254"/>
      <c r="AG179" s="3254"/>
      <c r="AH179" s="3254"/>
      <c r="AI179" s="3254"/>
      <c r="AJ179" s="3254"/>
      <c r="AK179" s="3254"/>
      <c r="AL179" s="3254"/>
      <c r="AM179" s="3254"/>
      <c r="AN179" s="3254"/>
      <c r="AO179" s="3340"/>
      <c r="AP179" s="3340"/>
      <c r="AQ179" s="3343"/>
    </row>
    <row r="180" spans="1:43" ht="60" x14ac:dyDescent="0.2">
      <c r="A180" s="1279"/>
      <c r="B180" s="1280"/>
      <c r="C180" s="1281"/>
      <c r="D180" s="1280"/>
      <c r="E180" s="1280"/>
      <c r="F180" s="1281"/>
      <c r="G180" s="1287"/>
      <c r="H180" s="1280"/>
      <c r="I180" s="1281"/>
      <c r="J180" s="3246"/>
      <c r="K180" s="3249"/>
      <c r="L180" s="3246"/>
      <c r="M180" s="3246"/>
      <c r="N180" s="1347" t="s">
        <v>1588</v>
      </c>
      <c r="O180" s="3245"/>
      <c r="P180" s="3248"/>
      <c r="Q180" s="2651"/>
      <c r="R180" s="3277"/>
      <c r="S180" s="3248"/>
      <c r="T180" s="3249"/>
      <c r="U180" s="1288" t="s">
        <v>1589</v>
      </c>
      <c r="V180" s="1194">
        <v>1000000</v>
      </c>
      <c r="W180" s="1349">
        <v>61</v>
      </c>
      <c r="X180" s="1347" t="s">
        <v>1324</v>
      </c>
      <c r="Y180" s="3273"/>
      <c r="Z180" s="3273"/>
      <c r="AA180" s="3254"/>
      <c r="AB180" s="3254"/>
      <c r="AC180" s="3270"/>
      <c r="AD180" s="3254"/>
      <c r="AE180" s="3254"/>
      <c r="AF180" s="3254"/>
      <c r="AG180" s="3254"/>
      <c r="AH180" s="3254"/>
      <c r="AI180" s="3254"/>
      <c r="AJ180" s="3254"/>
      <c r="AK180" s="3254"/>
      <c r="AL180" s="3254"/>
      <c r="AM180" s="3254"/>
      <c r="AN180" s="3254"/>
      <c r="AO180" s="3340"/>
      <c r="AP180" s="3340"/>
      <c r="AQ180" s="3343"/>
    </row>
    <row r="181" spans="1:43" ht="45" x14ac:dyDescent="0.2">
      <c r="A181" s="1279"/>
      <c r="B181" s="1280"/>
      <c r="C181" s="1281"/>
      <c r="D181" s="1280"/>
      <c r="E181" s="1280"/>
      <c r="F181" s="1281"/>
      <c r="G181" s="1287"/>
      <c r="H181" s="1280"/>
      <c r="I181" s="1281"/>
      <c r="J181" s="3244">
        <v>156</v>
      </c>
      <c r="K181" s="3247" t="s">
        <v>1590</v>
      </c>
      <c r="L181" s="3244" t="s">
        <v>1318</v>
      </c>
      <c r="M181" s="3244">
        <v>12</v>
      </c>
      <c r="N181" s="1178" t="s">
        <v>1591</v>
      </c>
      <c r="O181" s="3245"/>
      <c r="P181" s="3248"/>
      <c r="Q181" s="2622">
        <f>(V181+V182+V183+V184+V185+V186)/R167</f>
        <v>0.29934944211047604</v>
      </c>
      <c r="R181" s="3277"/>
      <c r="S181" s="3248"/>
      <c r="T181" s="3247" t="s">
        <v>1592</v>
      </c>
      <c r="U181" s="1288" t="s">
        <v>1593</v>
      </c>
      <c r="V181" s="1194">
        <v>14000000</v>
      </c>
      <c r="W181" s="1349">
        <v>20</v>
      </c>
      <c r="X181" s="1347" t="s">
        <v>61</v>
      </c>
      <c r="Y181" s="3273"/>
      <c r="Z181" s="3273"/>
      <c r="AA181" s="3254"/>
      <c r="AB181" s="3254"/>
      <c r="AC181" s="3270"/>
      <c r="AD181" s="3254"/>
      <c r="AE181" s="3254"/>
      <c r="AF181" s="3254"/>
      <c r="AG181" s="3254"/>
      <c r="AH181" s="3254"/>
      <c r="AI181" s="3254"/>
      <c r="AJ181" s="3254"/>
      <c r="AK181" s="3254"/>
      <c r="AL181" s="3254"/>
      <c r="AM181" s="3254"/>
      <c r="AN181" s="3254"/>
      <c r="AO181" s="3340"/>
      <c r="AP181" s="3340"/>
      <c r="AQ181" s="3343"/>
    </row>
    <row r="182" spans="1:43" ht="60" x14ac:dyDescent="0.2">
      <c r="A182" s="1279"/>
      <c r="B182" s="1280"/>
      <c r="C182" s="1281"/>
      <c r="D182" s="1280"/>
      <c r="E182" s="1280"/>
      <c r="F182" s="1281"/>
      <c r="G182" s="1287"/>
      <c r="H182" s="1280"/>
      <c r="I182" s="1281"/>
      <c r="J182" s="3245"/>
      <c r="K182" s="3248"/>
      <c r="L182" s="3245"/>
      <c r="M182" s="3245"/>
      <c r="N182" s="1347"/>
      <c r="O182" s="3245"/>
      <c r="P182" s="3248"/>
      <c r="Q182" s="2623"/>
      <c r="R182" s="3277"/>
      <c r="S182" s="3248"/>
      <c r="T182" s="3248"/>
      <c r="U182" s="1288" t="s">
        <v>1594</v>
      </c>
      <c r="V182" s="1194">
        <v>14000000</v>
      </c>
      <c r="W182" s="1349"/>
      <c r="X182" s="1347"/>
      <c r="Y182" s="3273"/>
      <c r="Z182" s="3273"/>
      <c r="AA182" s="3254"/>
      <c r="AB182" s="3254"/>
      <c r="AC182" s="3270"/>
      <c r="AD182" s="3254"/>
      <c r="AE182" s="3254"/>
      <c r="AF182" s="3254"/>
      <c r="AG182" s="3254"/>
      <c r="AH182" s="3254"/>
      <c r="AI182" s="3254"/>
      <c r="AJ182" s="3254"/>
      <c r="AK182" s="3254"/>
      <c r="AL182" s="3254"/>
      <c r="AM182" s="3254"/>
      <c r="AN182" s="3254"/>
      <c r="AO182" s="3340"/>
      <c r="AP182" s="3340"/>
      <c r="AQ182" s="3343"/>
    </row>
    <row r="183" spans="1:43" ht="75" x14ac:dyDescent="0.2">
      <c r="A183" s="1279"/>
      <c r="B183" s="1280"/>
      <c r="C183" s="1281"/>
      <c r="D183" s="1280"/>
      <c r="E183" s="1280"/>
      <c r="F183" s="1281"/>
      <c r="G183" s="1287"/>
      <c r="H183" s="1280"/>
      <c r="I183" s="1281"/>
      <c r="J183" s="3245"/>
      <c r="K183" s="3248"/>
      <c r="L183" s="3245"/>
      <c r="M183" s="3245"/>
      <c r="N183" s="1347"/>
      <c r="O183" s="3245"/>
      <c r="P183" s="3248"/>
      <c r="Q183" s="2623"/>
      <c r="R183" s="3277"/>
      <c r="S183" s="3248"/>
      <c r="T183" s="3248"/>
      <c r="U183" s="1288" t="s">
        <v>1595</v>
      </c>
      <c r="V183" s="1194">
        <v>14800000</v>
      </c>
      <c r="W183" s="1349"/>
      <c r="X183" s="1347"/>
      <c r="Y183" s="3273"/>
      <c r="Z183" s="3273"/>
      <c r="AA183" s="3254"/>
      <c r="AB183" s="3254"/>
      <c r="AC183" s="3270"/>
      <c r="AD183" s="3254"/>
      <c r="AE183" s="3254"/>
      <c r="AF183" s="3254"/>
      <c r="AG183" s="3254"/>
      <c r="AH183" s="3254"/>
      <c r="AI183" s="3254"/>
      <c r="AJ183" s="3254"/>
      <c r="AK183" s="3254"/>
      <c r="AL183" s="3254"/>
      <c r="AM183" s="3254"/>
      <c r="AN183" s="3254"/>
      <c r="AO183" s="3340"/>
      <c r="AP183" s="3340"/>
      <c r="AQ183" s="3343"/>
    </row>
    <row r="184" spans="1:43" ht="75" x14ac:dyDescent="0.2">
      <c r="A184" s="1279"/>
      <c r="B184" s="1280"/>
      <c r="C184" s="1281"/>
      <c r="D184" s="1280"/>
      <c r="E184" s="1280"/>
      <c r="F184" s="1281"/>
      <c r="G184" s="1287"/>
      <c r="H184" s="1280"/>
      <c r="I184" s="1281"/>
      <c r="J184" s="3245"/>
      <c r="K184" s="3248"/>
      <c r="L184" s="3245"/>
      <c r="M184" s="3245"/>
      <c r="N184" s="1347"/>
      <c r="O184" s="3245"/>
      <c r="P184" s="3248"/>
      <c r="Q184" s="2623"/>
      <c r="R184" s="3277"/>
      <c r="S184" s="3248"/>
      <c r="T184" s="3248"/>
      <c r="U184" s="1288" t="s">
        <v>1596</v>
      </c>
      <c r="V184" s="1194">
        <v>14800000</v>
      </c>
      <c r="W184" s="1349"/>
      <c r="X184" s="1347"/>
      <c r="Y184" s="3273"/>
      <c r="Z184" s="3273"/>
      <c r="AA184" s="3254"/>
      <c r="AB184" s="3254"/>
      <c r="AC184" s="3270"/>
      <c r="AD184" s="3254"/>
      <c r="AE184" s="3254"/>
      <c r="AF184" s="3254"/>
      <c r="AG184" s="3254"/>
      <c r="AH184" s="3254"/>
      <c r="AI184" s="3254"/>
      <c r="AJ184" s="3254"/>
      <c r="AK184" s="3254"/>
      <c r="AL184" s="3254"/>
      <c r="AM184" s="3254"/>
      <c r="AN184" s="3254"/>
      <c r="AO184" s="3340"/>
      <c r="AP184" s="3340"/>
      <c r="AQ184" s="3343"/>
    </row>
    <row r="185" spans="1:43" ht="45" x14ac:dyDescent="0.2">
      <c r="A185" s="1279"/>
      <c r="B185" s="1280"/>
      <c r="C185" s="1281"/>
      <c r="D185" s="1280"/>
      <c r="E185" s="1280"/>
      <c r="F185" s="1281"/>
      <c r="G185" s="1287"/>
      <c r="H185" s="1280"/>
      <c r="I185" s="1281"/>
      <c r="J185" s="3245"/>
      <c r="K185" s="3248"/>
      <c r="L185" s="3245"/>
      <c r="M185" s="3245"/>
      <c r="N185" s="1347"/>
      <c r="O185" s="3245"/>
      <c r="P185" s="3248"/>
      <c r="Q185" s="2623"/>
      <c r="R185" s="3277"/>
      <c r="S185" s="3248"/>
      <c r="T185" s="3248"/>
      <c r="U185" s="1288" t="s">
        <v>1597</v>
      </c>
      <c r="V185" s="1194">
        <v>14800000</v>
      </c>
      <c r="W185" s="1349"/>
      <c r="X185" s="1347"/>
      <c r="Y185" s="3273"/>
      <c r="Z185" s="3273"/>
      <c r="AA185" s="3254"/>
      <c r="AB185" s="3254"/>
      <c r="AC185" s="3270"/>
      <c r="AD185" s="3254"/>
      <c r="AE185" s="3254"/>
      <c r="AF185" s="3254"/>
      <c r="AG185" s="3254"/>
      <c r="AH185" s="3254"/>
      <c r="AI185" s="3254"/>
      <c r="AJ185" s="3254"/>
      <c r="AK185" s="3254"/>
      <c r="AL185" s="3254"/>
      <c r="AM185" s="3254"/>
      <c r="AN185" s="3254"/>
      <c r="AO185" s="3340"/>
      <c r="AP185" s="3340"/>
      <c r="AQ185" s="3343"/>
    </row>
    <row r="186" spans="1:43" ht="60" x14ac:dyDescent="0.2">
      <c r="A186" s="1279"/>
      <c r="B186" s="1280"/>
      <c r="C186" s="1281"/>
      <c r="D186" s="1280"/>
      <c r="E186" s="1280"/>
      <c r="F186" s="1281"/>
      <c r="G186" s="1287"/>
      <c r="H186" s="1280"/>
      <c r="I186" s="1281"/>
      <c r="J186" s="3246"/>
      <c r="K186" s="3249"/>
      <c r="L186" s="3246"/>
      <c r="M186" s="3246"/>
      <c r="N186" s="1347"/>
      <c r="O186" s="3245"/>
      <c r="P186" s="3248"/>
      <c r="Q186" s="2651"/>
      <c r="R186" s="3277"/>
      <c r="S186" s="3248"/>
      <c r="T186" s="3249"/>
      <c r="U186" s="1288" t="s">
        <v>1598</v>
      </c>
      <c r="V186" s="1194">
        <v>9600000</v>
      </c>
      <c r="W186" s="1348"/>
      <c r="X186" s="1349"/>
      <c r="Y186" s="3273"/>
      <c r="Z186" s="3273"/>
      <c r="AA186" s="3254"/>
      <c r="AB186" s="3254"/>
      <c r="AC186" s="3270"/>
      <c r="AD186" s="3254"/>
      <c r="AE186" s="3254"/>
      <c r="AF186" s="3254"/>
      <c r="AG186" s="3254"/>
      <c r="AH186" s="3254"/>
      <c r="AI186" s="3254"/>
      <c r="AJ186" s="3254"/>
      <c r="AK186" s="3254"/>
      <c r="AL186" s="3254"/>
      <c r="AM186" s="3254"/>
      <c r="AN186" s="3254"/>
      <c r="AO186" s="3340"/>
      <c r="AP186" s="3340"/>
      <c r="AQ186" s="3343"/>
    </row>
    <row r="187" spans="1:43" ht="75" x14ac:dyDescent="0.2">
      <c r="A187" s="1279"/>
      <c r="B187" s="1280"/>
      <c r="C187" s="1281"/>
      <c r="D187" s="1280"/>
      <c r="E187" s="1280"/>
      <c r="F187" s="1281"/>
      <c r="G187" s="1287"/>
      <c r="H187" s="1280"/>
      <c r="I187" s="1281"/>
      <c r="J187" s="3244">
        <v>157</v>
      </c>
      <c r="K187" s="3247" t="s">
        <v>1599</v>
      </c>
      <c r="L187" s="3244" t="s">
        <v>1318</v>
      </c>
      <c r="M187" s="3244">
        <v>12</v>
      </c>
      <c r="N187" s="1347"/>
      <c r="O187" s="3245"/>
      <c r="P187" s="3248"/>
      <c r="Q187" s="2622">
        <f>(V187+V190+V188+V189)/R167</f>
        <v>0.19254039662311634</v>
      </c>
      <c r="R187" s="3277"/>
      <c r="S187" s="3248"/>
      <c r="T187" s="3247" t="s">
        <v>1600</v>
      </c>
      <c r="U187" s="1288" t="s">
        <v>1601</v>
      </c>
      <c r="V187" s="1187">
        <v>24342081</v>
      </c>
      <c r="W187" s="1348"/>
      <c r="X187" s="1349"/>
      <c r="Y187" s="3273"/>
      <c r="Z187" s="3273"/>
      <c r="AA187" s="3254"/>
      <c r="AB187" s="3254"/>
      <c r="AC187" s="3270"/>
      <c r="AD187" s="3254"/>
      <c r="AE187" s="3254"/>
      <c r="AF187" s="3254"/>
      <c r="AG187" s="3254"/>
      <c r="AH187" s="3254"/>
      <c r="AI187" s="3254"/>
      <c r="AJ187" s="3254"/>
      <c r="AK187" s="3254"/>
      <c r="AL187" s="3254"/>
      <c r="AM187" s="3254"/>
      <c r="AN187" s="3254"/>
      <c r="AO187" s="3340"/>
      <c r="AP187" s="3340"/>
      <c r="AQ187" s="3343"/>
    </row>
    <row r="188" spans="1:43" ht="90" x14ac:dyDescent="0.2">
      <c r="A188" s="1279"/>
      <c r="B188" s="1280"/>
      <c r="C188" s="1281"/>
      <c r="D188" s="1280"/>
      <c r="E188" s="1280"/>
      <c r="F188" s="1281"/>
      <c r="G188" s="1287"/>
      <c r="H188" s="1280"/>
      <c r="I188" s="1281"/>
      <c r="J188" s="3245"/>
      <c r="K188" s="3248"/>
      <c r="L188" s="3245"/>
      <c r="M188" s="3245"/>
      <c r="N188" s="1347"/>
      <c r="O188" s="3245"/>
      <c r="P188" s="3248"/>
      <c r="Q188" s="2623"/>
      <c r="R188" s="3277"/>
      <c r="S188" s="3248"/>
      <c r="T188" s="3248"/>
      <c r="U188" s="1288" t="s">
        <v>1602</v>
      </c>
      <c r="V188" s="1194">
        <v>8000000</v>
      </c>
      <c r="W188" s="1348"/>
      <c r="X188" s="1349"/>
      <c r="Y188" s="3273"/>
      <c r="Z188" s="3273"/>
      <c r="AA188" s="3254"/>
      <c r="AB188" s="3254"/>
      <c r="AC188" s="3270"/>
      <c r="AD188" s="3254"/>
      <c r="AE188" s="3254"/>
      <c r="AF188" s="3254"/>
      <c r="AG188" s="3254"/>
      <c r="AH188" s="3254"/>
      <c r="AI188" s="3254"/>
      <c r="AJ188" s="3254"/>
      <c r="AK188" s="3254"/>
      <c r="AL188" s="3254"/>
      <c r="AM188" s="3254"/>
      <c r="AN188" s="3254"/>
      <c r="AO188" s="3340"/>
      <c r="AP188" s="3340"/>
      <c r="AQ188" s="3343"/>
    </row>
    <row r="189" spans="1:43" ht="61.5" customHeight="1" x14ac:dyDescent="0.2">
      <c r="A189" s="1279"/>
      <c r="B189" s="1280"/>
      <c r="C189" s="1281"/>
      <c r="D189" s="1280"/>
      <c r="E189" s="1280"/>
      <c r="F189" s="1281"/>
      <c r="G189" s="1287"/>
      <c r="H189" s="1280"/>
      <c r="I189" s="1281"/>
      <c r="J189" s="3245"/>
      <c r="K189" s="3248"/>
      <c r="L189" s="3245"/>
      <c r="M189" s="3245"/>
      <c r="N189" s="1347"/>
      <c r="O189" s="3245"/>
      <c r="P189" s="3248"/>
      <c r="Q189" s="2623"/>
      <c r="R189" s="3277"/>
      <c r="S189" s="3248"/>
      <c r="T189" s="3248"/>
      <c r="U189" s="1288" t="s">
        <v>1603</v>
      </c>
      <c r="V189" s="1194">
        <v>6000000</v>
      </c>
      <c r="W189" s="1348"/>
      <c r="X189" s="1349"/>
      <c r="Y189" s="3273"/>
      <c r="Z189" s="3273"/>
      <c r="AA189" s="3254"/>
      <c r="AB189" s="3254"/>
      <c r="AC189" s="3270"/>
      <c r="AD189" s="3254"/>
      <c r="AE189" s="3254"/>
      <c r="AF189" s="3254"/>
      <c r="AG189" s="3254"/>
      <c r="AH189" s="3254"/>
      <c r="AI189" s="3254"/>
      <c r="AJ189" s="3254"/>
      <c r="AK189" s="3254"/>
      <c r="AL189" s="3254"/>
      <c r="AM189" s="3254"/>
      <c r="AN189" s="3254"/>
      <c r="AO189" s="3340"/>
      <c r="AP189" s="3340"/>
      <c r="AQ189" s="3343"/>
    </row>
    <row r="190" spans="1:43" ht="105" x14ac:dyDescent="0.2">
      <c r="A190" s="1279"/>
      <c r="B190" s="1280"/>
      <c r="C190" s="1281"/>
      <c r="D190" s="1280"/>
      <c r="E190" s="1280"/>
      <c r="F190" s="1281"/>
      <c r="G190" s="1291"/>
      <c r="H190" s="1289"/>
      <c r="I190" s="1290"/>
      <c r="J190" s="3246"/>
      <c r="K190" s="3249"/>
      <c r="L190" s="3246"/>
      <c r="M190" s="3246"/>
      <c r="N190" s="1353"/>
      <c r="O190" s="3246"/>
      <c r="P190" s="3249"/>
      <c r="Q190" s="2651"/>
      <c r="R190" s="3278"/>
      <c r="S190" s="3249"/>
      <c r="T190" s="3249"/>
      <c r="U190" s="1288" t="s">
        <v>1604</v>
      </c>
      <c r="V190" s="1194">
        <v>14400000</v>
      </c>
      <c r="W190" s="1354"/>
      <c r="X190" s="1357"/>
      <c r="Y190" s="3274"/>
      <c r="Z190" s="3274"/>
      <c r="AA190" s="3255"/>
      <c r="AB190" s="3255"/>
      <c r="AC190" s="3271"/>
      <c r="AD190" s="3255"/>
      <c r="AE190" s="3255"/>
      <c r="AF190" s="3255"/>
      <c r="AG190" s="3255"/>
      <c r="AH190" s="3255"/>
      <c r="AI190" s="3255"/>
      <c r="AJ190" s="3255"/>
      <c r="AK190" s="3255"/>
      <c r="AL190" s="3255"/>
      <c r="AM190" s="3255"/>
      <c r="AN190" s="3255"/>
      <c r="AO190" s="3341"/>
      <c r="AP190" s="3341"/>
      <c r="AQ190" s="3344"/>
    </row>
    <row r="191" spans="1:43" s="1303" customFormat="1" ht="36" customHeight="1" x14ac:dyDescent="0.2">
      <c r="A191" s="1265"/>
      <c r="B191" s="1266"/>
      <c r="C191" s="1267"/>
      <c r="D191" s="1266"/>
      <c r="E191" s="1266"/>
      <c r="F191" s="1267"/>
      <c r="G191" s="1299">
        <v>45</v>
      </c>
      <c r="H191" s="1271" t="s">
        <v>1605</v>
      </c>
      <c r="I191" s="1271"/>
      <c r="J191" s="1271"/>
      <c r="K191" s="1272"/>
      <c r="L191" s="1271"/>
      <c r="M191" s="1271"/>
      <c r="N191" s="1273"/>
      <c r="O191" s="1271"/>
      <c r="P191" s="1272"/>
      <c r="Q191" s="1271"/>
      <c r="R191" s="1271"/>
      <c r="S191" s="1271"/>
      <c r="T191" s="1272"/>
      <c r="U191" s="1272"/>
      <c r="V191" s="1358"/>
      <c r="W191" s="1301"/>
      <c r="X191" s="1273"/>
      <c r="Y191" s="1273"/>
      <c r="Z191" s="1273"/>
      <c r="AA191" s="1302"/>
      <c r="AB191" s="1302"/>
      <c r="AC191" s="1273"/>
      <c r="AD191" s="1302"/>
      <c r="AE191" s="1302"/>
      <c r="AF191" s="1302"/>
      <c r="AG191" s="1302"/>
      <c r="AH191" s="1302"/>
      <c r="AI191" s="1302"/>
      <c r="AJ191" s="1273"/>
      <c r="AK191" s="1302"/>
      <c r="AL191" s="1302"/>
      <c r="AM191" s="1273"/>
      <c r="AN191" s="1302"/>
      <c r="AO191" s="1273"/>
      <c r="AP191" s="1271"/>
      <c r="AQ191" s="1278"/>
    </row>
    <row r="192" spans="1:43" s="1286" customFormat="1" ht="54.75" customHeight="1" x14ac:dyDescent="0.2">
      <c r="A192" s="1279"/>
      <c r="B192" s="1280"/>
      <c r="C192" s="1281"/>
      <c r="D192" s="1280"/>
      <c r="E192" s="1280"/>
      <c r="F192" s="1281"/>
      <c r="G192" s="1282"/>
      <c r="H192" s="1283"/>
      <c r="I192" s="1284"/>
      <c r="J192" s="3244">
        <v>158</v>
      </c>
      <c r="K192" s="3244" t="s">
        <v>1606</v>
      </c>
      <c r="L192" s="3244" t="s">
        <v>1318</v>
      </c>
      <c r="M192" s="3244">
        <v>11</v>
      </c>
      <c r="N192" s="3244" t="s">
        <v>1607</v>
      </c>
      <c r="O192" s="3244">
        <v>150</v>
      </c>
      <c r="P192" s="3247" t="s">
        <v>1608</v>
      </c>
      <c r="Q192" s="2622">
        <f>+(V192+V193+V194+V195)/R192</f>
        <v>1</v>
      </c>
      <c r="R192" s="3276">
        <f>SUM(V192:V196)</f>
        <v>1284098541</v>
      </c>
      <c r="S192" s="3247" t="s">
        <v>1609</v>
      </c>
      <c r="T192" s="3259" t="s">
        <v>1610</v>
      </c>
      <c r="U192" s="1288" t="s">
        <v>1611</v>
      </c>
      <c r="V192" s="265">
        <v>150000000</v>
      </c>
      <c r="W192" s="3272">
        <v>61</v>
      </c>
      <c r="X192" s="3244" t="s">
        <v>1324</v>
      </c>
      <c r="Y192" s="3244">
        <v>292684</v>
      </c>
      <c r="Z192" s="3244">
        <v>282326</v>
      </c>
      <c r="AA192" s="3285">
        <v>135912</v>
      </c>
      <c r="AB192" s="3285">
        <v>45122</v>
      </c>
      <c r="AC192" s="3285">
        <v>307101</v>
      </c>
      <c r="AD192" s="3285">
        <v>86875</v>
      </c>
      <c r="AE192" s="3285">
        <v>2145</v>
      </c>
      <c r="AF192" s="3285">
        <v>12718</v>
      </c>
      <c r="AG192" s="3285">
        <v>26</v>
      </c>
      <c r="AH192" s="3285">
        <v>37</v>
      </c>
      <c r="AI192" s="3285" t="s">
        <v>1325</v>
      </c>
      <c r="AJ192" s="3285" t="s">
        <v>1325</v>
      </c>
      <c r="AK192" s="3285">
        <v>53164</v>
      </c>
      <c r="AL192" s="3285">
        <v>16982</v>
      </c>
      <c r="AM192" s="3285">
        <v>60013</v>
      </c>
      <c r="AN192" s="3285">
        <v>575010</v>
      </c>
      <c r="AO192" s="3262">
        <v>43101</v>
      </c>
      <c r="AP192" s="3262">
        <v>43465</v>
      </c>
      <c r="AQ192" s="3265" t="s">
        <v>1326</v>
      </c>
    </row>
    <row r="193" spans="1:343" s="1286" customFormat="1" ht="54.75" customHeight="1" x14ac:dyDescent="0.2">
      <c r="A193" s="1279"/>
      <c r="B193" s="1280"/>
      <c r="C193" s="1281"/>
      <c r="D193" s="1280"/>
      <c r="E193" s="1280"/>
      <c r="F193" s="1281"/>
      <c r="G193" s="1287"/>
      <c r="H193" s="1280"/>
      <c r="I193" s="1281"/>
      <c r="J193" s="3245"/>
      <c r="K193" s="3245"/>
      <c r="L193" s="3245"/>
      <c r="M193" s="3245"/>
      <c r="N193" s="3245"/>
      <c r="O193" s="3245"/>
      <c r="P193" s="3248"/>
      <c r="Q193" s="2623"/>
      <c r="R193" s="3277"/>
      <c r="S193" s="3248"/>
      <c r="T193" s="3260"/>
      <c r="U193" s="1288" t="s">
        <v>1612</v>
      </c>
      <c r="V193" s="265">
        <v>20000000</v>
      </c>
      <c r="W193" s="3273"/>
      <c r="X193" s="3245"/>
      <c r="Y193" s="3245"/>
      <c r="Z193" s="3245"/>
      <c r="AA193" s="3286"/>
      <c r="AB193" s="3286"/>
      <c r="AC193" s="3286"/>
      <c r="AD193" s="3286"/>
      <c r="AE193" s="3286"/>
      <c r="AF193" s="3286"/>
      <c r="AG193" s="3286"/>
      <c r="AH193" s="3286"/>
      <c r="AI193" s="3286"/>
      <c r="AJ193" s="3286"/>
      <c r="AK193" s="3286"/>
      <c r="AL193" s="3286"/>
      <c r="AM193" s="3286"/>
      <c r="AN193" s="3286"/>
      <c r="AO193" s="3263"/>
      <c r="AP193" s="3263"/>
      <c r="AQ193" s="3266"/>
    </row>
    <row r="194" spans="1:343" s="1286" customFormat="1" ht="54.75" customHeight="1" x14ac:dyDescent="0.2">
      <c r="A194" s="1279"/>
      <c r="B194" s="1280"/>
      <c r="C194" s="1281"/>
      <c r="D194" s="1280"/>
      <c r="E194" s="1280"/>
      <c r="F194" s="1281"/>
      <c r="G194" s="1287"/>
      <c r="H194" s="1280"/>
      <c r="I194" s="1281"/>
      <c r="J194" s="3245"/>
      <c r="K194" s="3245"/>
      <c r="L194" s="3245"/>
      <c r="M194" s="3245"/>
      <c r="N194" s="3245"/>
      <c r="O194" s="3245"/>
      <c r="P194" s="3248"/>
      <c r="Q194" s="2623"/>
      <c r="R194" s="3277"/>
      <c r="S194" s="3248"/>
      <c r="T194" s="3260"/>
      <c r="U194" s="1288" t="s">
        <v>1613</v>
      </c>
      <c r="V194" s="265">
        <v>644098541</v>
      </c>
      <c r="W194" s="3273"/>
      <c r="X194" s="3245"/>
      <c r="Y194" s="3245"/>
      <c r="Z194" s="3245"/>
      <c r="AA194" s="3286"/>
      <c r="AB194" s="3286"/>
      <c r="AC194" s="3286"/>
      <c r="AD194" s="3286"/>
      <c r="AE194" s="3286"/>
      <c r="AF194" s="3286"/>
      <c r="AG194" s="3286"/>
      <c r="AH194" s="3286"/>
      <c r="AI194" s="3286"/>
      <c r="AJ194" s="3286"/>
      <c r="AK194" s="3286"/>
      <c r="AL194" s="3286"/>
      <c r="AM194" s="3286"/>
      <c r="AN194" s="3286"/>
      <c r="AO194" s="3263"/>
      <c r="AP194" s="3263"/>
      <c r="AQ194" s="3266"/>
    </row>
    <row r="195" spans="1:343" s="1286" customFormat="1" ht="54.75" customHeight="1" x14ac:dyDescent="0.2">
      <c r="A195" s="1279"/>
      <c r="B195" s="1280"/>
      <c r="C195" s="1281"/>
      <c r="D195" s="1280"/>
      <c r="E195" s="1280"/>
      <c r="F195" s="1281"/>
      <c r="G195" s="1287"/>
      <c r="H195" s="1280"/>
      <c r="I195" s="1281"/>
      <c r="J195" s="1347"/>
      <c r="K195" s="1347"/>
      <c r="L195" s="1347"/>
      <c r="M195" s="1347"/>
      <c r="N195" s="3245"/>
      <c r="O195" s="3245"/>
      <c r="P195" s="3248"/>
      <c r="Q195" s="1191"/>
      <c r="R195" s="3277"/>
      <c r="S195" s="3248"/>
      <c r="T195" s="3261"/>
      <c r="U195" s="1288" t="s">
        <v>1614</v>
      </c>
      <c r="V195" s="265">
        <v>470000000</v>
      </c>
      <c r="W195" s="3273"/>
      <c r="X195" s="3245"/>
      <c r="Y195" s="3245"/>
      <c r="Z195" s="3245"/>
      <c r="AA195" s="3286"/>
      <c r="AB195" s="3286"/>
      <c r="AC195" s="3286"/>
      <c r="AD195" s="3286"/>
      <c r="AE195" s="3286"/>
      <c r="AF195" s="3286"/>
      <c r="AG195" s="3286"/>
      <c r="AH195" s="3286"/>
      <c r="AI195" s="3286"/>
      <c r="AJ195" s="3286"/>
      <c r="AK195" s="3286"/>
      <c r="AL195" s="3286"/>
      <c r="AM195" s="3286"/>
      <c r="AN195" s="3286"/>
      <c r="AO195" s="3263"/>
      <c r="AP195" s="3263"/>
      <c r="AQ195" s="3266"/>
    </row>
    <row r="196" spans="1:343" s="1286" customFormat="1" ht="65.25" customHeight="1" x14ac:dyDescent="0.2">
      <c r="A196" s="1279"/>
      <c r="B196" s="1280"/>
      <c r="C196" s="1281"/>
      <c r="D196" s="1280"/>
      <c r="E196" s="1280"/>
      <c r="F196" s="1281"/>
      <c r="G196" s="1291"/>
      <c r="H196" s="1289"/>
      <c r="I196" s="1290"/>
      <c r="J196" s="1359">
        <v>159</v>
      </c>
      <c r="K196" s="1315" t="s">
        <v>1615</v>
      </c>
      <c r="L196" s="1353" t="s">
        <v>1318</v>
      </c>
      <c r="M196" s="1359">
        <v>8</v>
      </c>
      <c r="N196" s="3246"/>
      <c r="O196" s="3246"/>
      <c r="P196" s="3249"/>
      <c r="Q196" s="1188"/>
      <c r="R196" s="3278"/>
      <c r="S196" s="3249"/>
      <c r="T196" s="1360" t="s">
        <v>1616</v>
      </c>
      <c r="U196" s="1288" t="s">
        <v>1617</v>
      </c>
      <c r="V196" s="265">
        <v>0</v>
      </c>
      <c r="W196" s="3274"/>
      <c r="X196" s="3246"/>
      <c r="Y196" s="3246"/>
      <c r="Z196" s="3246"/>
      <c r="AA196" s="3287"/>
      <c r="AB196" s="3287"/>
      <c r="AC196" s="3287"/>
      <c r="AD196" s="3287"/>
      <c r="AE196" s="3287"/>
      <c r="AF196" s="3287"/>
      <c r="AG196" s="3287"/>
      <c r="AH196" s="3287"/>
      <c r="AI196" s="3287"/>
      <c r="AJ196" s="3287"/>
      <c r="AK196" s="3287"/>
      <c r="AL196" s="3287"/>
      <c r="AM196" s="3287"/>
      <c r="AN196" s="3287"/>
      <c r="AO196" s="3264"/>
      <c r="AP196" s="3264"/>
      <c r="AQ196" s="3267"/>
    </row>
    <row r="197" spans="1:343" s="1303" customFormat="1" ht="36" customHeight="1" x14ac:dyDescent="0.2">
      <c r="A197" s="1265"/>
      <c r="B197" s="1266"/>
      <c r="C197" s="1267"/>
      <c r="D197" s="1266"/>
      <c r="E197" s="1266"/>
      <c r="F197" s="1267"/>
      <c r="G197" s="1299">
        <v>46</v>
      </c>
      <c r="H197" s="1271" t="s">
        <v>1618</v>
      </c>
      <c r="I197" s="1271"/>
      <c r="J197" s="1271"/>
      <c r="K197" s="1272"/>
      <c r="L197" s="1271"/>
      <c r="M197" s="1271"/>
      <c r="N197" s="1273"/>
      <c r="O197" s="1271"/>
      <c r="P197" s="1272"/>
      <c r="Q197" s="1271"/>
      <c r="R197" s="1271"/>
      <c r="S197" s="1271"/>
      <c r="T197" s="1272"/>
      <c r="U197" s="1272"/>
      <c r="V197" s="1300"/>
      <c r="W197" s="1301"/>
      <c r="X197" s="1273"/>
      <c r="Y197" s="1273"/>
      <c r="Z197" s="1273"/>
      <c r="AA197" s="1302"/>
      <c r="AB197" s="1302"/>
      <c r="AC197" s="1273"/>
      <c r="AD197" s="1302"/>
      <c r="AE197" s="1302"/>
      <c r="AF197" s="1302"/>
      <c r="AG197" s="1302"/>
      <c r="AH197" s="1302"/>
      <c r="AI197" s="1302"/>
      <c r="AJ197" s="1273"/>
      <c r="AK197" s="1302"/>
      <c r="AL197" s="1302"/>
      <c r="AM197" s="1273"/>
      <c r="AN197" s="1302"/>
      <c r="AO197" s="1271"/>
      <c r="AP197" s="1271"/>
      <c r="AQ197" s="1278"/>
    </row>
    <row r="198" spans="1:343" ht="31.5" customHeight="1" x14ac:dyDescent="0.2">
      <c r="A198" s="1279"/>
      <c r="B198" s="1280"/>
      <c r="C198" s="1281"/>
      <c r="D198" s="1280"/>
      <c r="E198" s="1280"/>
      <c r="F198" s="1281"/>
      <c r="G198" s="1282"/>
      <c r="H198" s="1283"/>
      <c r="I198" s="1284"/>
      <c r="J198" s="3268">
        <v>160</v>
      </c>
      <c r="K198" s="3247" t="s">
        <v>1619</v>
      </c>
      <c r="L198" s="3244" t="s">
        <v>1318</v>
      </c>
      <c r="M198" s="3244">
        <v>300</v>
      </c>
      <c r="N198" s="3244" t="s">
        <v>1620</v>
      </c>
      <c r="O198" s="3244">
        <v>151</v>
      </c>
      <c r="P198" s="3247" t="s">
        <v>1621</v>
      </c>
      <c r="Q198" s="2622">
        <v>1</v>
      </c>
      <c r="R198" s="3276">
        <f>SUM(V198:V204)</f>
        <v>1240264170</v>
      </c>
      <c r="S198" s="3247" t="s">
        <v>1622</v>
      </c>
      <c r="T198" s="3259" t="s">
        <v>1623</v>
      </c>
      <c r="U198" s="1288" t="s">
        <v>1624</v>
      </c>
      <c r="V198" s="265">
        <v>750441270</v>
      </c>
      <c r="W198" s="3272">
        <v>61</v>
      </c>
      <c r="X198" s="3244" t="s">
        <v>1324</v>
      </c>
      <c r="Y198" s="3244">
        <v>292684</v>
      </c>
      <c r="Z198" s="3244">
        <v>282326</v>
      </c>
      <c r="AA198" s="3244">
        <v>135912</v>
      </c>
      <c r="AB198" s="3244">
        <v>45122</v>
      </c>
      <c r="AC198" s="3244">
        <f>SUM(AC192)</f>
        <v>307101</v>
      </c>
      <c r="AD198" s="3244">
        <f>SUM(AD192)</f>
        <v>86875</v>
      </c>
      <c r="AE198" s="3244">
        <v>2145</v>
      </c>
      <c r="AF198" s="3244">
        <v>12718</v>
      </c>
      <c r="AG198" s="3244">
        <v>26</v>
      </c>
      <c r="AH198" s="3244">
        <v>37</v>
      </c>
      <c r="AI198" s="3244" t="s">
        <v>1325</v>
      </c>
      <c r="AJ198" s="3244" t="s">
        <v>1325</v>
      </c>
      <c r="AK198" s="3244">
        <v>53164</v>
      </c>
      <c r="AL198" s="3244">
        <v>16982</v>
      </c>
      <c r="AM198" s="3244">
        <v>60013</v>
      </c>
      <c r="AN198" s="3244">
        <v>575010</v>
      </c>
      <c r="AO198" s="3345">
        <v>43101</v>
      </c>
      <c r="AP198" s="3345">
        <v>43465</v>
      </c>
      <c r="AQ198" s="3265" t="s">
        <v>1326</v>
      </c>
    </row>
    <row r="199" spans="1:343" ht="31.5" customHeight="1" x14ac:dyDescent="0.2">
      <c r="A199" s="1279"/>
      <c r="B199" s="1280"/>
      <c r="C199" s="1281"/>
      <c r="D199" s="1280"/>
      <c r="E199" s="1280"/>
      <c r="F199" s="1281"/>
      <c r="G199" s="1287"/>
      <c r="H199" s="1280"/>
      <c r="I199" s="1281"/>
      <c r="J199" s="3268"/>
      <c r="K199" s="3248"/>
      <c r="L199" s="3245"/>
      <c r="M199" s="3245"/>
      <c r="N199" s="3245"/>
      <c r="O199" s="3245"/>
      <c r="P199" s="3248"/>
      <c r="Q199" s="2623"/>
      <c r="R199" s="3277"/>
      <c r="S199" s="3248"/>
      <c r="T199" s="3260"/>
      <c r="U199" s="1288" t="s">
        <v>1625</v>
      </c>
      <c r="V199" s="265">
        <v>82822900</v>
      </c>
      <c r="W199" s="3273"/>
      <c r="X199" s="3245"/>
      <c r="Y199" s="3245"/>
      <c r="Z199" s="3245"/>
      <c r="AA199" s="3245"/>
      <c r="AB199" s="3245"/>
      <c r="AC199" s="3245"/>
      <c r="AD199" s="3245"/>
      <c r="AE199" s="3245"/>
      <c r="AF199" s="3245"/>
      <c r="AG199" s="3245"/>
      <c r="AH199" s="3245"/>
      <c r="AI199" s="3245"/>
      <c r="AJ199" s="3245"/>
      <c r="AK199" s="3245"/>
      <c r="AL199" s="3245"/>
      <c r="AM199" s="3245"/>
      <c r="AN199" s="3245"/>
      <c r="AO199" s="3345"/>
      <c r="AP199" s="3345"/>
      <c r="AQ199" s="3266"/>
    </row>
    <row r="200" spans="1:343" ht="90" x14ac:dyDescent="0.2">
      <c r="A200" s="1279"/>
      <c r="B200" s="1280"/>
      <c r="C200" s="1281"/>
      <c r="D200" s="1280"/>
      <c r="E200" s="1280"/>
      <c r="F200" s="1281"/>
      <c r="G200" s="1287"/>
      <c r="H200" s="1280"/>
      <c r="I200" s="1281"/>
      <c r="J200" s="3268"/>
      <c r="K200" s="3248"/>
      <c r="L200" s="3245"/>
      <c r="M200" s="3245"/>
      <c r="N200" s="3245"/>
      <c r="O200" s="3245"/>
      <c r="P200" s="3248"/>
      <c r="Q200" s="2623"/>
      <c r="R200" s="3277"/>
      <c r="S200" s="3248"/>
      <c r="T200" s="3260"/>
      <c r="U200" s="1288" t="s">
        <v>1626</v>
      </c>
      <c r="V200" s="265">
        <v>74900000</v>
      </c>
      <c r="W200" s="3273"/>
      <c r="X200" s="3245"/>
      <c r="Y200" s="3245"/>
      <c r="Z200" s="3245"/>
      <c r="AA200" s="3245"/>
      <c r="AB200" s="3245"/>
      <c r="AC200" s="3245"/>
      <c r="AD200" s="3245"/>
      <c r="AE200" s="3245"/>
      <c r="AF200" s="3245"/>
      <c r="AG200" s="3245"/>
      <c r="AH200" s="3245"/>
      <c r="AI200" s="3245"/>
      <c r="AJ200" s="3245"/>
      <c r="AK200" s="3245"/>
      <c r="AL200" s="3245"/>
      <c r="AM200" s="3245"/>
      <c r="AN200" s="3245"/>
      <c r="AO200" s="3345"/>
      <c r="AP200" s="3345"/>
      <c r="AQ200" s="3266"/>
    </row>
    <row r="201" spans="1:343" ht="60" x14ac:dyDescent="0.2">
      <c r="A201" s="1279"/>
      <c r="B201" s="1280"/>
      <c r="C201" s="1281"/>
      <c r="D201" s="1280"/>
      <c r="E201" s="1280"/>
      <c r="F201" s="1281"/>
      <c r="G201" s="1287"/>
      <c r="H201" s="1280"/>
      <c r="I201" s="1281"/>
      <c r="J201" s="3268"/>
      <c r="K201" s="3248"/>
      <c r="L201" s="3245"/>
      <c r="M201" s="3245"/>
      <c r="N201" s="3245"/>
      <c r="O201" s="3245"/>
      <c r="P201" s="3248"/>
      <c r="Q201" s="2623"/>
      <c r="R201" s="3277"/>
      <c r="S201" s="3248"/>
      <c r="T201" s="3261"/>
      <c r="U201" s="1288" t="s">
        <v>1627</v>
      </c>
      <c r="V201" s="265">
        <v>40630000</v>
      </c>
      <c r="W201" s="3273"/>
      <c r="X201" s="3245"/>
      <c r="Y201" s="3245"/>
      <c r="Z201" s="3245"/>
      <c r="AA201" s="3245"/>
      <c r="AB201" s="3245"/>
      <c r="AC201" s="3245"/>
      <c r="AD201" s="3245"/>
      <c r="AE201" s="3245"/>
      <c r="AF201" s="3245"/>
      <c r="AG201" s="3245"/>
      <c r="AH201" s="3245"/>
      <c r="AI201" s="3245"/>
      <c r="AJ201" s="3245"/>
      <c r="AK201" s="3245"/>
      <c r="AL201" s="3245"/>
      <c r="AM201" s="3245"/>
      <c r="AN201" s="3245"/>
      <c r="AO201" s="3345"/>
      <c r="AP201" s="3345"/>
      <c r="AQ201" s="3266"/>
    </row>
    <row r="202" spans="1:343" ht="66" customHeight="1" x14ac:dyDescent="0.2">
      <c r="A202" s="1279"/>
      <c r="B202" s="1280"/>
      <c r="C202" s="1281"/>
      <c r="D202" s="1280"/>
      <c r="E202" s="1280"/>
      <c r="F202" s="1281"/>
      <c r="G202" s="1287"/>
      <c r="H202" s="1280"/>
      <c r="I202" s="1281"/>
      <c r="J202" s="3268"/>
      <c r="K202" s="3248"/>
      <c r="L202" s="3245"/>
      <c r="M202" s="3245"/>
      <c r="N202" s="3245"/>
      <c r="O202" s="3245"/>
      <c r="P202" s="3248"/>
      <c r="Q202" s="2623"/>
      <c r="R202" s="3277"/>
      <c r="S202" s="3248"/>
      <c r="T202" s="3346" t="s">
        <v>1628</v>
      </c>
      <c r="U202" s="1288" t="s">
        <v>1629</v>
      </c>
      <c r="V202" s="265">
        <v>44000000</v>
      </c>
      <c r="W202" s="3273"/>
      <c r="X202" s="3245"/>
      <c r="Y202" s="3245"/>
      <c r="Z202" s="3245"/>
      <c r="AA202" s="3245"/>
      <c r="AB202" s="3245"/>
      <c r="AC202" s="3245"/>
      <c r="AD202" s="3245"/>
      <c r="AE202" s="3245"/>
      <c r="AF202" s="3245"/>
      <c r="AG202" s="3245"/>
      <c r="AH202" s="3245"/>
      <c r="AI202" s="3245"/>
      <c r="AJ202" s="3245"/>
      <c r="AK202" s="3245"/>
      <c r="AL202" s="3245"/>
      <c r="AM202" s="3245"/>
      <c r="AN202" s="3245"/>
      <c r="AO202" s="3345"/>
      <c r="AP202" s="3345"/>
      <c r="AQ202" s="3266"/>
    </row>
    <row r="203" spans="1:343" ht="45" x14ac:dyDescent="0.2">
      <c r="A203" s="1279"/>
      <c r="B203" s="1280"/>
      <c r="C203" s="1281"/>
      <c r="D203" s="1280"/>
      <c r="E203" s="1280"/>
      <c r="F203" s="1281"/>
      <c r="G203" s="1287"/>
      <c r="H203" s="1280"/>
      <c r="I203" s="1281"/>
      <c r="J203" s="3268"/>
      <c r="K203" s="3248"/>
      <c r="L203" s="3245"/>
      <c r="M203" s="3245"/>
      <c r="N203" s="3245"/>
      <c r="O203" s="3245"/>
      <c r="P203" s="3248"/>
      <c r="Q203" s="2623"/>
      <c r="R203" s="3277"/>
      <c r="S203" s="3248"/>
      <c r="T203" s="3347"/>
      <c r="U203" s="1288" t="s">
        <v>1630</v>
      </c>
      <c r="V203" s="265">
        <v>140470000</v>
      </c>
      <c r="W203" s="3273"/>
      <c r="X203" s="3245"/>
      <c r="Y203" s="3245"/>
      <c r="Z203" s="3245"/>
      <c r="AA203" s="3245"/>
      <c r="AB203" s="3245"/>
      <c r="AC203" s="3245"/>
      <c r="AD203" s="3245"/>
      <c r="AE203" s="3245"/>
      <c r="AF203" s="3245"/>
      <c r="AG203" s="3245"/>
      <c r="AH203" s="3245"/>
      <c r="AI203" s="3245"/>
      <c r="AJ203" s="3245"/>
      <c r="AK203" s="3245"/>
      <c r="AL203" s="3245"/>
      <c r="AM203" s="3245"/>
      <c r="AN203" s="3245"/>
      <c r="AO203" s="3345"/>
      <c r="AP203" s="3345"/>
      <c r="AQ203" s="3266"/>
    </row>
    <row r="204" spans="1:343" ht="49.5" customHeight="1" x14ac:dyDescent="0.2">
      <c r="A204" s="1279"/>
      <c r="B204" s="1280"/>
      <c r="C204" s="1281"/>
      <c r="D204" s="1280"/>
      <c r="E204" s="1280"/>
      <c r="F204" s="1281"/>
      <c r="G204" s="1287"/>
      <c r="H204" s="1280"/>
      <c r="I204" s="1281"/>
      <c r="J204" s="3268"/>
      <c r="K204" s="3249"/>
      <c r="L204" s="3246"/>
      <c r="M204" s="3246"/>
      <c r="N204" s="3246"/>
      <c r="O204" s="3246"/>
      <c r="P204" s="3249"/>
      <c r="Q204" s="2651"/>
      <c r="R204" s="3278"/>
      <c r="S204" s="3249"/>
      <c r="T204" s="1361" t="s">
        <v>1631</v>
      </c>
      <c r="U204" s="1288" t="s">
        <v>1632</v>
      </c>
      <c r="V204" s="265">
        <v>107000000</v>
      </c>
      <c r="W204" s="3274"/>
      <c r="X204" s="3246"/>
      <c r="Y204" s="3246"/>
      <c r="Z204" s="3246"/>
      <c r="AA204" s="3246"/>
      <c r="AB204" s="3246"/>
      <c r="AC204" s="3246"/>
      <c r="AD204" s="3246"/>
      <c r="AE204" s="3246"/>
      <c r="AF204" s="3246"/>
      <c r="AG204" s="3246"/>
      <c r="AH204" s="3246"/>
      <c r="AI204" s="3246"/>
      <c r="AJ204" s="3246"/>
      <c r="AK204" s="3246"/>
      <c r="AL204" s="3246"/>
      <c r="AM204" s="3246"/>
      <c r="AN204" s="3246"/>
      <c r="AO204" s="3345"/>
      <c r="AP204" s="3345"/>
      <c r="AQ204" s="3267"/>
      <c r="BU204" s="1286"/>
      <c r="BV204" s="1286"/>
      <c r="BW204" s="1286"/>
      <c r="BX204" s="1286"/>
      <c r="BY204" s="1286"/>
      <c r="BZ204" s="1286"/>
      <c r="CA204" s="1286"/>
      <c r="CB204" s="1286"/>
      <c r="CC204" s="1286"/>
      <c r="CD204" s="1286"/>
      <c r="CE204" s="1286"/>
      <c r="CF204" s="1286"/>
      <c r="CG204" s="1286"/>
    </row>
    <row r="205" spans="1:343" s="1362" customFormat="1" ht="54.75" customHeight="1" x14ac:dyDescent="0.2">
      <c r="A205" s="1279"/>
      <c r="B205" s="1280"/>
      <c r="C205" s="1281"/>
      <c r="D205" s="1280"/>
      <c r="E205" s="1280"/>
      <c r="F205" s="1281"/>
      <c r="G205" s="1287"/>
      <c r="H205" s="1280"/>
      <c r="I205" s="1281"/>
      <c r="J205" s="3244">
        <v>161</v>
      </c>
      <c r="K205" s="3247" t="s">
        <v>1633</v>
      </c>
      <c r="L205" s="3244" t="s">
        <v>1318</v>
      </c>
      <c r="M205" s="3244">
        <v>100</v>
      </c>
      <c r="N205" s="3244" t="s">
        <v>1634</v>
      </c>
      <c r="O205" s="3244">
        <v>152</v>
      </c>
      <c r="P205" s="3247" t="s">
        <v>1635</v>
      </c>
      <c r="Q205" s="2622">
        <f>(V205+V207+V208+V206)/R205</f>
        <v>0.29663193539808119</v>
      </c>
      <c r="R205" s="3348">
        <f>SUM(V205:V213)</f>
        <v>459626843</v>
      </c>
      <c r="S205" s="3247" t="s">
        <v>1636</v>
      </c>
      <c r="T205" s="3247" t="s">
        <v>1637</v>
      </c>
      <c r="U205" s="1288" t="s">
        <v>1638</v>
      </c>
      <c r="V205" s="265">
        <v>25500000</v>
      </c>
      <c r="W205" s="3272">
        <v>61</v>
      </c>
      <c r="X205" s="3244" t="s">
        <v>1324</v>
      </c>
      <c r="Y205" s="3244">
        <v>292684</v>
      </c>
      <c r="Z205" s="3244">
        <v>282326</v>
      </c>
      <c r="AA205" s="3253">
        <v>135912</v>
      </c>
      <c r="AB205" s="3253">
        <v>45122</v>
      </c>
      <c r="AC205" s="3253">
        <f t="shared" ref="AC205:AD205" si="3">AC198</f>
        <v>307101</v>
      </c>
      <c r="AD205" s="3253">
        <f t="shared" si="3"/>
        <v>86875</v>
      </c>
      <c r="AE205" s="3253">
        <v>2145</v>
      </c>
      <c r="AF205" s="3253">
        <v>12718</v>
      </c>
      <c r="AG205" s="3253">
        <v>26</v>
      </c>
      <c r="AH205" s="3253">
        <v>37</v>
      </c>
      <c r="AI205" s="3253" t="s">
        <v>1325</v>
      </c>
      <c r="AJ205" s="3253" t="s">
        <v>1325</v>
      </c>
      <c r="AK205" s="3253">
        <v>53164</v>
      </c>
      <c r="AL205" s="3253">
        <v>16982</v>
      </c>
      <c r="AM205" s="3253">
        <v>60013</v>
      </c>
      <c r="AN205" s="3253">
        <v>575010</v>
      </c>
      <c r="AO205" s="3262">
        <v>43101</v>
      </c>
      <c r="AP205" s="3262">
        <v>43465</v>
      </c>
      <c r="AQ205" s="3265" t="s">
        <v>1326</v>
      </c>
      <c r="AR205" s="1286"/>
      <c r="AS205" s="1286"/>
      <c r="AT205" s="1286"/>
      <c r="AU205" s="1286"/>
      <c r="AV205" s="1286"/>
      <c r="AW205" s="1286"/>
      <c r="AX205" s="1286"/>
      <c r="AY205" s="1286"/>
      <c r="AZ205" s="1286"/>
      <c r="BA205" s="1286"/>
      <c r="BB205" s="1286"/>
      <c r="BC205" s="1286"/>
      <c r="BD205" s="1286"/>
      <c r="BE205" s="1286"/>
      <c r="BF205" s="1286"/>
      <c r="BG205" s="1286"/>
      <c r="BH205" s="1286"/>
      <c r="BI205" s="1286"/>
      <c r="BJ205" s="1286"/>
      <c r="BK205" s="1286"/>
      <c r="BL205" s="1286"/>
      <c r="BM205" s="1286"/>
      <c r="BN205" s="1286"/>
      <c r="BO205" s="1286"/>
      <c r="BP205" s="1286"/>
      <c r="BQ205" s="1286"/>
      <c r="BR205" s="1286"/>
      <c r="BS205" s="1286"/>
      <c r="BT205" s="1286"/>
      <c r="BU205" s="1286"/>
      <c r="BV205" s="1286"/>
      <c r="BW205" s="1286"/>
      <c r="BX205" s="1286"/>
      <c r="BY205" s="1286"/>
      <c r="BZ205" s="1286"/>
      <c r="CA205" s="1286"/>
      <c r="CB205" s="1286"/>
      <c r="CC205" s="1286"/>
      <c r="CD205" s="1286"/>
      <c r="CE205" s="1286"/>
      <c r="CF205" s="1286"/>
      <c r="CG205" s="1286"/>
      <c r="CH205" s="1243"/>
      <c r="CI205" s="1243"/>
      <c r="CJ205" s="1243"/>
      <c r="CK205" s="1243"/>
      <c r="CL205" s="1243"/>
      <c r="CM205" s="1243"/>
      <c r="CN205" s="1243"/>
      <c r="CO205" s="1243"/>
      <c r="CP205" s="1243"/>
      <c r="CQ205" s="1243"/>
      <c r="CR205" s="1243"/>
      <c r="CS205" s="1243"/>
      <c r="CT205" s="1243"/>
      <c r="CU205" s="1243"/>
      <c r="CV205" s="1243"/>
      <c r="CW205" s="1243"/>
      <c r="CX205" s="1243"/>
      <c r="CY205" s="1243"/>
      <c r="CZ205" s="1243"/>
      <c r="DA205" s="1243"/>
      <c r="DB205" s="1243"/>
      <c r="DC205" s="1243"/>
      <c r="DD205" s="1243"/>
      <c r="DE205" s="1243"/>
      <c r="DF205" s="1243"/>
      <c r="DG205" s="1243"/>
      <c r="DH205" s="1243"/>
      <c r="DI205" s="1243"/>
      <c r="DJ205" s="1243"/>
      <c r="DK205" s="1243"/>
      <c r="DL205" s="1243"/>
      <c r="DM205" s="1243"/>
      <c r="DN205" s="1243"/>
      <c r="DO205" s="1243"/>
      <c r="DP205" s="1243"/>
      <c r="DQ205" s="1243"/>
      <c r="DR205" s="1243"/>
      <c r="DS205" s="1243"/>
      <c r="DT205" s="1243"/>
      <c r="DU205" s="1243"/>
      <c r="DV205" s="1243"/>
      <c r="DW205" s="1243"/>
      <c r="DX205" s="1243"/>
      <c r="DY205" s="1243"/>
      <c r="DZ205" s="1243"/>
      <c r="EA205" s="1243"/>
      <c r="EB205" s="1243"/>
      <c r="EC205" s="1243"/>
      <c r="ED205" s="1243"/>
      <c r="EE205" s="1243"/>
      <c r="EF205" s="1243"/>
      <c r="EG205" s="1243"/>
      <c r="EH205" s="1243"/>
      <c r="EI205" s="1243"/>
      <c r="EJ205" s="1243"/>
      <c r="EK205" s="1243"/>
      <c r="EL205" s="1243"/>
      <c r="EM205" s="1243"/>
      <c r="EN205" s="1243"/>
      <c r="EO205" s="1243"/>
      <c r="EP205" s="1243"/>
      <c r="EQ205" s="1243"/>
      <c r="ER205" s="1243"/>
      <c r="ES205" s="1243"/>
      <c r="ET205" s="1243"/>
      <c r="EU205" s="1243"/>
      <c r="EV205" s="1243"/>
      <c r="EW205" s="1243"/>
      <c r="EX205" s="1243"/>
      <c r="EY205" s="1243"/>
      <c r="EZ205" s="1243"/>
      <c r="FA205" s="1243"/>
      <c r="FB205" s="1243"/>
      <c r="FC205" s="1243"/>
      <c r="FD205" s="1243"/>
      <c r="FE205" s="1243"/>
      <c r="FF205" s="1243"/>
      <c r="FG205" s="1243"/>
      <c r="FH205" s="1243"/>
      <c r="FI205" s="1243"/>
      <c r="FJ205" s="1243"/>
      <c r="FK205" s="1243"/>
      <c r="FL205" s="1243"/>
      <c r="FM205" s="1243"/>
      <c r="FN205" s="1243"/>
      <c r="FO205" s="1243"/>
      <c r="FP205" s="1243"/>
      <c r="FQ205" s="1243"/>
      <c r="FR205" s="1243"/>
      <c r="FS205" s="1243"/>
      <c r="FT205" s="1243"/>
      <c r="FU205" s="1243"/>
      <c r="FV205" s="1243"/>
      <c r="FW205" s="1243"/>
      <c r="FX205" s="1243"/>
      <c r="FY205" s="1243"/>
      <c r="FZ205" s="1243"/>
      <c r="GA205" s="1243"/>
      <c r="GB205" s="1243"/>
      <c r="GC205" s="1243"/>
      <c r="GD205" s="1243"/>
      <c r="GE205" s="1243"/>
      <c r="GF205" s="1243"/>
      <c r="GG205" s="1243"/>
      <c r="GH205" s="1243"/>
      <c r="GI205" s="1243"/>
      <c r="GJ205" s="1243"/>
      <c r="GK205" s="1243"/>
      <c r="GL205" s="1243"/>
      <c r="GM205" s="1243"/>
      <c r="GN205" s="1243"/>
      <c r="GO205" s="1243"/>
      <c r="GP205" s="1243"/>
      <c r="GQ205" s="1243"/>
      <c r="GR205" s="1243"/>
      <c r="GS205" s="1243"/>
      <c r="GT205" s="1243"/>
      <c r="GU205" s="1243"/>
      <c r="GV205" s="1243"/>
      <c r="GW205" s="1243"/>
      <c r="GX205" s="1243"/>
      <c r="GY205" s="1243"/>
      <c r="GZ205" s="1243"/>
      <c r="HA205" s="1243"/>
      <c r="HB205" s="1243"/>
      <c r="HC205" s="1243"/>
      <c r="HD205" s="1243"/>
      <c r="HE205" s="1243"/>
      <c r="HF205" s="1243"/>
      <c r="HG205" s="1243"/>
      <c r="HH205" s="1243"/>
      <c r="HI205" s="1243"/>
      <c r="HJ205" s="1243"/>
      <c r="HK205" s="1243"/>
      <c r="HL205" s="1243"/>
      <c r="HM205" s="1243"/>
      <c r="HN205" s="1243"/>
      <c r="HO205" s="1243"/>
      <c r="HP205" s="1243"/>
      <c r="HQ205" s="1243"/>
      <c r="HR205" s="1243"/>
      <c r="HS205" s="1243"/>
      <c r="HT205" s="1243"/>
      <c r="HU205" s="1243"/>
      <c r="HV205" s="1243"/>
      <c r="HW205" s="1243"/>
      <c r="HX205" s="1243"/>
      <c r="HY205" s="1243"/>
      <c r="HZ205" s="1243"/>
      <c r="IA205" s="1243"/>
      <c r="IB205" s="1243"/>
      <c r="IC205" s="1243"/>
      <c r="ID205" s="1243"/>
      <c r="IE205" s="1243"/>
      <c r="IF205" s="1243"/>
      <c r="IG205" s="1243"/>
      <c r="IH205" s="1243"/>
      <c r="II205" s="1243"/>
      <c r="IJ205" s="1243"/>
      <c r="IK205" s="1243"/>
      <c r="IL205" s="1243"/>
      <c r="IM205" s="1243"/>
      <c r="IN205" s="1243"/>
      <c r="IO205" s="1243"/>
      <c r="IP205" s="1243"/>
      <c r="IQ205" s="1243"/>
      <c r="IR205" s="1243"/>
      <c r="IS205" s="1243"/>
      <c r="IT205" s="1243"/>
      <c r="IU205" s="1243"/>
      <c r="IV205" s="1243"/>
      <c r="IW205" s="1243"/>
      <c r="IX205" s="1243"/>
      <c r="IY205" s="1243"/>
      <c r="IZ205" s="1243"/>
      <c r="JA205" s="1243"/>
      <c r="JB205" s="1243"/>
      <c r="JC205" s="1243"/>
      <c r="JD205" s="1243"/>
      <c r="JE205" s="1243"/>
      <c r="JF205" s="1243"/>
      <c r="JG205" s="1243"/>
      <c r="JH205" s="1243"/>
      <c r="JI205" s="1243"/>
      <c r="JJ205" s="1243"/>
      <c r="JK205" s="1243"/>
      <c r="JL205" s="1243"/>
      <c r="JM205" s="1243"/>
      <c r="JN205" s="1243"/>
      <c r="JO205" s="1243"/>
      <c r="JP205" s="1243"/>
      <c r="JQ205" s="1243"/>
      <c r="JR205" s="1243"/>
      <c r="JS205" s="1243"/>
      <c r="JT205" s="1243"/>
      <c r="JU205" s="1243"/>
      <c r="JV205" s="1243"/>
      <c r="JW205" s="1243"/>
      <c r="JX205" s="1243"/>
      <c r="JY205" s="1243"/>
      <c r="JZ205" s="1243"/>
      <c r="KA205" s="1243"/>
      <c r="KB205" s="1243"/>
      <c r="KC205" s="1243"/>
      <c r="KD205" s="1243"/>
      <c r="KE205" s="1243"/>
      <c r="KF205" s="1243"/>
      <c r="KG205" s="1243"/>
      <c r="KH205" s="1243"/>
      <c r="KI205" s="1243"/>
      <c r="KJ205" s="1243"/>
      <c r="KK205" s="1243"/>
      <c r="KL205" s="1243"/>
      <c r="KM205" s="1243"/>
      <c r="KN205" s="1243"/>
      <c r="KO205" s="1243"/>
      <c r="KP205" s="1243"/>
      <c r="KQ205" s="1243"/>
      <c r="KR205" s="1243"/>
      <c r="KS205" s="1243"/>
      <c r="KT205" s="1243"/>
      <c r="KU205" s="1243"/>
      <c r="KV205" s="1243"/>
      <c r="KW205" s="1243"/>
      <c r="KX205" s="1243"/>
      <c r="KY205" s="1243"/>
      <c r="KZ205" s="1243"/>
      <c r="LA205" s="1243"/>
      <c r="LB205" s="1243"/>
      <c r="LC205" s="1243"/>
      <c r="LD205" s="1243"/>
      <c r="LE205" s="1243"/>
      <c r="LF205" s="1243"/>
      <c r="LG205" s="1243"/>
      <c r="LH205" s="1243"/>
      <c r="LI205" s="1243"/>
      <c r="LJ205" s="1243"/>
      <c r="LK205" s="1243"/>
      <c r="LL205" s="1243"/>
      <c r="LM205" s="1243"/>
      <c r="LN205" s="1243"/>
      <c r="LO205" s="1243"/>
      <c r="LP205" s="1243"/>
      <c r="LQ205" s="1243"/>
      <c r="LR205" s="1243"/>
      <c r="LS205" s="1243"/>
      <c r="LT205" s="1243"/>
      <c r="LU205" s="1243"/>
      <c r="LV205" s="1243"/>
      <c r="LW205" s="1243"/>
      <c r="LX205" s="1243"/>
      <c r="LY205" s="1243"/>
      <c r="LZ205" s="1243"/>
      <c r="MA205" s="1243"/>
      <c r="MB205" s="1243"/>
      <c r="MC205" s="1243"/>
      <c r="MD205" s="1243"/>
      <c r="ME205" s="1243"/>
    </row>
    <row r="206" spans="1:343" s="1362" customFormat="1" ht="30" x14ac:dyDescent="0.2">
      <c r="A206" s="1279"/>
      <c r="B206" s="1280"/>
      <c r="C206" s="1281"/>
      <c r="D206" s="1280"/>
      <c r="E206" s="1280"/>
      <c r="F206" s="1281"/>
      <c r="G206" s="1287"/>
      <c r="H206" s="1280"/>
      <c r="I206" s="1281"/>
      <c r="J206" s="3245"/>
      <c r="K206" s="3248"/>
      <c r="L206" s="3245"/>
      <c r="M206" s="3245"/>
      <c r="N206" s="3245"/>
      <c r="O206" s="3245"/>
      <c r="P206" s="3248"/>
      <c r="Q206" s="2623"/>
      <c r="R206" s="3349"/>
      <c r="S206" s="3248"/>
      <c r="T206" s="3248"/>
      <c r="U206" s="1288" t="s">
        <v>1639</v>
      </c>
      <c r="V206" s="265">
        <v>45000000</v>
      </c>
      <c r="W206" s="3273"/>
      <c r="X206" s="3245"/>
      <c r="Y206" s="3245"/>
      <c r="Z206" s="3245"/>
      <c r="AA206" s="3254"/>
      <c r="AB206" s="3254"/>
      <c r="AC206" s="3254"/>
      <c r="AD206" s="3254"/>
      <c r="AE206" s="3254"/>
      <c r="AF206" s="3254"/>
      <c r="AG206" s="3254"/>
      <c r="AH206" s="3254"/>
      <c r="AI206" s="3254"/>
      <c r="AJ206" s="3254"/>
      <c r="AK206" s="3254"/>
      <c r="AL206" s="3254"/>
      <c r="AM206" s="3254"/>
      <c r="AN206" s="3254"/>
      <c r="AO206" s="3263"/>
      <c r="AP206" s="3263"/>
      <c r="AQ206" s="3266"/>
      <c r="AR206" s="1286"/>
      <c r="AS206" s="1286"/>
      <c r="AT206" s="1286"/>
      <c r="AU206" s="1286"/>
      <c r="AV206" s="1286"/>
      <c r="AW206" s="1286"/>
      <c r="AX206" s="1286"/>
      <c r="AY206" s="1286"/>
      <c r="AZ206" s="1286"/>
      <c r="BA206" s="1286"/>
      <c r="BB206" s="1286"/>
      <c r="BC206" s="1286"/>
      <c r="BD206" s="1286"/>
      <c r="BE206" s="1286"/>
      <c r="BF206" s="1286"/>
      <c r="BG206" s="1286"/>
      <c r="BH206" s="1286"/>
      <c r="BI206" s="1286"/>
      <c r="BJ206" s="1286"/>
      <c r="BK206" s="1286"/>
      <c r="BL206" s="1286"/>
      <c r="BM206" s="1286"/>
      <c r="BN206" s="1286"/>
      <c r="BO206" s="1286"/>
      <c r="BP206" s="1286"/>
      <c r="BQ206" s="1286"/>
      <c r="BR206" s="1286"/>
      <c r="BS206" s="1286"/>
      <c r="BT206" s="1286"/>
      <c r="BU206" s="1286"/>
      <c r="BV206" s="1286"/>
      <c r="BW206" s="1286"/>
      <c r="BX206" s="1286"/>
      <c r="BY206" s="1286"/>
      <c r="BZ206" s="1286"/>
      <c r="CA206" s="1286"/>
      <c r="CB206" s="1286"/>
      <c r="CC206" s="1286"/>
      <c r="CD206" s="1286"/>
      <c r="CE206" s="1286"/>
      <c r="CF206" s="1286"/>
      <c r="CG206" s="1286"/>
      <c r="CH206" s="1243"/>
      <c r="CI206" s="1243"/>
      <c r="CJ206" s="1243"/>
      <c r="CK206" s="1243"/>
      <c r="CL206" s="1243"/>
      <c r="CM206" s="1243"/>
      <c r="CN206" s="1243"/>
      <c r="CO206" s="1243"/>
      <c r="CP206" s="1243"/>
      <c r="CQ206" s="1243"/>
      <c r="CR206" s="1243"/>
      <c r="CS206" s="1243"/>
      <c r="CT206" s="1243"/>
      <c r="CU206" s="1243"/>
      <c r="CV206" s="1243"/>
      <c r="CW206" s="1243"/>
      <c r="CX206" s="1243"/>
      <c r="CY206" s="1243"/>
      <c r="CZ206" s="1243"/>
      <c r="DA206" s="1243"/>
      <c r="DB206" s="1243"/>
      <c r="DC206" s="1243"/>
      <c r="DD206" s="1243"/>
      <c r="DE206" s="1243"/>
      <c r="DF206" s="1243"/>
      <c r="DG206" s="1243"/>
      <c r="DH206" s="1243"/>
      <c r="DI206" s="1243"/>
      <c r="DJ206" s="1243"/>
      <c r="DK206" s="1243"/>
      <c r="DL206" s="1243"/>
      <c r="DM206" s="1243"/>
      <c r="DN206" s="1243"/>
      <c r="DO206" s="1243"/>
      <c r="DP206" s="1243"/>
      <c r="DQ206" s="1243"/>
      <c r="DR206" s="1243"/>
      <c r="DS206" s="1243"/>
      <c r="DT206" s="1243"/>
      <c r="DU206" s="1243"/>
      <c r="DV206" s="1243"/>
      <c r="DW206" s="1243"/>
      <c r="DX206" s="1243"/>
      <c r="DY206" s="1243"/>
      <c r="DZ206" s="1243"/>
      <c r="EA206" s="1243"/>
      <c r="EB206" s="1243"/>
      <c r="EC206" s="1243"/>
      <c r="ED206" s="1243"/>
      <c r="EE206" s="1243"/>
      <c r="EF206" s="1243"/>
      <c r="EG206" s="1243"/>
      <c r="EH206" s="1243"/>
      <c r="EI206" s="1243"/>
      <c r="EJ206" s="1243"/>
      <c r="EK206" s="1243"/>
      <c r="EL206" s="1243"/>
      <c r="EM206" s="1243"/>
      <c r="EN206" s="1243"/>
      <c r="EO206" s="1243"/>
      <c r="EP206" s="1243"/>
      <c r="EQ206" s="1243"/>
      <c r="ER206" s="1243"/>
      <c r="ES206" s="1243"/>
      <c r="ET206" s="1243"/>
      <c r="EU206" s="1243"/>
      <c r="EV206" s="1243"/>
      <c r="EW206" s="1243"/>
      <c r="EX206" s="1243"/>
      <c r="EY206" s="1243"/>
      <c r="EZ206" s="1243"/>
      <c r="FA206" s="1243"/>
      <c r="FB206" s="1243"/>
      <c r="FC206" s="1243"/>
      <c r="FD206" s="1243"/>
      <c r="FE206" s="1243"/>
      <c r="FF206" s="1243"/>
      <c r="FG206" s="1243"/>
      <c r="FH206" s="1243"/>
      <c r="FI206" s="1243"/>
      <c r="FJ206" s="1243"/>
      <c r="FK206" s="1243"/>
      <c r="FL206" s="1243"/>
      <c r="FM206" s="1243"/>
      <c r="FN206" s="1243"/>
      <c r="FO206" s="1243"/>
      <c r="FP206" s="1243"/>
      <c r="FQ206" s="1243"/>
      <c r="FR206" s="1243"/>
      <c r="FS206" s="1243"/>
      <c r="FT206" s="1243"/>
      <c r="FU206" s="1243"/>
      <c r="FV206" s="1243"/>
      <c r="FW206" s="1243"/>
      <c r="FX206" s="1243"/>
      <c r="FY206" s="1243"/>
      <c r="FZ206" s="1243"/>
      <c r="GA206" s="1243"/>
      <c r="GB206" s="1243"/>
      <c r="GC206" s="1243"/>
      <c r="GD206" s="1243"/>
      <c r="GE206" s="1243"/>
      <c r="GF206" s="1243"/>
      <c r="GG206" s="1243"/>
      <c r="GH206" s="1243"/>
      <c r="GI206" s="1243"/>
      <c r="GJ206" s="1243"/>
      <c r="GK206" s="1243"/>
      <c r="GL206" s="1243"/>
      <c r="GM206" s="1243"/>
      <c r="GN206" s="1243"/>
      <c r="GO206" s="1243"/>
      <c r="GP206" s="1243"/>
      <c r="GQ206" s="1243"/>
      <c r="GR206" s="1243"/>
      <c r="GS206" s="1243"/>
      <c r="GT206" s="1243"/>
      <c r="GU206" s="1243"/>
      <c r="GV206" s="1243"/>
      <c r="GW206" s="1243"/>
      <c r="GX206" s="1243"/>
      <c r="GY206" s="1243"/>
      <c r="GZ206" s="1243"/>
      <c r="HA206" s="1243"/>
      <c r="HB206" s="1243"/>
      <c r="HC206" s="1243"/>
      <c r="HD206" s="1243"/>
      <c r="HE206" s="1243"/>
      <c r="HF206" s="1243"/>
      <c r="HG206" s="1243"/>
      <c r="HH206" s="1243"/>
      <c r="HI206" s="1243"/>
      <c r="HJ206" s="1243"/>
      <c r="HK206" s="1243"/>
      <c r="HL206" s="1243"/>
      <c r="HM206" s="1243"/>
      <c r="HN206" s="1243"/>
      <c r="HO206" s="1243"/>
      <c r="HP206" s="1243"/>
      <c r="HQ206" s="1243"/>
      <c r="HR206" s="1243"/>
      <c r="HS206" s="1243"/>
      <c r="HT206" s="1243"/>
      <c r="HU206" s="1243"/>
      <c r="HV206" s="1243"/>
      <c r="HW206" s="1243"/>
      <c r="HX206" s="1243"/>
      <c r="HY206" s="1243"/>
      <c r="HZ206" s="1243"/>
      <c r="IA206" s="1243"/>
      <c r="IB206" s="1243"/>
      <c r="IC206" s="1243"/>
      <c r="ID206" s="1243"/>
      <c r="IE206" s="1243"/>
      <c r="IF206" s="1243"/>
      <c r="IG206" s="1243"/>
      <c r="IH206" s="1243"/>
      <c r="II206" s="1243"/>
      <c r="IJ206" s="1243"/>
      <c r="IK206" s="1243"/>
      <c r="IL206" s="1243"/>
      <c r="IM206" s="1243"/>
      <c r="IN206" s="1243"/>
      <c r="IO206" s="1243"/>
      <c r="IP206" s="1243"/>
      <c r="IQ206" s="1243"/>
      <c r="IR206" s="1243"/>
      <c r="IS206" s="1243"/>
      <c r="IT206" s="1243"/>
      <c r="IU206" s="1243"/>
      <c r="IV206" s="1243"/>
      <c r="IW206" s="1243"/>
      <c r="IX206" s="1243"/>
      <c r="IY206" s="1243"/>
      <c r="IZ206" s="1243"/>
      <c r="JA206" s="1243"/>
      <c r="JB206" s="1243"/>
      <c r="JC206" s="1243"/>
      <c r="JD206" s="1243"/>
      <c r="JE206" s="1243"/>
      <c r="JF206" s="1243"/>
      <c r="JG206" s="1243"/>
      <c r="JH206" s="1243"/>
      <c r="JI206" s="1243"/>
      <c r="JJ206" s="1243"/>
      <c r="JK206" s="1243"/>
      <c r="JL206" s="1243"/>
      <c r="JM206" s="1243"/>
      <c r="JN206" s="1243"/>
      <c r="JO206" s="1243"/>
      <c r="JP206" s="1243"/>
      <c r="JQ206" s="1243"/>
      <c r="JR206" s="1243"/>
      <c r="JS206" s="1243"/>
      <c r="JT206" s="1243"/>
      <c r="JU206" s="1243"/>
      <c r="JV206" s="1243"/>
      <c r="JW206" s="1243"/>
      <c r="JX206" s="1243"/>
      <c r="JY206" s="1243"/>
      <c r="JZ206" s="1243"/>
      <c r="KA206" s="1243"/>
      <c r="KB206" s="1243"/>
      <c r="KC206" s="1243"/>
      <c r="KD206" s="1243"/>
      <c r="KE206" s="1243"/>
      <c r="KF206" s="1243"/>
      <c r="KG206" s="1243"/>
      <c r="KH206" s="1243"/>
      <c r="KI206" s="1243"/>
      <c r="KJ206" s="1243"/>
      <c r="KK206" s="1243"/>
      <c r="KL206" s="1243"/>
      <c r="KM206" s="1243"/>
      <c r="KN206" s="1243"/>
      <c r="KO206" s="1243"/>
      <c r="KP206" s="1243"/>
      <c r="KQ206" s="1243"/>
      <c r="KR206" s="1243"/>
      <c r="KS206" s="1243"/>
      <c r="KT206" s="1243"/>
      <c r="KU206" s="1243"/>
      <c r="KV206" s="1243"/>
      <c r="KW206" s="1243"/>
      <c r="KX206" s="1243"/>
      <c r="KY206" s="1243"/>
      <c r="KZ206" s="1243"/>
      <c r="LA206" s="1243"/>
      <c r="LB206" s="1243"/>
      <c r="LC206" s="1243"/>
      <c r="LD206" s="1243"/>
      <c r="LE206" s="1243"/>
      <c r="LF206" s="1243"/>
      <c r="LG206" s="1243"/>
      <c r="LH206" s="1243"/>
      <c r="LI206" s="1243"/>
      <c r="LJ206" s="1243"/>
      <c r="LK206" s="1243"/>
      <c r="LL206" s="1243"/>
      <c r="LM206" s="1243"/>
      <c r="LN206" s="1243"/>
      <c r="LO206" s="1243"/>
      <c r="LP206" s="1243"/>
      <c r="LQ206" s="1243"/>
      <c r="LR206" s="1243"/>
      <c r="LS206" s="1243"/>
      <c r="LT206" s="1243"/>
      <c r="LU206" s="1243"/>
      <c r="LV206" s="1243"/>
      <c r="LW206" s="1243"/>
      <c r="LX206" s="1243"/>
      <c r="LY206" s="1243"/>
      <c r="LZ206" s="1243"/>
      <c r="MA206" s="1243"/>
      <c r="MB206" s="1243"/>
      <c r="MC206" s="1243"/>
      <c r="MD206" s="1243"/>
      <c r="ME206" s="1243"/>
    </row>
    <row r="207" spans="1:343" s="1362" customFormat="1" ht="105" x14ac:dyDescent="0.2">
      <c r="A207" s="1279"/>
      <c r="B207" s="1280"/>
      <c r="C207" s="1281"/>
      <c r="D207" s="1280"/>
      <c r="E207" s="1280"/>
      <c r="F207" s="1281"/>
      <c r="G207" s="1287"/>
      <c r="H207" s="1280"/>
      <c r="I207" s="1281"/>
      <c r="J207" s="3245"/>
      <c r="K207" s="3248"/>
      <c r="L207" s="3245"/>
      <c r="M207" s="3245"/>
      <c r="N207" s="3245"/>
      <c r="O207" s="3245"/>
      <c r="P207" s="3248"/>
      <c r="Q207" s="2623"/>
      <c r="R207" s="3349"/>
      <c r="S207" s="3248"/>
      <c r="T207" s="3248"/>
      <c r="U207" s="1288" t="s">
        <v>1640</v>
      </c>
      <c r="V207" s="265">
        <v>45000000</v>
      </c>
      <c r="W207" s="3273"/>
      <c r="X207" s="3245"/>
      <c r="Y207" s="3245"/>
      <c r="Z207" s="3245"/>
      <c r="AA207" s="3254"/>
      <c r="AB207" s="3254"/>
      <c r="AC207" s="3254"/>
      <c r="AD207" s="3254"/>
      <c r="AE207" s="3254"/>
      <c r="AF207" s="3254"/>
      <c r="AG207" s="3254"/>
      <c r="AH207" s="3254"/>
      <c r="AI207" s="3254"/>
      <c r="AJ207" s="3254"/>
      <c r="AK207" s="3254"/>
      <c r="AL207" s="3254"/>
      <c r="AM207" s="3254"/>
      <c r="AN207" s="3254"/>
      <c r="AO207" s="3263"/>
      <c r="AP207" s="3263"/>
      <c r="AQ207" s="3266"/>
      <c r="AR207" s="1286"/>
      <c r="AS207" s="1286"/>
      <c r="AT207" s="1286"/>
      <c r="AU207" s="1286"/>
      <c r="AV207" s="1286"/>
      <c r="AW207" s="1286"/>
      <c r="AX207" s="1286"/>
      <c r="AY207" s="1286"/>
      <c r="AZ207" s="1286"/>
      <c r="BA207" s="1286"/>
      <c r="BB207" s="1286"/>
      <c r="BC207" s="1286"/>
      <c r="BD207" s="1286"/>
      <c r="BE207" s="1286"/>
      <c r="BF207" s="1286"/>
      <c r="BG207" s="1286"/>
      <c r="BH207" s="1286"/>
      <c r="BI207" s="1286"/>
      <c r="BJ207" s="1286"/>
      <c r="BK207" s="1286"/>
      <c r="BL207" s="1286"/>
      <c r="BM207" s="1286"/>
      <c r="BN207" s="1286"/>
      <c r="BO207" s="1286"/>
      <c r="BP207" s="1286"/>
      <c r="BQ207" s="1286"/>
      <c r="BR207" s="1286"/>
      <c r="BS207" s="1286"/>
      <c r="BT207" s="1286"/>
      <c r="BU207" s="1286"/>
      <c r="BV207" s="1286"/>
      <c r="BW207" s="1286"/>
      <c r="BX207" s="1286"/>
      <c r="BY207" s="1286"/>
      <c r="BZ207" s="1286"/>
      <c r="CA207" s="1286"/>
      <c r="CB207" s="1286"/>
      <c r="CC207" s="1286"/>
      <c r="CD207" s="1286"/>
      <c r="CE207" s="1286"/>
      <c r="CF207" s="1286"/>
      <c r="CG207" s="1286"/>
      <c r="CH207" s="1243"/>
      <c r="CI207" s="1243"/>
      <c r="CJ207" s="1243"/>
      <c r="CK207" s="1243"/>
      <c r="CL207" s="1243"/>
      <c r="CM207" s="1243"/>
      <c r="CN207" s="1243"/>
      <c r="CO207" s="1243"/>
      <c r="CP207" s="1243"/>
      <c r="CQ207" s="1243"/>
      <c r="CR207" s="1243"/>
      <c r="CS207" s="1243"/>
      <c r="CT207" s="1243"/>
      <c r="CU207" s="1243"/>
      <c r="CV207" s="1243"/>
      <c r="CW207" s="1243"/>
      <c r="CX207" s="1243"/>
      <c r="CY207" s="1243"/>
      <c r="CZ207" s="1243"/>
      <c r="DA207" s="1243"/>
      <c r="DB207" s="1243"/>
      <c r="DC207" s="1243"/>
      <c r="DD207" s="1243"/>
      <c r="DE207" s="1243"/>
      <c r="DF207" s="1243"/>
      <c r="DG207" s="1243"/>
      <c r="DH207" s="1243"/>
      <c r="DI207" s="1243"/>
      <c r="DJ207" s="1243"/>
      <c r="DK207" s="1243"/>
      <c r="DL207" s="1243"/>
      <c r="DM207" s="1243"/>
      <c r="DN207" s="1243"/>
      <c r="DO207" s="1243"/>
      <c r="DP207" s="1243"/>
      <c r="DQ207" s="1243"/>
      <c r="DR207" s="1243"/>
      <c r="DS207" s="1243"/>
      <c r="DT207" s="1243"/>
      <c r="DU207" s="1243"/>
      <c r="DV207" s="1243"/>
      <c r="DW207" s="1243"/>
      <c r="DX207" s="1243"/>
      <c r="DY207" s="1243"/>
      <c r="DZ207" s="1243"/>
      <c r="EA207" s="1243"/>
      <c r="EB207" s="1243"/>
      <c r="EC207" s="1243"/>
      <c r="ED207" s="1243"/>
      <c r="EE207" s="1243"/>
      <c r="EF207" s="1243"/>
      <c r="EG207" s="1243"/>
      <c r="EH207" s="1243"/>
      <c r="EI207" s="1243"/>
      <c r="EJ207" s="1243"/>
      <c r="EK207" s="1243"/>
      <c r="EL207" s="1243"/>
      <c r="EM207" s="1243"/>
      <c r="EN207" s="1243"/>
      <c r="EO207" s="1243"/>
      <c r="EP207" s="1243"/>
      <c r="EQ207" s="1243"/>
      <c r="ER207" s="1243"/>
      <c r="ES207" s="1243"/>
      <c r="ET207" s="1243"/>
      <c r="EU207" s="1243"/>
      <c r="EV207" s="1243"/>
      <c r="EW207" s="1243"/>
      <c r="EX207" s="1243"/>
      <c r="EY207" s="1243"/>
      <c r="EZ207" s="1243"/>
      <c r="FA207" s="1243"/>
      <c r="FB207" s="1243"/>
      <c r="FC207" s="1243"/>
      <c r="FD207" s="1243"/>
      <c r="FE207" s="1243"/>
      <c r="FF207" s="1243"/>
      <c r="FG207" s="1243"/>
      <c r="FH207" s="1243"/>
      <c r="FI207" s="1243"/>
      <c r="FJ207" s="1243"/>
      <c r="FK207" s="1243"/>
      <c r="FL207" s="1243"/>
      <c r="FM207" s="1243"/>
      <c r="FN207" s="1243"/>
      <c r="FO207" s="1243"/>
      <c r="FP207" s="1243"/>
      <c r="FQ207" s="1243"/>
      <c r="FR207" s="1243"/>
      <c r="FS207" s="1243"/>
      <c r="FT207" s="1243"/>
      <c r="FU207" s="1243"/>
      <c r="FV207" s="1243"/>
      <c r="FW207" s="1243"/>
      <c r="FX207" s="1243"/>
      <c r="FY207" s="1243"/>
      <c r="FZ207" s="1243"/>
      <c r="GA207" s="1243"/>
      <c r="GB207" s="1243"/>
      <c r="GC207" s="1243"/>
      <c r="GD207" s="1243"/>
      <c r="GE207" s="1243"/>
      <c r="GF207" s="1243"/>
      <c r="GG207" s="1243"/>
      <c r="GH207" s="1243"/>
      <c r="GI207" s="1243"/>
      <c r="GJ207" s="1243"/>
      <c r="GK207" s="1243"/>
      <c r="GL207" s="1243"/>
      <c r="GM207" s="1243"/>
      <c r="GN207" s="1243"/>
      <c r="GO207" s="1243"/>
      <c r="GP207" s="1243"/>
      <c r="GQ207" s="1243"/>
      <c r="GR207" s="1243"/>
      <c r="GS207" s="1243"/>
      <c r="GT207" s="1243"/>
      <c r="GU207" s="1243"/>
      <c r="GV207" s="1243"/>
      <c r="GW207" s="1243"/>
      <c r="GX207" s="1243"/>
      <c r="GY207" s="1243"/>
      <c r="GZ207" s="1243"/>
      <c r="HA207" s="1243"/>
      <c r="HB207" s="1243"/>
      <c r="HC207" s="1243"/>
      <c r="HD207" s="1243"/>
      <c r="HE207" s="1243"/>
      <c r="HF207" s="1243"/>
      <c r="HG207" s="1243"/>
      <c r="HH207" s="1243"/>
      <c r="HI207" s="1243"/>
      <c r="HJ207" s="1243"/>
      <c r="HK207" s="1243"/>
      <c r="HL207" s="1243"/>
      <c r="HM207" s="1243"/>
      <c r="HN207" s="1243"/>
      <c r="HO207" s="1243"/>
      <c r="HP207" s="1243"/>
      <c r="HQ207" s="1243"/>
      <c r="HR207" s="1243"/>
      <c r="HS207" s="1243"/>
      <c r="HT207" s="1243"/>
      <c r="HU207" s="1243"/>
      <c r="HV207" s="1243"/>
      <c r="HW207" s="1243"/>
      <c r="HX207" s="1243"/>
      <c r="HY207" s="1243"/>
      <c r="HZ207" s="1243"/>
      <c r="IA207" s="1243"/>
      <c r="IB207" s="1243"/>
      <c r="IC207" s="1243"/>
      <c r="ID207" s="1243"/>
      <c r="IE207" s="1243"/>
      <c r="IF207" s="1243"/>
      <c r="IG207" s="1243"/>
      <c r="IH207" s="1243"/>
      <c r="II207" s="1243"/>
      <c r="IJ207" s="1243"/>
      <c r="IK207" s="1243"/>
      <c r="IL207" s="1243"/>
      <c r="IM207" s="1243"/>
      <c r="IN207" s="1243"/>
      <c r="IO207" s="1243"/>
      <c r="IP207" s="1243"/>
      <c r="IQ207" s="1243"/>
      <c r="IR207" s="1243"/>
      <c r="IS207" s="1243"/>
      <c r="IT207" s="1243"/>
      <c r="IU207" s="1243"/>
      <c r="IV207" s="1243"/>
      <c r="IW207" s="1243"/>
      <c r="IX207" s="1243"/>
      <c r="IY207" s="1243"/>
      <c r="IZ207" s="1243"/>
      <c r="JA207" s="1243"/>
      <c r="JB207" s="1243"/>
      <c r="JC207" s="1243"/>
      <c r="JD207" s="1243"/>
      <c r="JE207" s="1243"/>
      <c r="JF207" s="1243"/>
      <c r="JG207" s="1243"/>
      <c r="JH207" s="1243"/>
      <c r="JI207" s="1243"/>
      <c r="JJ207" s="1243"/>
      <c r="JK207" s="1243"/>
      <c r="JL207" s="1243"/>
      <c r="JM207" s="1243"/>
      <c r="JN207" s="1243"/>
      <c r="JO207" s="1243"/>
      <c r="JP207" s="1243"/>
      <c r="JQ207" s="1243"/>
      <c r="JR207" s="1243"/>
      <c r="JS207" s="1243"/>
      <c r="JT207" s="1243"/>
      <c r="JU207" s="1243"/>
      <c r="JV207" s="1243"/>
      <c r="JW207" s="1243"/>
      <c r="JX207" s="1243"/>
      <c r="JY207" s="1243"/>
      <c r="JZ207" s="1243"/>
      <c r="KA207" s="1243"/>
      <c r="KB207" s="1243"/>
      <c r="KC207" s="1243"/>
      <c r="KD207" s="1243"/>
      <c r="KE207" s="1243"/>
      <c r="KF207" s="1243"/>
      <c r="KG207" s="1243"/>
      <c r="KH207" s="1243"/>
      <c r="KI207" s="1243"/>
      <c r="KJ207" s="1243"/>
      <c r="KK207" s="1243"/>
      <c r="KL207" s="1243"/>
      <c r="KM207" s="1243"/>
      <c r="KN207" s="1243"/>
      <c r="KO207" s="1243"/>
      <c r="KP207" s="1243"/>
      <c r="KQ207" s="1243"/>
      <c r="KR207" s="1243"/>
      <c r="KS207" s="1243"/>
      <c r="KT207" s="1243"/>
      <c r="KU207" s="1243"/>
      <c r="KV207" s="1243"/>
      <c r="KW207" s="1243"/>
      <c r="KX207" s="1243"/>
      <c r="KY207" s="1243"/>
      <c r="KZ207" s="1243"/>
      <c r="LA207" s="1243"/>
      <c r="LB207" s="1243"/>
      <c r="LC207" s="1243"/>
      <c r="LD207" s="1243"/>
      <c r="LE207" s="1243"/>
      <c r="LF207" s="1243"/>
      <c r="LG207" s="1243"/>
      <c r="LH207" s="1243"/>
      <c r="LI207" s="1243"/>
      <c r="LJ207" s="1243"/>
      <c r="LK207" s="1243"/>
      <c r="LL207" s="1243"/>
      <c r="LM207" s="1243"/>
      <c r="LN207" s="1243"/>
      <c r="LO207" s="1243"/>
      <c r="LP207" s="1243"/>
      <c r="LQ207" s="1243"/>
      <c r="LR207" s="1243"/>
      <c r="LS207" s="1243"/>
      <c r="LT207" s="1243"/>
      <c r="LU207" s="1243"/>
      <c r="LV207" s="1243"/>
      <c r="LW207" s="1243"/>
      <c r="LX207" s="1243"/>
      <c r="LY207" s="1243"/>
      <c r="LZ207" s="1243"/>
      <c r="MA207" s="1243"/>
      <c r="MB207" s="1243"/>
      <c r="MC207" s="1243"/>
      <c r="MD207" s="1243"/>
      <c r="ME207" s="1243"/>
    </row>
    <row r="208" spans="1:343" s="1362" customFormat="1" ht="45" x14ac:dyDescent="0.2">
      <c r="A208" s="1279"/>
      <c r="B208" s="1280"/>
      <c r="C208" s="1281"/>
      <c r="D208" s="1280"/>
      <c r="E208" s="1280"/>
      <c r="F208" s="1281"/>
      <c r="G208" s="1287"/>
      <c r="H208" s="1280"/>
      <c r="I208" s="1281"/>
      <c r="J208" s="3246"/>
      <c r="K208" s="3249"/>
      <c r="L208" s="3246"/>
      <c r="M208" s="3246"/>
      <c r="N208" s="3245"/>
      <c r="O208" s="3245"/>
      <c r="P208" s="3248"/>
      <c r="Q208" s="2651"/>
      <c r="R208" s="3349"/>
      <c r="S208" s="3248"/>
      <c r="T208" s="3249"/>
      <c r="U208" s="1288" t="s">
        <v>1641</v>
      </c>
      <c r="V208" s="265">
        <v>20840000</v>
      </c>
      <c r="W208" s="3273"/>
      <c r="X208" s="3245"/>
      <c r="Y208" s="3245"/>
      <c r="Z208" s="3245"/>
      <c r="AA208" s="3254"/>
      <c r="AB208" s="3254"/>
      <c r="AC208" s="3254"/>
      <c r="AD208" s="3254"/>
      <c r="AE208" s="3254"/>
      <c r="AF208" s="3254"/>
      <c r="AG208" s="3254"/>
      <c r="AH208" s="3254"/>
      <c r="AI208" s="3254"/>
      <c r="AJ208" s="3254"/>
      <c r="AK208" s="3254"/>
      <c r="AL208" s="3254"/>
      <c r="AM208" s="3254"/>
      <c r="AN208" s="3254"/>
      <c r="AO208" s="3263"/>
      <c r="AP208" s="3263"/>
      <c r="AQ208" s="3266"/>
      <c r="AR208" s="1286"/>
      <c r="AS208" s="1286"/>
      <c r="AT208" s="1286"/>
      <c r="AU208" s="1286"/>
      <c r="AV208" s="1286"/>
      <c r="AW208" s="1286"/>
      <c r="AX208" s="1286"/>
      <c r="AY208" s="1286"/>
      <c r="AZ208" s="1286"/>
      <c r="BA208" s="1286"/>
      <c r="BB208" s="1286"/>
      <c r="BC208" s="1286"/>
      <c r="BD208" s="1286"/>
      <c r="BE208" s="1286"/>
      <c r="BF208" s="1286"/>
      <c r="BG208" s="1286"/>
      <c r="BH208" s="1286"/>
      <c r="BI208" s="1286"/>
      <c r="BJ208" s="1286"/>
      <c r="BK208" s="1286"/>
      <c r="BL208" s="1286"/>
      <c r="BM208" s="1286"/>
      <c r="BN208" s="1286"/>
      <c r="BO208" s="1286"/>
      <c r="BP208" s="1286"/>
      <c r="BQ208" s="1286"/>
      <c r="BR208" s="1286"/>
      <c r="BS208" s="1286"/>
      <c r="BT208" s="1286"/>
      <c r="BU208" s="1286"/>
      <c r="BV208" s="1286"/>
      <c r="BW208" s="1286"/>
      <c r="BX208" s="1286"/>
      <c r="BY208" s="1286"/>
      <c r="BZ208" s="1286"/>
      <c r="CA208" s="1286"/>
      <c r="CB208" s="1286"/>
      <c r="CC208" s="1286"/>
      <c r="CD208" s="1286"/>
      <c r="CE208" s="1286"/>
      <c r="CF208" s="1286"/>
      <c r="CG208" s="1286"/>
      <c r="CH208" s="1243"/>
      <c r="CI208" s="1243"/>
      <c r="CJ208" s="1243"/>
      <c r="CK208" s="1243"/>
      <c r="CL208" s="1243"/>
      <c r="CM208" s="1243"/>
      <c r="CN208" s="1243"/>
      <c r="CO208" s="1243"/>
      <c r="CP208" s="1243"/>
      <c r="CQ208" s="1243"/>
      <c r="CR208" s="1243"/>
      <c r="CS208" s="1243"/>
      <c r="CT208" s="1243"/>
      <c r="CU208" s="1243"/>
      <c r="CV208" s="1243"/>
      <c r="CW208" s="1243"/>
      <c r="CX208" s="1243"/>
      <c r="CY208" s="1243"/>
      <c r="CZ208" s="1243"/>
      <c r="DA208" s="1243"/>
      <c r="DB208" s="1243"/>
      <c r="DC208" s="1243"/>
      <c r="DD208" s="1243"/>
      <c r="DE208" s="1243"/>
      <c r="DF208" s="1243"/>
      <c r="DG208" s="1243"/>
      <c r="DH208" s="1243"/>
      <c r="DI208" s="1243"/>
      <c r="DJ208" s="1243"/>
      <c r="DK208" s="1243"/>
      <c r="DL208" s="1243"/>
      <c r="DM208" s="1243"/>
      <c r="DN208" s="1243"/>
      <c r="DO208" s="1243"/>
      <c r="DP208" s="1243"/>
      <c r="DQ208" s="1243"/>
      <c r="DR208" s="1243"/>
      <c r="DS208" s="1243"/>
      <c r="DT208" s="1243"/>
      <c r="DU208" s="1243"/>
      <c r="DV208" s="1243"/>
      <c r="DW208" s="1243"/>
      <c r="DX208" s="1243"/>
      <c r="DY208" s="1243"/>
      <c r="DZ208" s="1243"/>
      <c r="EA208" s="1243"/>
      <c r="EB208" s="1243"/>
      <c r="EC208" s="1243"/>
      <c r="ED208" s="1243"/>
      <c r="EE208" s="1243"/>
      <c r="EF208" s="1243"/>
      <c r="EG208" s="1243"/>
      <c r="EH208" s="1243"/>
      <c r="EI208" s="1243"/>
      <c r="EJ208" s="1243"/>
      <c r="EK208" s="1243"/>
      <c r="EL208" s="1243"/>
      <c r="EM208" s="1243"/>
      <c r="EN208" s="1243"/>
      <c r="EO208" s="1243"/>
      <c r="EP208" s="1243"/>
      <c r="EQ208" s="1243"/>
      <c r="ER208" s="1243"/>
      <c r="ES208" s="1243"/>
      <c r="ET208" s="1243"/>
      <c r="EU208" s="1243"/>
      <c r="EV208" s="1243"/>
      <c r="EW208" s="1243"/>
      <c r="EX208" s="1243"/>
      <c r="EY208" s="1243"/>
      <c r="EZ208" s="1243"/>
      <c r="FA208" s="1243"/>
      <c r="FB208" s="1243"/>
      <c r="FC208" s="1243"/>
      <c r="FD208" s="1243"/>
      <c r="FE208" s="1243"/>
      <c r="FF208" s="1243"/>
      <c r="FG208" s="1243"/>
      <c r="FH208" s="1243"/>
      <c r="FI208" s="1243"/>
      <c r="FJ208" s="1243"/>
      <c r="FK208" s="1243"/>
      <c r="FL208" s="1243"/>
      <c r="FM208" s="1243"/>
      <c r="FN208" s="1243"/>
      <c r="FO208" s="1243"/>
      <c r="FP208" s="1243"/>
      <c r="FQ208" s="1243"/>
      <c r="FR208" s="1243"/>
      <c r="FS208" s="1243"/>
      <c r="FT208" s="1243"/>
      <c r="FU208" s="1243"/>
      <c r="FV208" s="1243"/>
      <c r="FW208" s="1243"/>
      <c r="FX208" s="1243"/>
      <c r="FY208" s="1243"/>
      <c r="FZ208" s="1243"/>
      <c r="GA208" s="1243"/>
      <c r="GB208" s="1243"/>
      <c r="GC208" s="1243"/>
      <c r="GD208" s="1243"/>
      <c r="GE208" s="1243"/>
      <c r="GF208" s="1243"/>
      <c r="GG208" s="1243"/>
      <c r="GH208" s="1243"/>
      <c r="GI208" s="1243"/>
      <c r="GJ208" s="1243"/>
      <c r="GK208" s="1243"/>
      <c r="GL208" s="1243"/>
      <c r="GM208" s="1243"/>
      <c r="GN208" s="1243"/>
      <c r="GO208" s="1243"/>
      <c r="GP208" s="1243"/>
      <c r="GQ208" s="1243"/>
      <c r="GR208" s="1243"/>
      <c r="GS208" s="1243"/>
      <c r="GT208" s="1243"/>
      <c r="GU208" s="1243"/>
      <c r="GV208" s="1243"/>
      <c r="GW208" s="1243"/>
      <c r="GX208" s="1243"/>
      <c r="GY208" s="1243"/>
      <c r="GZ208" s="1243"/>
      <c r="HA208" s="1243"/>
      <c r="HB208" s="1243"/>
      <c r="HC208" s="1243"/>
      <c r="HD208" s="1243"/>
      <c r="HE208" s="1243"/>
      <c r="HF208" s="1243"/>
      <c r="HG208" s="1243"/>
      <c r="HH208" s="1243"/>
      <c r="HI208" s="1243"/>
      <c r="HJ208" s="1243"/>
      <c r="HK208" s="1243"/>
      <c r="HL208" s="1243"/>
      <c r="HM208" s="1243"/>
      <c r="HN208" s="1243"/>
      <c r="HO208" s="1243"/>
      <c r="HP208" s="1243"/>
      <c r="HQ208" s="1243"/>
      <c r="HR208" s="1243"/>
      <c r="HS208" s="1243"/>
      <c r="HT208" s="1243"/>
      <c r="HU208" s="1243"/>
      <c r="HV208" s="1243"/>
      <c r="HW208" s="1243"/>
      <c r="HX208" s="1243"/>
      <c r="HY208" s="1243"/>
      <c r="HZ208" s="1243"/>
      <c r="IA208" s="1243"/>
      <c r="IB208" s="1243"/>
      <c r="IC208" s="1243"/>
      <c r="ID208" s="1243"/>
      <c r="IE208" s="1243"/>
      <c r="IF208" s="1243"/>
      <c r="IG208" s="1243"/>
      <c r="IH208" s="1243"/>
      <c r="II208" s="1243"/>
      <c r="IJ208" s="1243"/>
      <c r="IK208" s="1243"/>
      <c r="IL208" s="1243"/>
      <c r="IM208" s="1243"/>
      <c r="IN208" s="1243"/>
      <c r="IO208" s="1243"/>
      <c r="IP208" s="1243"/>
      <c r="IQ208" s="1243"/>
      <c r="IR208" s="1243"/>
      <c r="IS208" s="1243"/>
      <c r="IT208" s="1243"/>
      <c r="IU208" s="1243"/>
      <c r="IV208" s="1243"/>
      <c r="IW208" s="1243"/>
      <c r="IX208" s="1243"/>
      <c r="IY208" s="1243"/>
      <c r="IZ208" s="1243"/>
      <c r="JA208" s="1243"/>
      <c r="JB208" s="1243"/>
      <c r="JC208" s="1243"/>
      <c r="JD208" s="1243"/>
      <c r="JE208" s="1243"/>
      <c r="JF208" s="1243"/>
      <c r="JG208" s="1243"/>
      <c r="JH208" s="1243"/>
      <c r="JI208" s="1243"/>
      <c r="JJ208" s="1243"/>
      <c r="JK208" s="1243"/>
      <c r="JL208" s="1243"/>
      <c r="JM208" s="1243"/>
      <c r="JN208" s="1243"/>
      <c r="JO208" s="1243"/>
      <c r="JP208" s="1243"/>
      <c r="JQ208" s="1243"/>
      <c r="JR208" s="1243"/>
      <c r="JS208" s="1243"/>
      <c r="JT208" s="1243"/>
      <c r="JU208" s="1243"/>
      <c r="JV208" s="1243"/>
      <c r="JW208" s="1243"/>
      <c r="JX208" s="1243"/>
      <c r="JY208" s="1243"/>
      <c r="JZ208" s="1243"/>
      <c r="KA208" s="1243"/>
      <c r="KB208" s="1243"/>
      <c r="KC208" s="1243"/>
      <c r="KD208" s="1243"/>
      <c r="KE208" s="1243"/>
      <c r="KF208" s="1243"/>
      <c r="KG208" s="1243"/>
      <c r="KH208" s="1243"/>
      <c r="KI208" s="1243"/>
      <c r="KJ208" s="1243"/>
      <c r="KK208" s="1243"/>
      <c r="KL208" s="1243"/>
      <c r="KM208" s="1243"/>
      <c r="KN208" s="1243"/>
      <c r="KO208" s="1243"/>
      <c r="KP208" s="1243"/>
      <c r="KQ208" s="1243"/>
      <c r="KR208" s="1243"/>
      <c r="KS208" s="1243"/>
      <c r="KT208" s="1243"/>
      <c r="KU208" s="1243"/>
      <c r="KV208" s="1243"/>
      <c r="KW208" s="1243"/>
      <c r="KX208" s="1243"/>
      <c r="KY208" s="1243"/>
      <c r="KZ208" s="1243"/>
      <c r="LA208" s="1243"/>
      <c r="LB208" s="1243"/>
      <c r="LC208" s="1243"/>
      <c r="LD208" s="1243"/>
      <c r="LE208" s="1243"/>
      <c r="LF208" s="1243"/>
      <c r="LG208" s="1243"/>
      <c r="LH208" s="1243"/>
      <c r="LI208" s="1243"/>
      <c r="LJ208" s="1243"/>
      <c r="LK208" s="1243"/>
      <c r="LL208" s="1243"/>
      <c r="LM208" s="1243"/>
      <c r="LN208" s="1243"/>
      <c r="LO208" s="1243"/>
      <c r="LP208" s="1243"/>
      <c r="LQ208" s="1243"/>
      <c r="LR208" s="1243"/>
      <c r="LS208" s="1243"/>
      <c r="LT208" s="1243"/>
      <c r="LU208" s="1243"/>
      <c r="LV208" s="1243"/>
      <c r="LW208" s="1243"/>
      <c r="LX208" s="1243"/>
      <c r="LY208" s="1243"/>
      <c r="LZ208" s="1243"/>
      <c r="MA208" s="1243"/>
      <c r="MB208" s="1243"/>
      <c r="MC208" s="1243"/>
      <c r="MD208" s="1243"/>
      <c r="ME208" s="1243"/>
    </row>
    <row r="209" spans="1:343" s="1362" customFormat="1" ht="90" x14ac:dyDescent="0.2">
      <c r="A209" s="1279"/>
      <c r="B209" s="1280"/>
      <c r="C209" s="1281"/>
      <c r="D209" s="1280"/>
      <c r="E209" s="1280"/>
      <c r="F209" s="1281"/>
      <c r="G209" s="1287"/>
      <c r="H209" s="1280"/>
      <c r="I209" s="1281"/>
      <c r="J209" s="3268">
        <v>162</v>
      </c>
      <c r="K209" s="3247" t="s">
        <v>1642</v>
      </c>
      <c r="L209" s="3244" t="s">
        <v>1318</v>
      </c>
      <c r="M209" s="3244">
        <v>83</v>
      </c>
      <c r="N209" s="3245"/>
      <c r="O209" s="3245"/>
      <c r="P209" s="3248"/>
      <c r="Q209" s="2622">
        <f>(V209+V210+V211+V212+V213)/R205</f>
        <v>0.70336806460191881</v>
      </c>
      <c r="R209" s="3349"/>
      <c r="S209" s="3248"/>
      <c r="T209" s="3247" t="s">
        <v>1643</v>
      </c>
      <c r="U209" s="1288" t="s">
        <v>1644</v>
      </c>
      <c r="V209" s="265">
        <v>160000000</v>
      </c>
      <c r="W209" s="3273"/>
      <c r="X209" s="3245"/>
      <c r="Y209" s="3245"/>
      <c r="Z209" s="3245"/>
      <c r="AA209" s="3254"/>
      <c r="AB209" s="3254"/>
      <c r="AC209" s="3254"/>
      <c r="AD209" s="3254"/>
      <c r="AE209" s="3254"/>
      <c r="AF209" s="3254"/>
      <c r="AG209" s="3254"/>
      <c r="AH209" s="3254"/>
      <c r="AI209" s="3254"/>
      <c r="AJ209" s="3254"/>
      <c r="AK209" s="3254"/>
      <c r="AL209" s="3254"/>
      <c r="AM209" s="3254"/>
      <c r="AN209" s="3254"/>
      <c r="AO209" s="3263"/>
      <c r="AP209" s="3263"/>
      <c r="AQ209" s="3266"/>
      <c r="AR209" s="1286"/>
      <c r="AS209" s="1286"/>
      <c r="AT209" s="1286"/>
      <c r="AU209" s="1286"/>
      <c r="AV209" s="1286"/>
      <c r="AW209" s="1286"/>
      <c r="AX209" s="1286"/>
      <c r="AY209" s="1286"/>
      <c r="AZ209" s="1286"/>
      <c r="BA209" s="1286"/>
      <c r="BB209" s="1286"/>
      <c r="BC209" s="1286"/>
      <c r="BD209" s="1286"/>
      <c r="BE209" s="1286"/>
      <c r="BF209" s="1286"/>
      <c r="BG209" s="1286"/>
      <c r="BH209" s="1286"/>
      <c r="BI209" s="1286"/>
      <c r="BJ209" s="1286"/>
      <c r="BK209" s="1286"/>
      <c r="BL209" s="1286"/>
      <c r="BM209" s="1286"/>
      <c r="BN209" s="1286"/>
      <c r="BO209" s="1286"/>
      <c r="BP209" s="1286"/>
      <c r="BQ209" s="1286"/>
      <c r="BR209" s="1286"/>
      <c r="BS209" s="1286"/>
      <c r="BT209" s="1286"/>
      <c r="BU209" s="1286"/>
      <c r="BV209" s="1286"/>
      <c r="BW209" s="1286"/>
      <c r="BX209" s="1286"/>
      <c r="BY209" s="1286"/>
      <c r="BZ209" s="1286"/>
      <c r="CA209" s="1286"/>
      <c r="CB209" s="1286"/>
      <c r="CC209" s="1286"/>
      <c r="CD209" s="1286"/>
      <c r="CE209" s="1286"/>
      <c r="CF209" s="1286"/>
      <c r="CG209" s="1286"/>
      <c r="CH209" s="1243"/>
      <c r="CI209" s="1243"/>
      <c r="CJ209" s="1243"/>
      <c r="CK209" s="1243"/>
      <c r="CL209" s="1243"/>
      <c r="CM209" s="1243"/>
      <c r="CN209" s="1243"/>
      <c r="CO209" s="1243"/>
      <c r="CP209" s="1243"/>
      <c r="CQ209" s="1243"/>
      <c r="CR209" s="1243"/>
      <c r="CS209" s="1243"/>
      <c r="CT209" s="1243"/>
      <c r="CU209" s="1243"/>
      <c r="CV209" s="1243"/>
      <c r="CW209" s="1243"/>
      <c r="CX209" s="1243"/>
      <c r="CY209" s="1243"/>
      <c r="CZ209" s="1243"/>
      <c r="DA209" s="1243"/>
      <c r="DB209" s="1243"/>
      <c r="DC209" s="1243"/>
      <c r="DD209" s="1243"/>
      <c r="DE209" s="1243"/>
      <c r="DF209" s="1243"/>
      <c r="DG209" s="1243"/>
      <c r="DH209" s="1243"/>
      <c r="DI209" s="1243"/>
      <c r="DJ209" s="1243"/>
      <c r="DK209" s="1243"/>
      <c r="DL209" s="1243"/>
      <c r="DM209" s="1243"/>
      <c r="DN209" s="1243"/>
      <c r="DO209" s="1243"/>
      <c r="DP209" s="1243"/>
      <c r="DQ209" s="1243"/>
      <c r="DR209" s="1243"/>
      <c r="DS209" s="1243"/>
      <c r="DT209" s="1243"/>
      <c r="DU209" s="1243"/>
      <c r="DV209" s="1243"/>
      <c r="DW209" s="1243"/>
      <c r="DX209" s="1243"/>
      <c r="DY209" s="1243"/>
      <c r="DZ209" s="1243"/>
      <c r="EA209" s="1243"/>
      <c r="EB209" s="1243"/>
      <c r="EC209" s="1243"/>
      <c r="ED209" s="1243"/>
      <c r="EE209" s="1243"/>
      <c r="EF209" s="1243"/>
      <c r="EG209" s="1243"/>
      <c r="EH209" s="1243"/>
      <c r="EI209" s="1243"/>
      <c r="EJ209" s="1243"/>
      <c r="EK209" s="1243"/>
      <c r="EL209" s="1243"/>
      <c r="EM209" s="1243"/>
      <c r="EN209" s="1243"/>
      <c r="EO209" s="1243"/>
      <c r="EP209" s="1243"/>
      <c r="EQ209" s="1243"/>
      <c r="ER209" s="1243"/>
      <c r="ES209" s="1243"/>
      <c r="ET209" s="1243"/>
      <c r="EU209" s="1243"/>
      <c r="EV209" s="1243"/>
      <c r="EW209" s="1243"/>
      <c r="EX209" s="1243"/>
      <c r="EY209" s="1243"/>
      <c r="EZ209" s="1243"/>
      <c r="FA209" s="1243"/>
      <c r="FB209" s="1243"/>
      <c r="FC209" s="1243"/>
      <c r="FD209" s="1243"/>
      <c r="FE209" s="1243"/>
      <c r="FF209" s="1243"/>
      <c r="FG209" s="1243"/>
      <c r="FH209" s="1243"/>
      <c r="FI209" s="1243"/>
      <c r="FJ209" s="1243"/>
      <c r="FK209" s="1243"/>
      <c r="FL209" s="1243"/>
      <c r="FM209" s="1243"/>
      <c r="FN209" s="1243"/>
      <c r="FO209" s="1243"/>
      <c r="FP209" s="1243"/>
      <c r="FQ209" s="1243"/>
      <c r="FR209" s="1243"/>
      <c r="FS209" s="1243"/>
      <c r="FT209" s="1243"/>
      <c r="FU209" s="1243"/>
      <c r="FV209" s="1243"/>
      <c r="FW209" s="1243"/>
      <c r="FX209" s="1243"/>
      <c r="FY209" s="1243"/>
      <c r="FZ209" s="1243"/>
      <c r="GA209" s="1243"/>
      <c r="GB209" s="1243"/>
      <c r="GC209" s="1243"/>
      <c r="GD209" s="1243"/>
      <c r="GE209" s="1243"/>
      <c r="GF209" s="1243"/>
      <c r="GG209" s="1243"/>
      <c r="GH209" s="1243"/>
      <c r="GI209" s="1243"/>
      <c r="GJ209" s="1243"/>
      <c r="GK209" s="1243"/>
      <c r="GL209" s="1243"/>
      <c r="GM209" s="1243"/>
      <c r="GN209" s="1243"/>
      <c r="GO209" s="1243"/>
      <c r="GP209" s="1243"/>
      <c r="GQ209" s="1243"/>
      <c r="GR209" s="1243"/>
      <c r="GS209" s="1243"/>
      <c r="GT209" s="1243"/>
      <c r="GU209" s="1243"/>
      <c r="GV209" s="1243"/>
      <c r="GW209" s="1243"/>
      <c r="GX209" s="1243"/>
      <c r="GY209" s="1243"/>
      <c r="GZ209" s="1243"/>
      <c r="HA209" s="1243"/>
      <c r="HB209" s="1243"/>
      <c r="HC209" s="1243"/>
      <c r="HD209" s="1243"/>
      <c r="HE209" s="1243"/>
      <c r="HF209" s="1243"/>
      <c r="HG209" s="1243"/>
      <c r="HH209" s="1243"/>
      <c r="HI209" s="1243"/>
      <c r="HJ209" s="1243"/>
      <c r="HK209" s="1243"/>
      <c r="HL209" s="1243"/>
      <c r="HM209" s="1243"/>
      <c r="HN209" s="1243"/>
      <c r="HO209" s="1243"/>
      <c r="HP209" s="1243"/>
      <c r="HQ209" s="1243"/>
      <c r="HR209" s="1243"/>
      <c r="HS209" s="1243"/>
      <c r="HT209" s="1243"/>
      <c r="HU209" s="1243"/>
      <c r="HV209" s="1243"/>
      <c r="HW209" s="1243"/>
      <c r="HX209" s="1243"/>
      <c r="HY209" s="1243"/>
      <c r="HZ209" s="1243"/>
      <c r="IA209" s="1243"/>
      <c r="IB209" s="1243"/>
      <c r="IC209" s="1243"/>
      <c r="ID209" s="1243"/>
      <c r="IE209" s="1243"/>
      <c r="IF209" s="1243"/>
      <c r="IG209" s="1243"/>
      <c r="IH209" s="1243"/>
      <c r="II209" s="1243"/>
      <c r="IJ209" s="1243"/>
      <c r="IK209" s="1243"/>
      <c r="IL209" s="1243"/>
      <c r="IM209" s="1243"/>
      <c r="IN209" s="1243"/>
      <c r="IO209" s="1243"/>
      <c r="IP209" s="1243"/>
      <c r="IQ209" s="1243"/>
      <c r="IR209" s="1243"/>
      <c r="IS209" s="1243"/>
      <c r="IT209" s="1243"/>
      <c r="IU209" s="1243"/>
      <c r="IV209" s="1243"/>
      <c r="IW209" s="1243"/>
      <c r="IX209" s="1243"/>
      <c r="IY209" s="1243"/>
      <c r="IZ209" s="1243"/>
      <c r="JA209" s="1243"/>
      <c r="JB209" s="1243"/>
      <c r="JC209" s="1243"/>
      <c r="JD209" s="1243"/>
      <c r="JE209" s="1243"/>
      <c r="JF209" s="1243"/>
      <c r="JG209" s="1243"/>
      <c r="JH209" s="1243"/>
      <c r="JI209" s="1243"/>
      <c r="JJ209" s="1243"/>
      <c r="JK209" s="1243"/>
      <c r="JL209" s="1243"/>
      <c r="JM209" s="1243"/>
      <c r="JN209" s="1243"/>
      <c r="JO209" s="1243"/>
      <c r="JP209" s="1243"/>
      <c r="JQ209" s="1243"/>
      <c r="JR209" s="1243"/>
      <c r="JS209" s="1243"/>
      <c r="JT209" s="1243"/>
      <c r="JU209" s="1243"/>
      <c r="JV209" s="1243"/>
      <c r="JW209" s="1243"/>
      <c r="JX209" s="1243"/>
      <c r="JY209" s="1243"/>
      <c r="JZ209" s="1243"/>
      <c r="KA209" s="1243"/>
      <c r="KB209" s="1243"/>
      <c r="KC209" s="1243"/>
      <c r="KD209" s="1243"/>
      <c r="KE209" s="1243"/>
      <c r="KF209" s="1243"/>
      <c r="KG209" s="1243"/>
      <c r="KH209" s="1243"/>
      <c r="KI209" s="1243"/>
      <c r="KJ209" s="1243"/>
      <c r="KK209" s="1243"/>
      <c r="KL209" s="1243"/>
      <c r="KM209" s="1243"/>
      <c r="KN209" s="1243"/>
      <c r="KO209" s="1243"/>
      <c r="KP209" s="1243"/>
      <c r="KQ209" s="1243"/>
      <c r="KR209" s="1243"/>
      <c r="KS209" s="1243"/>
      <c r="KT209" s="1243"/>
      <c r="KU209" s="1243"/>
      <c r="KV209" s="1243"/>
      <c r="KW209" s="1243"/>
      <c r="KX209" s="1243"/>
      <c r="KY209" s="1243"/>
      <c r="KZ209" s="1243"/>
      <c r="LA209" s="1243"/>
      <c r="LB209" s="1243"/>
      <c r="LC209" s="1243"/>
      <c r="LD209" s="1243"/>
      <c r="LE209" s="1243"/>
      <c r="LF209" s="1243"/>
      <c r="LG209" s="1243"/>
      <c r="LH209" s="1243"/>
      <c r="LI209" s="1243"/>
      <c r="LJ209" s="1243"/>
      <c r="LK209" s="1243"/>
      <c r="LL209" s="1243"/>
      <c r="LM209" s="1243"/>
      <c r="LN209" s="1243"/>
      <c r="LO209" s="1243"/>
      <c r="LP209" s="1243"/>
      <c r="LQ209" s="1243"/>
      <c r="LR209" s="1243"/>
      <c r="LS209" s="1243"/>
      <c r="LT209" s="1243"/>
      <c r="LU209" s="1243"/>
      <c r="LV209" s="1243"/>
      <c r="LW209" s="1243"/>
      <c r="LX209" s="1243"/>
      <c r="LY209" s="1243"/>
      <c r="LZ209" s="1243"/>
      <c r="MA209" s="1243"/>
      <c r="MB209" s="1243"/>
      <c r="MC209" s="1243"/>
      <c r="MD209" s="1243"/>
      <c r="ME209" s="1243"/>
    </row>
    <row r="210" spans="1:343" s="1362" customFormat="1" ht="60" customHeight="1" x14ac:dyDescent="0.2">
      <c r="A210" s="1279"/>
      <c r="B210" s="1280"/>
      <c r="C210" s="1281"/>
      <c r="D210" s="1280"/>
      <c r="E210" s="1280"/>
      <c r="F210" s="1281"/>
      <c r="G210" s="1287"/>
      <c r="H210" s="1280"/>
      <c r="I210" s="1281"/>
      <c r="J210" s="3268"/>
      <c r="K210" s="3248"/>
      <c r="L210" s="3245"/>
      <c r="M210" s="3245"/>
      <c r="N210" s="3245"/>
      <c r="O210" s="3245"/>
      <c r="P210" s="3248"/>
      <c r="Q210" s="2623"/>
      <c r="R210" s="3349"/>
      <c r="S210" s="3248"/>
      <c r="T210" s="3248"/>
      <c r="U210" s="1288" t="s">
        <v>1645</v>
      </c>
      <c r="V210" s="261">
        <v>62000000</v>
      </c>
      <c r="W210" s="3273"/>
      <c r="X210" s="3245"/>
      <c r="Y210" s="3245"/>
      <c r="Z210" s="3245"/>
      <c r="AA210" s="3254"/>
      <c r="AB210" s="3254"/>
      <c r="AC210" s="3254"/>
      <c r="AD210" s="3254"/>
      <c r="AE210" s="3254"/>
      <c r="AF210" s="3254"/>
      <c r="AG210" s="3254"/>
      <c r="AH210" s="3254"/>
      <c r="AI210" s="3254"/>
      <c r="AJ210" s="3254"/>
      <c r="AK210" s="3254"/>
      <c r="AL210" s="3254"/>
      <c r="AM210" s="3254"/>
      <c r="AN210" s="3254"/>
      <c r="AO210" s="3263"/>
      <c r="AP210" s="3263"/>
      <c r="AQ210" s="3266"/>
      <c r="AR210" s="1286"/>
      <c r="AS210" s="1286"/>
      <c r="AT210" s="1286"/>
      <c r="AU210" s="1286"/>
      <c r="AV210" s="1286"/>
      <c r="AW210" s="1286"/>
      <c r="AX210" s="1286"/>
      <c r="AY210" s="1286"/>
      <c r="AZ210" s="1286"/>
      <c r="BA210" s="1286"/>
      <c r="BB210" s="1286"/>
      <c r="BC210" s="1286"/>
      <c r="BD210" s="1286"/>
      <c r="BE210" s="1286"/>
      <c r="BF210" s="1286"/>
      <c r="BG210" s="1286"/>
      <c r="BH210" s="1286"/>
      <c r="BI210" s="1286"/>
      <c r="BJ210" s="1286"/>
      <c r="BK210" s="1286"/>
      <c r="BL210" s="1286"/>
      <c r="BM210" s="1286"/>
      <c r="BN210" s="1286"/>
      <c r="BO210" s="1286"/>
      <c r="BP210" s="1286"/>
      <c r="BQ210" s="1286"/>
      <c r="BR210" s="1286"/>
      <c r="BS210" s="1286"/>
      <c r="BT210" s="1286"/>
      <c r="BU210" s="1286"/>
      <c r="BV210" s="1286"/>
      <c r="BW210" s="1286"/>
      <c r="BX210" s="1286"/>
      <c r="BY210" s="1286"/>
      <c r="BZ210" s="1243"/>
      <c r="CA210" s="1243"/>
      <c r="CB210" s="1243"/>
      <c r="CC210" s="1243"/>
      <c r="CD210" s="1243"/>
      <c r="CE210" s="1243"/>
      <c r="CF210" s="1243"/>
      <c r="CG210" s="1243"/>
      <c r="CH210" s="1243"/>
      <c r="CI210" s="1243"/>
      <c r="CJ210" s="1243"/>
      <c r="CK210" s="1243"/>
      <c r="CL210" s="1243"/>
      <c r="CM210" s="1243"/>
      <c r="CN210" s="1243"/>
      <c r="CO210" s="1243"/>
      <c r="CP210" s="1243"/>
      <c r="CQ210" s="1243"/>
      <c r="CR210" s="1243"/>
      <c r="CS210" s="1243"/>
      <c r="CT210" s="1243"/>
      <c r="CU210" s="1243"/>
      <c r="CV210" s="1243"/>
      <c r="CW210" s="1243"/>
      <c r="CX210" s="1243"/>
      <c r="CY210" s="1243"/>
      <c r="CZ210" s="1243"/>
      <c r="DA210" s="1243"/>
      <c r="DB210" s="1243"/>
      <c r="DC210" s="1243"/>
      <c r="DD210" s="1243"/>
      <c r="DE210" s="1243"/>
      <c r="DF210" s="1243"/>
      <c r="DG210" s="1243"/>
      <c r="DH210" s="1243"/>
      <c r="DI210" s="1243"/>
      <c r="DJ210" s="1243"/>
      <c r="DK210" s="1243"/>
      <c r="DL210" s="1243"/>
      <c r="DM210" s="1243"/>
      <c r="DN210" s="1243"/>
      <c r="DO210" s="1243"/>
      <c r="DP210" s="1243"/>
      <c r="DQ210" s="1243"/>
      <c r="DR210" s="1243"/>
      <c r="DS210" s="1243"/>
      <c r="DT210" s="1243"/>
      <c r="DU210" s="1243"/>
      <c r="DV210" s="1243"/>
      <c r="DW210" s="1243"/>
      <c r="DX210" s="1243"/>
      <c r="DY210" s="1243"/>
      <c r="DZ210" s="1243"/>
      <c r="EA210" s="1243"/>
      <c r="EB210" s="1243"/>
      <c r="EC210" s="1243"/>
      <c r="ED210" s="1243"/>
      <c r="EE210" s="1243"/>
      <c r="EF210" s="1243"/>
      <c r="EG210" s="1243"/>
      <c r="EH210" s="1243"/>
      <c r="EI210" s="1243"/>
      <c r="EJ210" s="1243"/>
      <c r="EK210" s="1243"/>
      <c r="EL210" s="1243"/>
      <c r="EM210" s="1243"/>
      <c r="EN210" s="1243"/>
      <c r="EO210" s="1243"/>
      <c r="EP210" s="1243"/>
      <c r="EQ210" s="1243"/>
      <c r="ER210" s="1243"/>
      <c r="ES210" s="1243"/>
      <c r="ET210" s="1243"/>
      <c r="EU210" s="1243"/>
      <c r="EV210" s="1243"/>
      <c r="EW210" s="1243"/>
      <c r="EX210" s="1243"/>
      <c r="EY210" s="1243"/>
      <c r="EZ210" s="1243"/>
      <c r="FA210" s="1243"/>
      <c r="FB210" s="1243"/>
      <c r="FC210" s="1243"/>
      <c r="FD210" s="1243"/>
      <c r="FE210" s="1243"/>
      <c r="FF210" s="1243"/>
      <c r="FG210" s="1243"/>
      <c r="FH210" s="1243"/>
      <c r="FI210" s="1243"/>
      <c r="FJ210" s="1243"/>
      <c r="FK210" s="1243"/>
      <c r="FL210" s="1243"/>
      <c r="FM210" s="1243"/>
      <c r="FN210" s="1243"/>
      <c r="FO210" s="1243"/>
      <c r="FP210" s="1243"/>
      <c r="FQ210" s="1243"/>
      <c r="FR210" s="1243"/>
      <c r="FS210" s="1243"/>
      <c r="FT210" s="1243"/>
      <c r="FU210" s="1243"/>
      <c r="FV210" s="1243"/>
      <c r="FW210" s="1243"/>
      <c r="FX210" s="1243"/>
      <c r="FY210" s="1243"/>
      <c r="FZ210" s="1243"/>
      <c r="GA210" s="1243"/>
      <c r="GB210" s="1243"/>
      <c r="GC210" s="1243"/>
      <c r="GD210" s="1243"/>
      <c r="GE210" s="1243"/>
      <c r="GF210" s="1243"/>
      <c r="GG210" s="1243"/>
      <c r="GH210" s="1243"/>
      <c r="GI210" s="1243"/>
      <c r="GJ210" s="1243"/>
      <c r="GK210" s="1243"/>
      <c r="GL210" s="1243"/>
      <c r="GM210" s="1243"/>
      <c r="GN210" s="1243"/>
      <c r="GO210" s="1243"/>
      <c r="GP210" s="1243"/>
      <c r="GQ210" s="1243"/>
      <c r="GR210" s="1243"/>
      <c r="GS210" s="1243"/>
      <c r="GT210" s="1243"/>
      <c r="GU210" s="1243"/>
      <c r="GV210" s="1243"/>
      <c r="GW210" s="1243"/>
      <c r="GX210" s="1243"/>
      <c r="GY210" s="1243"/>
      <c r="GZ210" s="1243"/>
      <c r="HA210" s="1243"/>
      <c r="HB210" s="1243"/>
      <c r="HC210" s="1243"/>
      <c r="HD210" s="1243"/>
      <c r="HE210" s="1243"/>
      <c r="HF210" s="1243"/>
      <c r="HG210" s="1243"/>
      <c r="HH210" s="1243"/>
      <c r="HI210" s="1243"/>
      <c r="HJ210" s="1243"/>
      <c r="HK210" s="1243"/>
      <c r="HL210" s="1243"/>
      <c r="HM210" s="1243"/>
      <c r="HN210" s="1243"/>
      <c r="HO210" s="1243"/>
      <c r="HP210" s="1243"/>
      <c r="HQ210" s="1243"/>
      <c r="HR210" s="1243"/>
      <c r="HS210" s="1243"/>
      <c r="HT210" s="1243"/>
      <c r="HU210" s="1243"/>
      <c r="HV210" s="1243"/>
      <c r="HW210" s="1243"/>
      <c r="HX210" s="1243"/>
      <c r="HY210" s="1243"/>
      <c r="HZ210" s="1243"/>
      <c r="IA210" s="1243"/>
      <c r="IB210" s="1243"/>
      <c r="IC210" s="1243"/>
      <c r="ID210" s="1243"/>
      <c r="IE210" s="1243"/>
      <c r="IF210" s="1243"/>
      <c r="IG210" s="1243"/>
      <c r="IH210" s="1243"/>
      <c r="II210" s="1243"/>
      <c r="IJ210" s="1243"/>
      <c r="IK210" s="1243"/>
      <c r="IL210" s="1243"/>
      <c r="IM210" s="1243"/>
      <c r="IN210" s="1243"/>
      <c r="IO210" s="1243"/>
      <c r="IP210" s="1243"/>
      <c r="IQ210" s="1243"/>
      <c r="IR210" s="1243"/>
      <c r="IS210" s="1243"/>
      <c r="IT210" s="1243"/>
      <c r="IU210" s="1243"/>
      <c r="IV210" s="1243"/>
      <c r="IW210" s="1243"/>
      <c r="IX210" s="1243"/>
      <c r="IY210" s="1243"/>
      <c r="IZ210" s="1243"/>
      <c r="JA210" s="1243"/>
      <c r="JB210" s="1243"/>
      <c r="JC210" s="1243"/>
      <c r="JD210" s="1243"/>
      <c r="JE210" s="1243"/>
      <c r="JF210" s="1243"/>
      <c r="JG210" s="1243"/>
      <c r="JH210" s="1243"/>
      <c r="JI210" s="1243"/>
      <c r="JJ210" s="1243"/>
      <c r="JK210" s="1243"/>
      <c r="JL210" s="1243"/>
      <c r="JM210" s="1243"/>
      <c r="JN210" s="1243"/>
      <c r="JO210" s="1243"/>
      <c r="JP210" s="1243"/>
      <c r="JQ210" s="1243"/>
      <c r="JR210" s="1243"/>
      <c r="JS210" s="1243"/>
      <c r="JT210" s="1243"/>
      <c r="JU210" s="1243"/>
      <c r="JV210" s="1243"/>
      <c r="JW210" s="1243"/>
      <c r="JX210" s="1243"/>
      <c r="JY210" s="1243"/>
      <c r="JZ210" s="1243"/>
      <c r="KA210" s="1243"/>
      <c r="KB210" s="1243"/>
      <c r="KC210" s="1243"/>
      <c r="KD210" s="1243"/>
      <c r="KE210" s="1243"/>
      <c r="KF210" s="1243"/>
      <c r="KG210" s="1243"/>
      <c r="KH210" s="1243"/>
      <c r="KI210" s="1243"/>
      <c r="KJ210" s="1243"/>
      <c r="KK210" s="1243"/>
      <c r="KL210" s="1243"/>
      <c r="KM210" s="1243"/>
      <c r="KN210" s="1243"/>
      <c r="KO210" s="1243"/>
      <c r="KP210" s="1243"/>
      <c r="KQ210" s="1243"/>
      <c r="KR210" s="1243"/>
      <c r="KS210" s="1243"/>
      <c r="KT210" s="1243"/>
      <c r="KU210" s="1243"/>
      <c r="KV210" s="1243"/>
      <c r="KW210" s="1243"/>
      <c r="KX210" s="1243"/>
      <c r="KY210" s="1243"/>
      <c r="KZ210" s="1243"/>
      <c r="LA210" s="1243"/>
      <c r="LB210" s="1243"/>
      <c r="LC210" s="1243"/>
      <c r="LD210" s="1243"/>
      <c r="LE210" s="1243"/>
      <c r="LF210" s="1243"/>
      <c r="LG210" s="1243"/>
      <c r="LH210" s="1243"/>
      <c r="LI210" s="1243"/>
      <c r="LJ210" s="1243"/>
      <c r="LK210" s="1243"/>
      <c r="LL210" s="1243"/>
      <c r="LM210" s="1243"/>
      <c r="LN210" s="1243"/>
      <c r="LO210" s="1243"/>
      <c r="LP210" s="1243"/>
      <c r="LQ210" s="1243"/>
      <c r="LR210" s="1243"/>
      <c r="LS210" s="1243"/>
      <c r="LT210" s="1243"/>
      <c r="LU210" s="1243"/>
      <c r="LV210" s="1243"/>
      <c r="LW210" s="1243"/>
      <c r="LX210" s="1243"/>
      <c r="LY210" s="1243"/>
      <c r="LZ210" s="1243"/>
      <c r="MA210" s="1243"/>
      <c r="MB210" s="1243"/>
      <c r="MC210" s="1243"/>
      <c r="MD210" s="1243"/>
      <c r="ME210" s="1243"/>
    </row>
    <row r="211" spans="1:343" s="1362" customFormat="1" ht="60" x14ac:dyDescent="0.2">
      <c r="A211" s="1279"/>
      <c r="B211" s="1280"/>
      <c r="C211" s="1281"/>
      <c r="D211" s="1280"/>
      <c r="E211" s="1280"/>
      <c r="F211" s="1281"/>
      <c r="G211" s="1287"/>
      <c r="H211" s="1280"/>
      <c r="I211" s="1281"/>
      <c r="J211" s="3268"/>
      <c r="K211" s="3248"/>
      <c r="L211" s="3245"/>
      <c r="M211" s="3245"/>
      <c r="N211" s="3245"/>
      <c r="O211" s="3245"/>
      <c r="P211" s="3248"/>
      <c r="Q211" s="2623"/>
      <c r="R211" s="3349"/>
      <c r="S211" s="3248"/>
      <c r="T211" s="3248"/>
      <c r="U211" s="1288" t="s">
        <v>1646</v>
      </c>
      <c r="V211" s="261">
        <v>42000000</v>
      </c>
      <c r="W211" s="3273"/>
      <c r="X211" s="3245"/>
      <c r="Y211" s="3245"/>
      <c r="Z211" s="3245"/>
      <c r="AA211" s="3254"/>
      <c r="AB211" s="3254"/>
      <c r="AC211" s="3254"/>
      <c r="AD211" s="3254"/>
      <c r="AE211" s="3254"/>
      <c r="AF211" s="3254"/>
      <c r="AG211" s="3254"/>
      <c r="AH211" s="3254"/>
      <c r="AI211" s="3254"/>
      <c r="AJ211" s="3254"/>
      <c r="AK211" s="3254"/>
      <c r="AL211" s="3254"/>
      <c r="AM211" s="3254"/>
      <c r="AN211" s="3254"/>
      <c r="AO211" s="3263"/>
      <c r="AP211" s="3263"/>
      <c r="AQ211" s="3266"/>
      <c r="AR211" s="1286"/>
      <c r="AS211" s="1286"/>
      <c r="AT211" s="1286"/>
      <c r="AU211" s="1286"/>
      <c r="AV211" s="1286"/>
      <c r="AW211" s="1286"/>
      <c r="AX211" s="1286"/>
      <c r="AY211" s="1286"/>
      <c r="AZ211" s="1286"/>
      <c r="BA211" s="1286"/>
      <c r="BB211" s="1286"/>
      <c r="BC211" s="1286"/>
      <c r="BD211" s="1286"/>
      <c r="BE211" s="1286"/>
      <c r="BF211" s="1286"/>
      <c r="BG211" s="1286"/>
      <c r="BH211" s="1286"/>
      <c r="BI211" s="1286"/>
      <c r="BJ211" s="1286"/>
      <c r="BK211" s="1286"/>
      <c r="BL211" s="1286"/>
      <c r="BM211" s="1286"/>
      <c r="BN211" s="1286"/>
      <c r="BO211" s="1286"/>
      <c r="BP211" s="1286"/>
      <c r="BQ211" s="1286"/>
      <c r="BR211" s="1286"/>
      <c r="BS211" s="1286"/>
      <c r="BT211" s="1286"/>
      <c r="BU211" s="1286"/>
      <c r="BV211" s="1286"/>
      <c r="BW211" s="1286"/>
      <c r="BX211" s="1286"/>
      <c r="BY211" s="1286"/>
      <c r="BZ211" s="1243"/>
      <c r="CA211" s="1243"/>
      <c r="CB211" s="1243"/>
      <c r="CC211" s="1243"/>
      <c r="CD211" s="1243"/>
      <c r="CE211" s="1243"/>
      <c r="CF211" s="1243"/>
      <c r="CG211" s="1243"/>
      <c r="CH211" s="1243"/>
      <c r="CI211" s="1243"/>
      <c r="CJ211" s="1243"/>
      <c r="CK211" s="1243"/>
      <c r="CL211" s="1243"/>
      <c r="CM211" s="1243"/>
      <c r="CN211" s="1243"/>
      <c r="CO211" s="1243"/>
      <c r="CP211" s="1243"/>
      <c r="CQ211" s="1243"/>
      <c r="CR211" s="1243"/>
      <c r="CS211" s="1243"/>
      <c r="CT211" s="1243"/>
      <c r="CU211" s="1243"/>
      <c r="CV211" s="1243"/>
      <c r="CW211" s="1243"/>
      <c r="CX211" s="1243"/>
      <c r="CY211" s="1243"/>
      <c r="CZ211" s="1243"/>
      <c r="DA211" s="1243"/>
      <c r="DB211" s="1243"/>
      <c r="DC211" s="1243"/>
      <c r="DD211" s="1243"/>
      <c r="DE211" s="1243"/>
      <c r="DF211" s="1243"/>
      <c r="DG211" s="1243"/>
      <c r="DH211" s="1243"/>
      <c r="DI211" s="1243"/>
      <c r="DJ211" s="1243"/>
      <c r="DK211" s="1243"/>
      <c r="DL211" s="1243"/>
      <c r="DM211" s="1243"/>
      <c r="DN211" s="1243"/>
      <c r="DO211" s="1243"/>
      <c r="DP211" s="1243"/>
      <c r="DQ211" s="1243"/>
      <c r="DR211" s="1243"/>
      <c r="DS211" s="1243"/>
      <c r="DT211" s="1243"/>
      <c r="DU211" s="1243"/>
      <c r="DV211" s="1243"/>
      <c r="DW211" s="1243"/>
      <c r="DX211" s="1243"/>
      <c r="DY211" s="1243"/>
      <c r="DZ211" s="1243"/>
      <c r="EA211" s="1243"/>
      <c r="EB211" s="1243"/>
      <c r="EC211" s="1243"/>
      <c r="ED211" s="1243"/>
      <c r="EE211" s="1243"/>
      <c r="EF211" s="1243"/>
      <c r="EG211" s="1243"/>
      <c r="EH211" s="1243"/>
      <c r="EI211" s="1243"/>
      <c r="EJ211" s="1243"/>
      <c r="EK211" s="1243"/>
      <c r="EL211" s="1243"/>
      <c r="EM211" s="1243"/>
      <c r="EN211" s="1243"/>
      <c r="EO211" s="1243"/>
      <c r="EP211" s="1243"/>
      <c r="EQ211" s="1243"/>
      <c r="ER211" s="1243"/>
      <c r="ES211" s="1243"/>
      <c r="ET211" s="1243"/>
      <c r="EU211" s="1243"/>
      <c r="EV211" s="1243"/>
      <c r="EW211" s="1243"/>
      <c r="EX211" s="1243"/>
      <c r="EY211" s="1243"/>
      <c r="EZ211" s="1243"/>
      <c r="FA211" s="1243"/>
      <c r="FB211" s="1243"/>
      <c r="FC211" s="1243"/>
      <c r="FD211" s="1243"/>
      <c r="FE211" s="1243"/>
      <c r="FF211" s="1243"/>
      <c r="FG211" s="1243"/>
      <c r="FH211" s="1243"/>
      <c r="FI211" s="1243"/>
      <c r="FJ211" s="1243"/>
      <c r="FK211" s="1243"/>
      <c r="FL211" s="1243"/>
      <c r="FM211" s="1243"/>
      <c r="FN211" s="1243"/>
      <c r="FO211" s="1243"/>
      <c r="FP211" s="1243"/>
      <c r="FQ211" s="1243"/>
      <c r="FR211" s="1243"/>
      <c r="FS211" s="1243"/>
      <c r="FT211" s="1243"/>
      <c r="FU211" s="1243"/>
      <c r="FV211" s="1243"/>
      <c r="FW211" s="1243"/>
      <c r="FX211" s="1243"/>
      <c r="FY211" s="1243"/>
      <c r="FZ211" s="1243"/>
      <c r="GA211" s="1243"/>
      <c r="GB211" s="1243"/>
      <c r="GC211" s="1243"/>
      <c r="GD211" s="1243"/>
      <c r="GE211" s="1243"/>
      <c r="GF211" s="1243"/>
      <c r="GG211" s="1243"/>
      <c r="GH211" s="1243"/>
      <c r="GI211" s="1243"/>
      <c r="GJ211" s="1243"/>
      <c r="GK211" s="1243"/>
      <c r="GL211" s="1243"/>
      <c r="GM211" s="1243"/>
      <c r="GN211" s="1243"/>
      <c r="GO211" s="1243"/>
      <c r="GP211" s="1243"/>
      <c r="GQ211" s="1243"/>
      <c r="GR211" s="1243"/>
      <c r="GS211" s="1243"/>
      <c r="GT211" s="1243"/>
      <c r="GU211" s="1243"/>
      <c r="GV211" s="1243"/>
      <c r="GW211" s="1243"/>
      <c r="GX211" s="1243"/>
      <c r="GY211" s="1243"/>
      <c r="GZ211" s="1243"/>
      <c r="HA211" s="1243"/>
      <c r="HB211" s="1243"/>
      <c r="HC211" s="1243"/>
      <c r="HD211" s="1243"/>
      <c r="HE211" s="1243"/>
      <c r="HF211" s="1243"/>
      <c r="HG211" s="1243"/>
      <c r="HH211" s="1243"/>
      <c r="HI211" s="1243"/>
      <c r="HJ211" s="1243"/>
      <c r="HK211" s="1243"/>
      <c r="HL211" s="1243"/>
      <c r="HM211" s="1243"/>
      <c r="HN211" s="1243"/>
      <c r="HO211" s="1243"/>
      <c r="HP211" s="1243"/>
      <c r="HQ211" s="1243"/>
      <c r="HR211" s="1243"/>
      <c r="HS211" s="1243"/>
      <c r="HT211" s="1243"/>
      <c r="HU211" s="1243"/>
      <c r="HV211" s="1243"/>
      <c r="HW211" s="1243"/>
      <c r="HX211" s="1243"/>
      <c r="HY211" s="1243"/>
      <c r="HZ211" s="1243"/>
      <c r="IA211" s="1243"/>
      <c r="IB211" s="1243"/>
      <c r="IC211" s="1243"/>
      <c r="ID211" s="1243"/>
      <c r="IE211" s="1243"/>
      <c r="IF211" s="1243"/>
      <c r="IG211" s="1243"/>
      <c r="IH211" s="1243"/>
      <c r="II211" s="1243"/>
      <c r="IJ211" s="1243"/>
      <c r="IK211" s="1243"/>
      <c r="IL211" s="1243"/>
      <c r="IM211" s="1243"/>
      <c r="IN211" s="1243"/>
      <c r="IO211" s="1243"/>
      <c r="IP211" s="1243"/>
      <c r="IQ211" s="1243"/>
      <c r="IR211" s="1243"/>
      <c r="IS211" s="1243"/>
      <c r="IT211" s="1243"/>
      <c r="IU211" s="1243"/>
      <c r="IV211" s="1243"/>
      <c r="IW211" s="1243"/>
      <c r="IX211" s="1243"/>
      <c r="IY211" s="1243"/>
      <c r="IZ211" s="1243"/>
      <c r="JA211" s="1243"/>
      <c r="JB211" s="1243"/>
      <c r="JC211" s="1243"/>
      <c r="JD211" s="1243"/>
      <c r="JE211" s="1243"/>
      <c r="JF211" s="1243"/>
      <c r="JG211" s="1243"/>
      <c r="JH211" s="1243"/>
      <c r="JI211" s="1243"/>
      <c r="JJ211" s="1243"/>
      <c r="JK211" s="1243"/>
      <c r="JL211" s="1243"/>
      <c r="JM211" s="1243"/>
      <c r="JN211" s="1243"/>
      <c r="JO211" s="1243"/>
      <c r="JP211" s="1243"/>
      <c r="JQ211" s="1243"/>
      <c r="JR211" s="1243"/>
      <c r="JS211" s="1243"/>
      <c r="JT211" s="1243"/>
      <c r="JU211" s="1243"/>
      <c r="JV211" s="1243"/>
      <c r="JW211" s="1243"/>
      <c r="JX211" s="1243"/>
      <c r="JY211" s="1243"/>
      <c r="JZ211" s="1243"/>
      <c r="KA211" s="1243"/>
      <c r="KB211" s="1243"/>
      <c r="KC211" s="1243"/>
      <c r="KD211" s="1243"/>
      <c r="KE211" s="1243"/>
      <c r="KF211" s="1243"/>
      <c r="KG211" s="1243"/>
      <c r="KH211" s="1243"/>
      <c r="KI211" s="1243"/>
      <c r="KJ211" s="1243"/>
      <c r="KK211" s="1243"/>
      <c r="KL211" s="1243"/>
      <c r="KM211" s="1243"/>
      <c r="KN211" s="1243"/>
      <c r="KO211" s="1243"/>
      <c r="KP211" s="1243"/>
      <c r="KQ211" s="1243"/>
      <c r="KR211" s="1243"/>
      <c r="KS211" s="1243"/>
      <c r="KT211" s="1243"/>
      <c r="KU211" s="1243"/>
      <c r="KV211" s="1243"/>
      <c r="KW211" s="1243"/>
      <c r="KX211" s="1243"/>
      <c r="KY211" s="1243"/>
      <c r="KZ211" s="1243"/>
      <c r="LA211" s="1243"/>
      <c r="LB211" s="1243"/>
      <c r="LC211" s="1243"/>
      <c r="LD211" s="1243"/>
      <c r="LE211" s="1243"/>
      <c r="LF211" s="1243"/>
      <c r="LG211" s="1243"/>
      <c r="LH211" s="1243"/>
      <c r="LI211" s="1243"/>
      <c r="LJ211" s="1243"/>
      <c r="LK211" s="1243"/>
      <c r="LL211" s="1243"/>
      <c r="LM211" s="1243"/>
      <c r="LN211" s="1243"/>
      <c r="LO211" s="1243"/>
      <c r="LP211" s="1243"/>
      <c r="LQ211" s="1243"/>
      <c r="LR211" s="1243"/>
      <c r="LS211" s="1243"/>
      <c r="LT211" s="1243"/>
      <c r="LU211" s="1243"/>
      <c r="LV211" s="1243"/>
      <c r="LW211" s="1243"/>
      <c r="LX211" s="1243"/>
      <c r="LY211" s="1243"/>
      <c r="LZ211" s="1243"/>
      <c r="MA211" s="1243"/>
      <c r="MB211" s="1243"/>
      <c r="MC211" s="1243"/>
      <c r="MD211" s="1243"/>
      <c r="ME211" s="1243"/>
    </row>
    <row r="212" spans="1:343" s="1362" customFormat="1" ht="60" customHeight="1" x14ac:dyDescent="0.2">
      <c r="A212" s="1279"/>
      <c r="B212" s="1280"/>
      <c r="C212" s="1281"/>
      <c r="D212" s="1280"/>
      <c r="E212" s="1280"/>
      <c r="F212" s="1281"/>
      <c r="G212" s="1287"/>
      <c r="H212" s="1280"/>
      <c r="I212" s="1281"/>
      <c r="J212" s="3268"/>
      <c r="K212" s="3248"/>
      <c r="L212" s="3245"/>
      <c r="M212" s="3245"/>
      <c r="N212" s="3245"/>
      <c r="O212" s="3245"/>
      <c r="P212" s="3248"/>
      <c r="Q212" s="2623"/>
      <c r="R212" s="3349"/>
      <c r="S212" s="3248"/>
      <c r="T212" s="3248"/>
      <c r="U212" s="1288" t="s">
        <v>1647</v>
      </c>
      <c r="V212" s="261">
        <v>20000000</v>
      </c>
      <c r="W212" s="3273"/>
      <c r="X212" s="3245"/>
      <c r="Y212" s="3245"/>
      <c r="Z212" s="3245"/>
      <c r="AA212" s="3254"/>
      <c r="AB212" s="3254"/>
      <c r="AC212" s="3254"/>
      <c r="AD212" s="3254"/>
      <c r="AE212" s="3254"/>
      <c r="AF212" s="3254"/>
      <c r="AG212" s="3254"/>
      <c r="AH212" s="3254"/>
      <c r="AI212" s="3254"/>
      <c r="AJ212" s="3254"/>
      <c r="AK212" s="3254"/>
      <c r="AL212" s="3254"/>
      <c r="AM212" s="3254"/>
      <c r="AN212" s="3254"/>
      <c r="AO212" s="3263"/>
      <c r="AP212" s="3263"/>
      <c r="AQ212" s="3266"/>
      <c r="AR212" s="1286"/>
      <c r="AS212" s="1286"/>
      <c r="AT212" s="1286"/>
      <c r="AU212" s="1286"/>
      <c r="AV212" s="1286"/>
      <c r="AW212" s="1286"/>
      <c r="AX212" s="1286"/>
      <c r="AY212" s="1286"/>
      <c r="AZ212" s="1286"/>
      <c r="BA212" s="1286"/>
      <c r="BB212" s="1286"/>
      <c r="BC212" s="1286"/>
      <c r="BD212" s="1286"/>
      <c r="BE212" s="1286"/>
      <c r="BF212" s="1286"/>
      <c r="BG212" s="1286"/>
      <c r="BH212" s="1286"/>
      <c r="BI212" s="1286"/>
      <c r="BJ212" s="1286"/>
      <c r="BK212" s="1286"/>
      <c r="BL212" s="1286"/>
      <c r="BM212" s="1286"/>
      <c r="BN212" s="1286"/>
      <c r="BO212" s="1286"/>
      <c r="BP212" s="1286"/>
      <c r="BQ212" s="1286"/>
      <c r="BR212" s="1286"/>
      <c r="BS212" s="1286"/>
      <c r="BT212" s="1286"/>
      <c r="BU212" s="1286"/>
      <c r="BV212" s="1286"/>
      <c r="BW212" s="1286"/>
      <c r="BX212" s="1286"/>
      <c r="BY212" s="1286"/>
      <c r="BZ212" s="1243"/>
      <c r="CA212" s="1243"/>
      <c r="CB212" s="1243"/>
      <c r="CC212" s="1243"/>
      <c r="CD212" s="1243"/>
      <c r="CE212" s="1243"/>
      <c r="CF212" s="1243"/>
      <c r="CG212" s="1243"/>
      <c r="CH212" s="1243"/>
      <c r="CI212" s="1243"/>
      <c r="CJ212" s="1243"/>
      <c r="CK212" s="1243"/>
      <c r="CL212" s="1243"/>
      <c r="CM212" s="1243"/>
      <c r="CN212" s="1243"/>
      <c r="CO212" s="1243"/>
      <c r="CP212" s="1243"/>
      <c r="CQ212" s="1243"/>
      <c r="CR212" s="1243"/>
      <c r="CS212" s="1243"/>
      <c r="CT212" s="1243"/>
      <c r="CU212" s="1243"/>
      <c r="CV212" s="1243"/>
      <c r="CW212" s="1243"/>
      <c r="CX212" s="1243"/>
      <c r="CY212" s="1243"/>
      <c r="CZ212" s="1243"/>
      <c r="DA212" s="1243"/>
      <c r="DB212" s="1243"/>
      <c r="DC212" s="1243"/>
      <c r="DD212" s="1243"/>
      <c r="DE212" s="1243"/>
      <c r="DF212" s="1243"/>
      <c r="DG212" s="1243"/>
      <c r="DH212" s="1243"/>
      <c r="DI212" s="1243"/>
      <c r="DJ212" s="1243"/>
      <c r="DK212" s="1243"/>
      <c r="DL212" s="1243"/>
      <c r="DM212" s="1243"/>
      <c r="DN212" s="1243"/>
      <c r="DO212" s="1243"/>
      <c r="DP212" s="1243"/>
      <c r="DQ212" s="1243"/>
      <c r="DR212" s="1243"/>
      <c r="DS212" s="1243"/>
      <c r="DT212" s="1243"/>
      <c r="DU212" s="1243"/>
      <c r="DV212" s="1243"/>
      <c r="DW212" s="1243"/>
      <c r="DX212" s="1243"/>
      <c r="DY212" s="1243"/>
      <c r="DZ212" s="1243"/>
      <c r="EA212" s="1243"/>
      <c r="EB212" s="1243"/>
      <c r="EC212" s="1243"/>
      <c r="ED212" s="1243"/>
      <c r="EE212" s="1243"/>
      <c r="EF212" s="1243"/>
      <c r="EG212" s="1243"/>
      <c r="EH212" s="1243"/>
      <c r="EI212" s="1243"/>
      <c r="EJ212" s="1243"/>
      <c r="EK212" s="1243"/>
      <c r="EL212" s="1243"/>
      <c r="EM212" s="1243"/>
      <c r="EN212" s="1243"/>
      <c r="EO212" s="1243"/>
      <c r="EP212" s="1243"/>
      <c r="EQ212" s="1243"/>
      <c r="ER212" s="1243"/>
      <c r="ES212" s="1243"/>
      <c r="ET212" s="1243"/>
      <c r="EU212" s="1243"/>
      <c r="EV212" s="1243"/>
      <c r="EW212" s="1243"/>
      <c r="EX212" s="1243"/>
      <c r="EY212" s="1243"/>
      <c r="EZ212" s="1243"/>
      <c r="FA212" s="1243"/>
      <c r="FB212" s="1243"/>
      <c r="FC212" s="1243"/>
      <c r="FD212" s="1243"/>
      <c r="FE212" s="1243"/>
      <c r="FF212" s="1243"/>
      <c r="FG212" s="1243"/>
      <c r="FH212" s="1243"/>
      <c r="FI212" s="1243"/>
      <c r="FJ212" s="1243"/>
      <c r="FK212" s="1243"/>
      <c r="FL212" s="1243"/>
      <c r="FM212" s="1243"/>
      <c r="FN212" s="1243"/>
      <c r="FO212" s="1243"/>
      <c r="FP212" s="1243"/>
      <c r="FQ212" s="1243"/>
      <c r="FR212" s="1243"/>
      <c r="FS212" s="1243"/>
      <c r="FT212" s="1243"/>
      <c r="FU212" s="1243"/>
      <c r="FV212" s="1243"/>
      <c r="FW212" s="1243"/>
      <c r="FX212" s="1243"/>
      <c r="FY212" s="1243"/>
      <c r="FZ212" s="1243"/>
      <c r="GA212" s="1243"/>
      <c r="GB212" s="1243"/>
      <c r="GC212" s="1243"/>
      <c r="GD212" s="1243"/>
      <c r="GE212" s="1243"/>
      <c r="GF212" s="1243"/>
      <c r="GG212" s="1243"/>
      <c r="GH212" s="1243"/>
      <c r="GI212" s="1243"/>
      <c r="GJ212" s="1243"/>
      <c r="GK212" s="1243"/>
      <c r="GL212" s="1243"/>
      <c r="GM212" s="1243"/>
      <c r="GN212" s="1243"/>
      <c r="GO212" s="1243"/>
      <c r="GP212" s="1243"/>
      <c r="GQ212" s="1243"/>
      <c r="GR212" s="1243"/>
      <c r="GS212" s="1243"/>
      <c r="GT212" s="1243"/>
      <c r="GU212" s="1243"/>
      <c r="GV212" s="1243"/>
      <c r="GW212" s="1243"/>
      <c r="GX212" s="1243"/>
      <c r="GY212" s="1243"/>
      <c r="GZ212" s="1243"/>
      <c r="HA212" s="1243"/>
      <c r="HB212" s="1243"/>
      <c r="HC212" s="1243"/>
      <c r="HD212" s="1243"/>
      <c r="HE212" s="1243"/>
      <c r="HF212" s="1243"/>
      <c r="HG212" s="1243"/>
      <c r="HH212" s="1243"/>
      <c r="HI212" s="1243"/>
      <c r="HJ212" s="1243"/>
      <c r="HK212" s="1243"/>
      <c r="HL212" s="1243"/>
      <c r="HM212" s="1243"/>
      <c r="HN212" s="1243"/>
      <c r="HO212" s="1243"/>
      <c r="HP212" s="1243"/>
      <c r="HQ212" s="1243"/>
      <c r="HR212" s="1243"/>
      <c r="HS212" s="1243"/>
      <c r="HT212" s="1243"/>
      <c r="HU212" s="1243"/>
      <c r="HV212" s="1243"/>
      <c r="HW212" s="1243"/>
      <c r="HX212" s="1243"/>
      <c r="HY212" s="1243"/>
      <c r="HZ212" s="1243"/>
      <c r="IA212" s="1243"/>
      <c r="IB212" s="1243"/>
      <c r="IC212" s="1243"/>
      <c r="ID212" s="1243"/>
      <c r="IE212" s="1243"/>
      <c r="IF212" s="1243"/>
      <c r="IG212" s="1243"/>
      <c r="IH212" s="1243"/>
      <c r="II212" s="1243"/>
      <c r="IJ212" s="1243"/>
      <c r="IK212" s="1243"/>
      <c r="IL212" s="1243"/>
      <c r="IM212" s="1243"/>
      <c r="IN212" s="1243"/>
      <c r="IO212" s="1243"/>
      <c r="IP212" s="1243"/>
      <c r="IQ212" s="1243"/>
      <c r="IR212" s="1243"/>
      <c r="IS212" s="1243"/>
      <c r="IT212" s="1243"/>
      <c r="IU212" s="1243"/>
      <c r="IV212" s="1243"/>
      <c r="IW212" s="1243"/>
      <c r="IX212" s="1243"/>
      <c r="IY212" s="1243"/>
      <c r="IZ212" s="1243"/>
      <c r="JA212" s="1243"/>
      <c r="JB212" s="1243"/>
      <c r="JC212" s="1243"/>
      <c r="JD212" s="1243"/>
      <c r="JE212" s="1243"/>
      <c r="JF212" s="1243"/>
      <c r="JG212" s="1243"/>
      <c r="JH212" s="1243"/>
      <c r="JI212" s="1243"/>
      <c r="JJ212" s="1243"/>
      <c r="JK212" s="1243"/>
      <c r="JL212" s="1243"/>
      <c r="JM212" s="1243"/>
      <c r="JN212" s="1243"/>
      <c r="JO212" s="1243"/>
      <c r="JP212" s="1243"/>
      <c r="JQ212" s="1243"/>
      <c r="JR212" s="1243"/>
      <c r="JS212" s="1243"/>
      <c r="JT212" s="1243"/>
      <c r="JU212" s="1243"/>
      <c r="JV212" s="1243"/>
      <c r="JW212" s="1243"/>
      <c r="JX212" s="1243"/>
      <c r="JY212" s="1243"/>
      <c r="JZ212" s="1243"/>
      <c r="KA212" s="1243"/>
      <c r="KB212" s="1243"/>
      <c r="KC212" s="1243"/>
      <c r="KD212" s="1243"/>
      <c r="KE212" s="1243"/>
      <c r="KF212" s="1243"/>
      <c r="KG212" s="1243"/>
      <c r="KH212" s="1243"/>
      <c r="KI212" s="1243"/>
      <c r="KJ212" s="1243"/>
      <c r="KK212" s="1243"/>
      <c r="KL212" s="1243"/>
      <c r="KM212" s="1243"/>
      <c r="KN212" s="1243"/>
      <c r="KO212" s="1243"/>
      <c r="KP212" s="1243"/>
      <c r="KQ212" s="1243"/>
      <c r="KR212" s="1243"/>
      <c r="KS212" s="1243"/>
      <c r="KT212" s="1243"/>
      <c r="KU212" s="1243"/>
      <c r="KV212" s="1243"/>
      <c r="KW212" s="1243"/>
      <c r="KX212" s="1243"/>
      <c r="KY212" s="1243"/>
      <c r="KZ212" s="1243"/>
      <c r="LA212" s="1243"/>
      <c r="LB212" s="1243"/>
      <c r="LC212" s="1243"/>
      <c r="LD212" s="1243"/>
      <c r="LE212" s="1243"/>
      <c r="LF212" s="1243"/>
      <c r="LG212" s="1243"/>
      <c r="LH212" s="1243"/>
      <c r="LI212" s="1243"/>
      <c r="LJ212" s="1243"/>
      <c r="LK212" s="1243"/>
      <c r="LL212" s="1243"/>
      <c r="LM212" s="1243"/>
      <c r="LN212" s="1243"/>
      <c r="LO212" s="1243"/>
      <c r="LP212" s="1243"/>
      <c r="LQ212" s="1243"/>
      <c r="LR212" s="1243"/>
      <c r="LS212" s="1243"/>
      <c r="LT212" s="1243"/>
      <c r="LU212" s="1243"/>
      <c r="LV212" s="1243"/>
      <c r="LW212" s="1243"/>
      <c r="LX212" s="1243"/>
      <c r="LY212" s="1243"/>
      <c r="LZ212" s="1243"/>
      <c r="MA212" s="1243"/>
      <c r="MB212" s="1243"/>
      <c r="MC212" s="1243"/>
      <c r="MD212" s="1243"/>
      <c r="ME212" s="1243"/>
    </row>
    <row r="213" spans="1:343" s="1362" customFormat="1" ht="105" x14ac:dyDescent="0.2">
      <c r="A213" s="1279"/>
      <c r="B213" s="1280"/>
      <c r="C213" s="1281"/>
      <c r="D213" s="1289"/>
      <c r="E213" s="1289"/>
      <c r="F213" s="1290"/>
      <c r="G213" s="1291"/>
      <c r="H213" s="1289"/>
      <c r="I213" s="1290"/>
      <c r="J213" s="3268"/>
      <c r="K213" s="3248"/>
      <c r="L213" s="3245"/>
      <c r="M213" s="3245"/>
      <c r="N213" s="3245"/>
      <c r="O213" s="3245"/>
      <c r="P213" s="3248"/>
      <c r="Q213" s="2623"/>
      <c r="R213" s="3349"/>
      <c r="S213" s="3248"/>
      <c r="T213" s="3248"/>
      <c r="U213" s="1288" t="s">
        <v>1648</v>
      </c>
      <c r="V213" s="261">
        <v>39286843</v>
      </c>
      <c r="W213" s="3273"/>
      <c r="X213" s="3245"/>
      <c r="Y213" s="3245"/>
      <c r="Z213" s="3245"/>
      <c r="AA213" s="3254"/>
      <c r="AB213" s="3254"/>
      <c r="AC213" s="3254"/>
      <c r="AD213" s="3254"/>
      <c r="AE213" s="3254"/>
      <c r="AF213" s="3254"/>
      <c r="AG213" s="3254"/>
      <c r="AH213" s="3254"/>
      <c r="AI213" s="3254"/>
      <c r="AJ213" s="3254"/>
      <c r="AK213" s="3254"/>
      <c r="AL213" s="3254"/>
      <c r="AM213" s="3254"/>
      <c r="AN213" s="3254"/>
      <c r="AO213" s="3263"/>
      <c r="AP213" s="3263"/>
      <c r="AQ213" s="3266"/>
      <c r="AR213" s="1286"/>
      <c r="AS213" s="1286"/>
      <c r="AT213" s="1286"/>
      <c r="AU213" s="1286"/>
      <c r="AV213" s="1286"/>
      <c r="AW213" s="1286"/>
      <c r="AX213" s="1286"/>
      <c r="AY213" s="1286"/>
      <c r="AZ213" s="1286"/>
      <c r="BA213" s="1286"/>
      <c r="BB213" s="1286"/>
      <c r="BC213" s="1286"/>
      <c r="BD213" s="1286"/>
      <c r="BE213" s="1286"/>
      <c r="BF213" s="1286"/>
      <c r="BG213" s="1286"/>
      <c r="BH213" s="1286"/>
      <c r="BI213" s="1286"/>
      <c r="BJ213" s="1286"/>
      <c r="BK213" s="1286"/>
      <c r="BL213" s="1286"/>
      <c r="BM213" s="1286"/>
      <c r="BN213" s="1286"/>
      <c r="BO213" s="1286"/>
      <c r="BP213" s="1286"/>
      <c r="BQ213" s="1286"/>
      <c r="BR213" s="1286"/>
      <c r="BS213" s="1286"/>
      <c r="BT213" s="1286"/>
      <c r="BU213" s="1286"/>
      <c r="BV213" s="1286"/>
      <c r="BW213" s="1286"/>
      <c r="BX213" s="1286"/>
      <c r="BY213" s="1286"/>
      <c r="BZ213" s="1243"/>
      <c r="CA213" s="1243"/>
      <c r="CB213" s="1243"/>
      <c r="CC213" s="1243"/>
      <c r="CD213" s="1243"/>
      <c r="CE213" s="1243"/>
      <c r="CF213" s="1243"/>
      <c r="CG213" s="1243"/>
      <c r="CH213" s="1243"/>
      <c r="CI213" s="1243"/>
      <c r="CJ213" s="1243"/>
      <c r="CK213" s="1243"/>
      <c r="CL213" s="1243"/>
      <c r="CM213" s="1243"/>
      <c r="CN213" s="1243"/>
      <c r="CO213" s="1243"/>
      <c r="CP213" s="1243"/>
      <c r="CQ213" s="1243"/>
      <c r="CR213" s="1243"/>
      <c r="CS213" s="1243"/>
      <c r="CT213" s="1243"/>
      <c r="CU213" s="1243"/>
      <c r="CV213" s="1243"/>
      <c r="CW213" s="1243"/>
      <c r="CX213" s="1243"/>
      <c r="CY213" s="1243"/>
      <c r="CZ213" s="1243"/>
      <c r="DA213" s="1243"/>
      <c r="DB213" s="1243"/>
      <c r="DC213" s="1243"/>
      <c r="DD213" s="1243"/>
      <c r="DE213" s="1243"/>
      <c r="DF213" s="1243"/>
      <c r="DG213" s="1243"/>
      <c r="DH213" s="1243"/>
      <c r="DI213" s="1243"/>
      <c r="DJ213" s="1243"/>
      <c r="DK213" s="1243"/>
      <c r="DL213" s="1243"/>
      <c r="DM213" s="1243"/>
      <c r="DN213" s="1243"/>
      <c r="DO213" s="1243"/>
      <c r="DP213" s="1243"/>
      <c r="DQ213" s="1243"/>
      <c r="DR213" s="1243"/>
      <c r="DS213" s="1243"/>
      <c r="DT213" s="1243"/>
      <c r="DU213" s="1243"/>
      <c r="DV213" s="1243"/>
      <c r="DW213" s="1243"/>
      <c r="DX213" s="1243"/>
      <c r="DY213" s="1243"/>
      <c r="DZ213" s="1243"/>
      <c r="EA213" s="1243"/>
      <c r="EB213" s="1243"/>
      <c r="EC213" s="1243"/>
      <c r="ED213" s="1243"/>
      <c r="EE213" s="1243"/>
      <c r="EF213" s="1243"/>
      <c r="EG213" s="1243"/>
      <c r="EH213" s="1243"/>
      <c r="EI213" s="1243"/>
      <c r="EJ213" s="1243"/>
      <c r="EK213" s="1243"/>
      <c r="EL213" s="1243"/>
      <c r="EM213" s="1243"/>
      <c r="EN213" s="1243"/>
      <c r="EO213" s="1243"/>
      <c r="EP213" s="1243"/>
      <c r="EQ213" s="1243"/>
      <c r="ER213" s="1243"/>
      <c r="ES213" s="1243"/>
      <c r="ET213" s="1243"/>
      <c r="EU213" s="1243"/>
      <c r="EV213" s="1243"/>
      <c r="EW213" s="1243"/>
      <c r="EX213" s="1243"/>
      <c r="EY213" s="1243"/>
      <c r="EZ213" s="1243"/>
      <c r="FA213" s="1243"/>
      <c r="FB213" s="1243"/>
      <c r="FC213" s="1243"/>
      <c r="FD213" s="1243"/>
      <c r="FE213" s="1243"/>
      <c r="FF213" s="1243"/>
      <c r="FG213" s="1243"/>
      <c r="FH213" s="1243"/>
      <c r="FI213" s="1243"/>
      <c r="FJ213" s="1243"/>
      <c r="FK213" s="1243"/>
      <c r="FL213" s="1243"/>
      <c r="FM213" s="1243"/>
      <c r="FN213" s="1243"/>
      <c r="FO213" s="1243"/>
      <c r="FP213" s="1243"/>
      <c r="FQ213" s="1243"/>
      <c r="FR213" s="1243"/>
      <c r="FS213" s="1243"/>
      <c r="FT213" s="1243"/>
      <c r="FU213" s="1243"/>
      <c r="FV213" s="1243"/>
      <c r="FW213" s="1243"/>
      <c r="FX213" s="1243"/>
      <c r="FY213" s="1243"/>
      <c r="FZ213" s="1243"/>
      <c r="GA213" s="1243"/>
      <c r="GB213" s="1243"/>
      <c r="GC213" s="1243"/>
      <c r="GD213" s="1243"/>
      <c r="GE213" s="1243"/>
      <c r="GF213" s="1243"/>
      <c r="GG213" s="1243"/>
      <c r="GH213" s="1243"/>
      <c r="GI213" s="1243"/>
      <c r="GJ213" s="1243"/>
      <c r="GK213" s="1243"/>
      <c r="GL213" s="1243"/>
      <c r="GM213" s="1243"/>
      <c r="GN213" s="1243"/>
      <c r="GO213" s="1243"/>
      <c r="GP213" s="1243"/>
      <c r="GQ213" s="1243"/>
      <c r="GR213" s="1243"/>
      <c r="GS213" s="1243"/>
      <c r="GT213" s="1243"/>
      <c r="GU213" s="1243"/>
      <c r="GV213" s="1243"/>
      <c r="GW213" s="1243"/>
      <c r="GX213" s="1243"/>
      <c r="GY213" s="1243"/>
      <c r="GZ213" s="1243"/>
      <c r="HA213" s="1243"/>
      <c r="HB213" s="1243"/>
      <c r="HC213" s="1243"/>
      <c r="HD213" s="1243"/>
      <c r="HE213" s="1243"/>
      <c r="HF213" s="1243"/>
      <c r="HG213" s="1243"/>
      <c r="HH213" s="1243"/>
      <c r="HI213" s="1243"/>
      <c r="HJ213" s="1243"/>
      <c r="HK213" s="1243"/>
      <c r="HL213" s="1243"/>
      <c r="HM213" s="1243"/>
      <c r="HN213" s="1243"/>
      <c r="HO213" s="1243"/>
      <c r="HP213" s="1243"/>
      <c r="HQ213" s="1243"/>
      <c r="HR213" s="1243"/>
      <c r="HS213" s="1243"/>
      <c r="HT213" s="1243"/>
      <c r="HU213" s="1243"/>
      <c r="HV213" s="1243"/>
      <c r="HW213" s="1243"/>
      <c r="HX213" s="1243"/>
      <c r="HY213" s="1243"/>
      <c r="HZ213" s="1243"/>
      <c r="IA213" s="1243"/>
      <c r="IB213" s="1243"/>
      <c r="IC213" s="1243"/>
      <c r="ID213" s="1243"/>
      <c r="IE213" s="1243"/>
      <c r="IF213" s="1243"/>
      <c r="IG213" s="1243"/>
      <c r="IH213" s="1243"/>
      <c r="II213" s="1243"/>
      <c r="IJ213" s="1243"/>
      <c r="IK213" s="1243"/>
      <c r="IL213" s="1243"/>
      <c r="IM213" s="1243"/>
      <c r="IN213" s="1243"/>
      <c r="IO213" s="1243"/>
      <c r="IP213" s="1243"/>
      <c r="IQ213" s="1243"/>
      <c r="IR213" s="1243"/>
      <c r="IS213" s="1243"/>
      <c r="IT213" s="1243"/>
      <c r="IU213" s="1243"/>
      <c r="IV213" s="1243"/>
      <c r="IW213" s="1243"/>
      <c r="IX213" s="1243"/>
      <c r="IY213" s="1243"/>
      <c r="IZ213" s="1243"/>
      <c r="JA213" s="1243"/>
      <c r="JB213" s="1243"/>
      <c r="JC213" s="1243"/>
      <c r="JD213" s="1243"/>
      <c r="JE213" s="1243"/>
      <c r="JF213" s="1243"/>
      <c r="JG213" s="1243"/>
      <c r="JH213" s="1243"/>
      <c r="JI213" s="1243"/>
      <c r="JJ213" s="1243"/>
      <c r="JK213" s="1243"/>
      <c r="JL213" s="1243"/>
      <c r="JM213" s="1243"/>
      <c r="JN213" s="1243"/>
      <c r="JO213" s="1243"/>
      <c r="JP213" s="1243"/>
      <c r="JQ213" s="1243"/>
      <c r="JR213" s="1243"/>
      <c r="JS213" s="1243"/>
      <c r="JT213" s="1243"/>
      <c r="JU213" s="1243"/>
      <c r="JV213" s="1243"/>
      <c r="JW213" s="1243"/>
      <c r="JX213" s="1243"/>
      <c r="JY213" s="1243"/>
      <c r="JZ213" s="1243"/>
      <c r="KA213" s="1243"/>
      <c r="KB213" s="1243"/>
      <c r="KC213" s="1243"/>
      <c r="KD213" s="1243"/>
      <c r="KE213" s="1243"/>
      <c r="KF213" s="1243"/>
      <c r="KG213" s="1243"/>
      <c r="KH213" s="1243"/>
      <c r="KI213" s="1243"/>
      <c r="KJ213" s="1243"/>
      <c r="KK213" s="1243"/>
      <c r="KL213" s="1243"/>
      <c r="KM213" s="1243"/>
      <c r="KN213" s="1243"/>
      <c r="KO213" s="1243"/>
      <c r="KP213" s="1243"/>
      <c r="KQ213" s="1243"/>
      <c r="KR213" s="1243"/>
      <c r="KS213" s="1243"/>
      <c r="KT213" s="1243"/>
      <c r="KU213" s="1243"/>
      <c r="KV213" s="1243"/>
      <c r="KW213" s="1243"/>
      <c r="KX213" s="1243"/>
      <c r="KY213" s="1243"/>
      <c r="KZ213" s="1243"/>
      <c r="LA213" s="1243"/>
      <c r="LB213" s="1243"/>
      <c r="LC213" s="1243"/>
      <c r="LD213" s="1243"/>
      <c r="LE213" s="1243"/>
      <c r="LF213" s="1243"/>
      <c r="LG213" s="1243"/>
      <c r="LH213" s="1243"/>
      <c r="LI213" s="1243"/>
      <c r="LJ213" s="1243"/>
      <c r="LK213" s="1243"/>
      <c r="LL213" s="1243"/>
      <c r="LM213" s="1243"/>
      <c r="LN213" s="1243"/>
      <c r="LO213" s="1243"/>
      <c r="LP213" s="1243"/>
      <c r="LQ213" s="1243"/>
      <c r="LR213" s="1243"/>
      <c r="LS213" s="1243"/>
      <c r="LT213" s="1243"/>
      <c r="LU213" s="1243"/>
      <c r="LV213" s="1243"/>
      <c r="LW213" s="1243"/>
      <c r="LX213" s="1243"/>
      <c r="LY213" s="1243"/>
      <c r="LZ213" s="1243"/>
      <c r="MA213" s="1243"/>
      <c r="MB213" s="1243"/>
      <c r="MC213" s="1243"/>
      <c r="MD213" s="1243"/>
      <c r="ME213" s="1243"/>
    </row>
    <row r="214" spans="1:343" s="1254" customFormat="1" ht="15.75" x14ac:dyDescent="0.2">
      <c r="A214" s="1265"/>
      <c r="C214" s="1292"/>
      <c r="D214" s="1363">
        <v>13</v>
      </c>
      <c r="E214" s="1364" t="s">
        <v>1649</v>
      </c>
      <c r="F214" s="1364"/>
      <c r="G214" s="1365"/>
      <c r="H214" s="1365"/>
      <c r="I214" s="1365"/>
      <c r="J214" s="1365"/>
      <c r="K214" s="1366"/>
      <c r="L214" s="1365"/>
      <c r="M214" s="1365"/>
      <c r="N214" s="1367"/>
      <c r="O214" s="1365"/>
      <c r="P214" s="1366"/>
      <c r="Q214" s="1365"/>
      <c r="R214" s="1365"/>
      <c r="S214" s="1365"/>
      <c r="T214" s="1366"/>
      <c r="U214" s="1366"/>
      <c r="V214" s="1152"/>
      <c r="W214" s="1368"/>
      <c r="X214" s="1367"/>
      <c r="Y214" s="1367"/>
      <c r="Z214" s="1367"/>
      <c r="AA214" s="1369"/>
      <c r="AB214" s="1369"/>
      <c r="AC214" s="1367"/>
      <c r="AD214" s="1369"/>
      <c r="AE214" s="1369"/>
      <c r="AF214" s="1369"/>
      <c r="AG214" s="1369"/>
      <c r="AH214" s="1369"/>
      <c r="AI214" s="1369"/>
      <c r="AJ214" s="1367"/>
      <c r="AK214" s="1369"/>
      <c r="AL214" s="1369"/>
      <c r="AM214" s="1367"/>
      <c r="AN214" s="1369"/>
      <c r="AO214" s="1365"/>
      <c r="AP214" s="1365"/>
      <c r="AQ214" s="1370"/>
    </row>
    <row r="215" spans="1:343" s="1254" customFormat="1" ht="15.75" x14ac:dyDescent="0.2">
      <c r="A215" s="1265"/>
      <c r="B215" s="1266"/>
      <c r="C215" s="1267"/>
      <c r="D215" s="3350"/>
      <c r="E215" s="3351"/>
      <c r="F215" s="3351"/>
      <c r="G215" s="1299">
        <v>47</v>
      </c>
      <c r="H215" s="1271" t="s">
        <v>1650</v>
      </c>
      <c r="I215" s="1271"/>
      <c r="J215" s="1271"/>
      <c r="K215" s="1272"/>
      <c r="L215" s="1271"/>
      <c r="M215" s="1271"/>
      <c r="N215" s="1273"/>
      <c r="O215" s="1271"/>
      <c r="P215" s="1272"/>
      <c r="Q215" s="1271"/>
      <c r="R215" s="1271"/>
      <c r="S215" s="1271"/>
      <c r="T215" s="1272"/>
      <c r="U215" s="1272"/>
      <c r="V215" s="1300"/>
      <c r="W215" s="1301"/>
      <c r="X215" s="1273"/>
      <c r="Y215" s="1273"/>
      <c r="Z215" s="1273"/>
      <c r="AA215" s="1302"/>
      <c r="AB215" s="1302"/>
      <c r="AC215" s="1273"/>
      <c r="AD215" s="1302"/>
      <c r="AE215" s="1302"/>
      <c r="AF215" s="1302"/>
      <c r="AG215" s="1302"/>
      <c r="AH215" s="1302"/>
      <c r="AI215" s="1302"/>
      <c r="AJ215" s="1273"/>
      <c r="AK215" s="1302"/>
      <c r="AL215" s="1302"/>
      <c r="AM215" s="1273"/>
      <c r="AN215" s="1302"/>
      <c r="AO215" s="1271"/>
      <c r="AP215" s="1271"/>
      <c r="AQ215" s="1278"/>
    </row>
    <row r="216" spans="1:343" ht="78" customHeight="1" x14ac:dyDescent="0.2">
      <c r="A216" s="1265"/>
      <c r="B216" s="1266"/>
      <c r="C216" s="1267"/>
      <c r="D216" s="3352"/>
      <c r="E216" s="3353"/>
      <c r="F216" s="3353"/>
      <c r="G216" s="3268"/>
      <c r="H216" s="3268"/>
      <c r="I216" s="3268"/>
      <c r="J216" s="3268">
        <v>163</v>
      </c>
      <c r="K216" s="3356" t="s">
        <v>1651</v>
      </c>
      <c r="L216" s="3268" t="s">
        <v>1318</v>
      </c>
      <c r="M216" s="3268">
        <v>12</v>
      </c>
      <c r="N216" s="3356" t="s">
        <v>1652</v>
      </c>
      <c r="O216" s="3268">
        <v>153</v>
      </c>
      <c r="P216" s="3268" t="s">
        <v>1653</v>
      </c>
      <c r="Q216" s="3362">
        <f>(V216+V217)/R216</f>
        <v>9.3998920055837786E-4</v>
      </c>
      <c r="R216" s="3363">
        <f>SUM(V216+V217+V219+V221+V222)</f>
        <v>30900355007</v>
      </c>
      <c r="S216" s="3364" t="s">
        <v>1654</v>
      </c>
      <c r="T216" s="3259" t="s">
        <v>1655</v>
      </c>
      <c r="U216" s="1371" t="s">
        <v>1656</v>
      </c>
      <c r="V216" s="287">
        <v>14523000</v>
      </c>
      <c r="W216" s="3361">
        <v>72</v>
      </c>
      <c r="X216" s="3356" t="s">
        <v>1657</v>
      </c>
      <c r="Y216" s="3268">
        <v>292684</v>
      </c>
      <c r="Z216" s="3268">
        <v>282326</v>
      </c>
      <c r="AA216" s="3358">
        <v>135912</v>
      </c>
      <c r="AB216" s="3358">
        <v>45122</v>
      </c>
      <c r="AC216" s="3358">
        <f>SUM(AC205)</f>
        <v>307101</v>
      </c>
      <c r="AD216" s="3358">
        <f>SUM(AD205)</f>
        <v>86875</v>
      </c>
      <c r="AE216" s="3358">
        <v>2145</v>
      </c>
      <c r="AF216" s="3358">
        <v>12718</v>
      </c>
      <c r="AG216" s="3358">
        <v>26</v>
      </c>
      <c r="AH216" s="3358">
        <v>37</v>
      </c>
      <c r="AI216" s="3358" t="s">
        <v>1325</v>
      </c>
      <c r="AJ216" s="3358" t="s">
        <v>1325</v>
      </c>
      <c r="AK216" s="3358">
        <v>53164</v>
      </c>
      <c r="AL216" s="3358">
        <v>16982</v>
      </c>
      <c r="AM216" s="3358">
        <v>60013</v>
      </c>
      <c r="AN216" s="3250">
        <v>575010</v>
      </c>
      <c r="AO216" s="3345">
        <v>43101</v>
      </c>
      <c r="AP216" s="3345">
        <v>43465</v>
      </c>
      <c r="AQ216" s="3265" t="s">
        <v>1326</v>
      </c>
    </row>
    <row r="217" spans="1:343" ht="70.5" customHeight="1" x14ac:dyDescent="0.2">
      <c r="A217" s="1265"/>
      <c r="B217" s="1266"/>
      <c r="C217" s="1267"/>
      <c r="D217" s="3352"/>
      <c r="E217" s="3353"/>
      <c r="F217" s="3353"/>
      <c r="G217" s="3268"/>
      <c r="H217" s="3268"/>
      <c r="I217" s="3268"/>
      <c r="J217" s="3268"/>
      <c r="K217" s="3357"/>
      <c r="L217" s="3268"/>
      <c r="M217" s="3268"/>
      <c r="N217" s="3357"/>
      <c r="O217" s="3268"/>
      <c r="P217" s="3268"/>
      <c r="Q217" s="3362"/>
      <c r="R217" s="3363"/>
      <c r="S217" s="3365"/>
      <c r="T217" s="3261"/>
      <c r="U217" s="1371" t="s">
        <v>1658</v>
      </c>
      <c r="V217" s="287">
        <v>14523000</v>
      </c>
      <c r="W217" s="3361"/>
      <c r="X217" s="3357"/>
      <c r="Y217" s="3268"/>
      <c r="Z217" s="3268"/>
      <c r="AA217" s="3358"/>
      <c r="AB217" s="3358"/>
      <c r="AC217" s="3358"/>
      <c r="AD217" s="3358"/>
      <c r="AE217" s="3358"/>
      <c r="AF217" s="3358"/>
      <c r="AG217" s="3358"/>
      <c r="AH217" s="3358"/>
      <c r="AI217" s="3358"/>
      <c r="AJ217" s="3358"/>
      <c r="AK217" s="3358"/>
      <c r="AL217" s="3358"/>
      <c r="AM217" s="3358"/>
      <c r="AN217" s="3251"/>
      <c r="AO217" s="3345"/>
      <c r="AP217" s="3345"/>
      <c r="AQ217" s="3266"/>
    </row>
    <row r="218" spans="1:343" s="1303" customFormat="1" ht="35.1" customHeight="1" x14ac:dyDescent="0.2">
      <c r="A218" s="1265"/>
      <c r="B218" s="1266"/>
      <c r="C218" s="1267"/>
      <c r="D218" s="3352"/>
      <c r="E218" s="3353"/>
      <c r="F218" s="3353"/>
      <c r="G218" s="1299">
        <v>48</v>
      </c>
      <c r="H218" s="1271" t="s">
        <v>1659</v>
      </c>
      <c r="I218" s="1271"/>
      <c r="J218" s="1271"/>
      <c r="K218" s="1272"/>
      <c r="L218" s="1271"/>
      <c r="M218" s="1271"/>
      <c r="N218" s="1273"/>
      <c r="O218" s="3268"/>
      <c r="P218" s="3268"/>
      <c r="Q218" s="1372"/>
      <c r="R218" s="3363"/>
      <c r="S218" s="3365"/>
      <c r="T218" s="1272"/>
      <c r="U218" s="1272"/>
      <c r="V218" s="1300"/>
      <c r="W218" s="1274"/>
      <c r="X218" s="1273"/>
      <c r="Y218" s="3268"/>
      <c r="Z218" s="3268"/>
      <c r="AA218" s="3358"/>
      <c r="AB218" s="3358"/>
      <c r="AC218" s="3358"/>
      <c r="AD218" s="3358"/>
      <c r="AE218" s="3358"/>
      <c r="AF218" s="3358"/>
      <c r="AG218" s="3358"/>
      <c r="AH218" s="3358"/>
      <c r="AI218" s="3358"/>
      <c r="AJ218" s="3358"/>
      <c r="AK218" s="3358"/>
      <c r="AL218" s="3358"/>
      <c r="AM218" s="3358"/>
      <c r="AN218" s="3251"/>
      <c r="AO218" s="3345"/>
      <c r="AP218" s="3345"/>
      <c r="AQ218" s="3266"/>
    </row>
    <row r="219" spans="1:343" ht="120" x14ac:dyDescent="0.2">
      <c r="A219" s="1265"/>
      <c r="B219" s="1266"/>
      <c r="C219" s="1267"/>
      <c r="D219" s="3352"/>
      <c r="E219" s="3353"/>
      <c r="F219" s="3353"/>
      <c r="G219" s="1282"/>
      <c r="H219" s="1283"/>
      <c r="I219" s="1284"/>
      <c r="J219" s="1359">
        <v>164</v>
      </c>
      <c r="K219" s="1315" t="s">
        <v>1660</v>
      </c>
      <c r="L219" s="1359" t="s">
        <v>1318</v>
      </c>
      <c r="M219" s="1359">
        <v>12</v>
      </c>
      <c r="N219" s="1373" t="s">
        <v>1661</v>
      </c>
      <c r="O219" s="3268"/>
      <c r="P219" s="3268"/>
      <c r="Q219" s="1374">
        <f>V219/R216</f>
        <v>0.99838321857503964</v>
      </c>
      <c r="R219" s="3363"/>
      <c r="S219" s="3365"/>
      <c r="T219" s="1315" t="s">
        <v>1662</v>
      </c>
      <c r="U219" s="1371" t="s">
        <v>1663</v>
      </c>
      <c r="V219" s="287">
        <v>30850395887</v>
      </c>
      <c r="W219" s="1375">
        <v>64</v>
      </c>
      <c r="X219" s="1373" t="s">
        <v>1664</v>
      </c>
      <c r="Y219" s="3268"/>
      <c r="Z219" s="3268"/>
      <c r="AA219" s="3358"/>
      <c r="AB219" s="3358"/>
      <c r="AC219" s="3358"/>
      <c r="AD219" s="3358"/>
      <c r="AE219" s="3358"/>
      <c r="AF219" s="3358"/>
      <c r="AG219" s="3358"/>
      <c r="AH219" s="3358"/>
      <c r="AI219" s="3358"/>
      <c r="AJ219" s="3358"/>
      <c r="AK219" s="3358"/>
      <c r="AL219" s="3358"/>
      <c r="AM219" s="3358"/>
      <c r="AN219" s="3251"/>
      <c r="AO219" s="3345"/>
      <c r="AP219" s="3345"/>
      <c r="AQ219" s="3266"/>
    </row>
    <row r="220" spans="1:343" s="1303" customFormat="1" ht="35.1" customHeight="1" x14ac:dyDescent="0.2">
      <c r="A220" s="1265"/>
      <c r="B220" s="1266"/>
      <c r="C220" s="1267"/>
      <c r="D220" s="3352"/>
      <c r="E220" s="3353"/>
      <c r="F220" s="3353"/>
      <c r="G220" s="1299">
        <v>49</v>
      </c>
      <c r="H220" s="1271" t="s">
        <v>1665</v>
      </c>
      <c r="I220" s="1271"/>
      <c r="J220" s="1271"/>
      <c r="K220" s="1272"/>
      <c r="L220" s="1271"/>
      <c r="M220" s="1271"/>
      <c r="N220" s="1273"/>
      <c r="O220" s="3268"/>
      <c r="P220" s="3268"/>
      <c r="Q220" s="1372"/>
      <c r="R220" s="3363"/>
      <c r="S220" s="3365"/>
      <c r="T220" s="1272"/>
      <c r="U220" s="1272"/>
      <c r="V220" s="1300"/>
      <c r="W220" s="1274"/>
      <c r="X220" s="1273"/>
      <c r="Y220" s="3268"/>
      <c r="Z220" s="3268"/>
      <c r="AA220" s="3358"/>
      <c r="AB220" s="3358"/>
      <c r="AC220" s="3358"/>
      <c r="AD220" s="3358"/>
      <c r="AE220" s="3358"/>
      <c r="AF220" s="3358"/>
      <c r="AG220" s="3358"/>
      <c r="AH220" s="3358"/>
      <c r="AI220" s="3358"/>
      <c r="AJ220" s="3358"/>
      <c r="AK220" s="3358"/>
      <c r="AL220" s="3358"/>
      <c r="AM220" s="3358"/>
      <c r="AN220" s="3251"/>
      <c r="AO220" s="3345"/>
      <c r="AP220" s="3345"/>
      <c r="AQ220" s="3266"/>
    </row>
    <row r="221" spans="1:343" ht="60" x14ac:dyDescent="0.2">
      <c r="A221" s="1265"/>
      <c r="B221" s="1266"/>
      <c r="C221" s="1267"/>
      <c r="D221" s="3352"/>
      <c r="E221" s="3353"/>
      <c r="F221" s="3353"/>
      <c r="G221" s="3268"/>
      <c r="H221" s="3268"/>
      <c r="I221" s="3268"/>
      <c r="J221" s="3268">
        <v>165</v>
      </c>
      <c r="K221" s="3315" t="s">
        <v>1666</v>
      </c>
      <c r="L221" s="3268" t="s">
        <v>1318</v>
      </c>
      <c r="M221" s="3268">
        <v>12</v>
      </c>
      <c r="N221" s="3268" t="s">
        <v>1667</v>
      </c>
      <c r="O221" s="3268"/>
      <c r="P221" s="3268"/>
      <c r="Q221" s="3362">
        <f>(V221+V222)/R216</f>
        <v>6.7679222440203207E-4</v>
      </c>
      <c r="R221" s="3363"/>
      <c r="S221" s="3365"/>
      <c r="T221" s="3359" t="s">
        <v>1668</v>
      </c>
      <c r="U221" s="1376" t="s">
        <v>1669</v>
      </c>
      <c r="V221" s="261">
        <v>10456560</v>
      </c>
      <c r="W221" s="3361">
        <v>72</v>
      </c>
      <c r="X221" s="3268" t="s">
        <v>1657</v>
      </c>
      <c r="Y221" s="3268"/>
      <c r="Z221" s="3268"/>
      <c r="AA221" s="3358"/>
      <c r="AB221" s="3358"/>
      <c r="AC221" s="3358"/>
      <c r="AD221" s="3358"/>
      <c r="AE221" s="3358"/>
      <c r="AF221" s="3358"/>
      <c r="AG221" s="3358"/>
      <c r="AH221" s="3358"/>
      <c r="AI221" s="3358"/>
      <c r="AJ221" s="3358"/>
      <c r="AK221" s="3358"/>
      <c r="AL221" s="3358"/>
      <c r="AM221" s="3358"/>
      <c r="AN221" s="3251"/>
      <c r="AO221" s="3345"/>
      <c r="AP221" s="3345"/>
      <c r="AQ221" s="3266"/>
    </row>
    <row r="222" spans="1:343" ht="73.5" customHeight="1" x14ac:dyDescent="0.2">
      <c r="A222" s="1265"/>
      <c r="B222" s="1266"/>
      <c r="C222" s="1267"/>
      <c r="D222" s="3354"/>
      <c r="E222" s="3355"/>
      <c r="F222" s="3355"/>
      <c r="G222" s="3268"/>
      <c r="H222" s="3268"/>
      <c r="I222" s="3268"/>
      <c r="J222" s="3268"/>
      <c r="K222" s="3315"/>
      <c r="L222" s="3268"/>
      <c r="M222" s="3268"/>
      <c r="N222" s="3268"/>
      <c r="O222" s="3268"/>
      <c r="P222" s="3268"/>
      <c r="Q222" s="3362"/>
      <c r="R222" s="3363"/>
      <c r="S222" s="3366"/>
      <c r="T222" s="3360"/>
      <c r="U222" s="1371" t="s">
        <v>1670</v>
      </c>
      <c r="V222" s="287">
        <v>10456560</v>
      </c>
      <c r="W222" s="3361"/>
      <c r="X222" s="3268"/>
      <c r="Y222" s="3268"/>
      <c r="Z222" s="3268"/>
      <c r="AA222" s="3358"/>
      <c r="AB222" s="3358"/>
      <c r="AC222" s="3358"/>
      <c r="AD222" s="3358"/>
      <c r="AE222" s="3358"/>
      <c r="AF222" s="3358"/>
      <c r="AG222" s="3358"/>
      <c r="AH222" s="3358"/>
      <c r="AI222" s="3358"/>
      <c r="AJ222" s="3358"/>
      <c r="AK222" s="3358"/>
      <c r="AL222" s="3358"/>
      <c r="AM222" s="3358"/>
      <c r="AN222" s="3252"/>
      <c r="AO222" s="3345"/>
      <c r="AP222" s="3345"/>
      <c r="AQ222" s="3267"/>
    </row>
    <row r="223" spans="1:343" s="1254" customFormat="1" ht="36" customHeight="1" x14ac:dyDescent="0.2">
      <c r="A223" s="1265"/>
      <c r="C223" s="1292"/>
      <c r="D223" s="1377">
        <v>14</v>
      </c>
      <c r="E223" s="1256" t="s">
        <v>1671</v>
      </c>
      <c r="F223" s="1256"/>
      <c r="G223" s="1257"/>
      <c r="H223" s="1257"/>
      <c r="I223" s="1257"/>
      <c r="J223" s="1257"/>
      <c r="K223" s="1258"/>
      <c r="L223" s="1257"/>
      <c r="M223" s="1257"/>
      <c r="N223" s="1259"/>
      <c r="O223" s="1257"/>
      <c r="P223" s="1258"/>
      <c r="Q223" s="1257"/>
      <c r="R223" s="1257"/>
      <c r="S223" s="1257"/>
      <c r="T223" s="1258"/>
      <c r="U223" s="1258"/>
      <c r="V223" s="1296"/>
      <c r="W223" s="1297"/>
      <c r="X223" s="1259"/>
      <c r="Y223" s="1259"/>
      <c r="Z223" s="1259"/>
      <c r="AA223" s="1298"/>
      <c r="AB223" s="1298"/>
      <c r="AC223" s="1259"/>
      <c r="AD223" s="1298"/>
      <c r="AE223" s="1298"/>
      <c r="AF223" s="1298"/>
      <c r="AG223" s="1298"/>
      <c r="AH223" s="1298"/>
      <c r="AI223" s="1298"/>
      <c r="AJ223" s="1259"/>
      <c r="AK223" s="1298"/>
      <c r="AL223" s="1298"/>
      <c r="AM223" s="1259"/>
      <c r="AN223" s="1298"/>
      <c r="AO223" s="1257"/>
      <c r="AP223" s="1257"/>
      <c r="AQ223" s="1264"/>
    </row>
    <row r="224" spans="1:343" s="1254" customFormat="1" ht="36" customHeight="1" x14ac:dyDescent="0.2">
      <c r="A224" s="1265"/>
      <c r="B224" s="1266"/>
      <c r="C224" s="1267"/>
      <c r="D224" s="1268"/>
      <c r="E224" s="1268"/>
      <c r="F224" s="1269"/>
      <c r="G224" s="1378">
        <v>50</v>
      </c>
      <c r="H224" s="1379" t="s">
        <v>1672</v>
      </c>
      <c r="I224" s="1379"/>
      <c r="J224" s="1379"/>
      <c r="K224" s="1380"/>
      <c r="L224" s="1379"/>
      <c r="M224" s="1379"/>
      <c r="N224" s="1381"/>
      <c r="O224" s="1379"/>
      <c r="P224" s="1380"/>
      <c r="Q224" s="1379"/>
      <c r="R224" s="1379"/>
      <c r="S224" s="1379"/>
      <c r="T224" s="1380"/>
      <c r="U224" s="1380"/>
      <c r="V224" s="1382"/>
      <c r="W224" s="1383"/>
      <c r="X224" s="1381"/>
      <c r="Y224" s="1381"/>
      <c r="Z224" s="1381"/>
      <c r="AA224" s="1384"/>
      <c r="AB224" s="1384"/>
      <c r="AC224" s="1381"/>
      <c r="AD224" s="1384"/>
      <c r="AE224" s="1384"/>
      <c r="AF224" s="1384"/>
      <c r="AG224" s="1384"/>
      <c r="AH224" s="1384"/>
      <c r="AI224" s="1384"/>
      <c r="AJ224" s="1381"/>
      <c r="AK224" s="1384"/>
      <c r="AL224" s="1384"/>
      <c r="AM224" s="1381"/>
      <c r="AN224" s="1384"/>
      <c r="AO224" s="1379"/>
      <c r="AP224" s="1379"/>
      <c r="AQ224" s="1385"/>
    </row>
    <row r="225" spans="1:214" s="1389" customFormat="1" ht="100.5" customHeight="1" x14ac:dyDescent="0.2">
      <c r="A225" s="1265"/>
      <c r="B225" s="1266"/>
      <c r="C225" s="1267"/>
      <c r="D225" s="1266"/>
      <c r="E225" s="1266"/>
      <c r="F225" s="1267"/>
      <c r="G225" s="1268"/>
      <c r="H225" s="1268"/>
      <c r="I225" s="1269"/>
      <c r="J225" s="1345">
        <v>166</v>
      </c>
      <c r="K225" s="1386" t="s">
        <v>1673</v>
      </c>
      <c r="L225" s="1345" t="s">
        <v>1318</v>
      </c>
      <c r="M225" s="1387">
        <v>1</v>
      </c>
      <c r="N225" s="3244" t="s">
        <v>1674</v>
      </c>
      <c r="O225" s="3368">
        <v>154</v>
      </c>
      <c r="P225" s="3247" t="s">
        <v>1675</v>
      </c>
      <c r="Q225" s="1190">
        <v>0</v>
      </c>
      <c r="R225" s="3370">
        <f>SUM(V226)</f>
        <v>14286801845</v>
      </c>
      <c r="S225" s="3247" t="s">
        <v>1676</v>
      </c>
      <c r="T225" s="1360" t="s">
        <v>1677</v>
      </c>
      <c r="U225" s="1388" t="s">
        <v>1678</v>
      </c>
      <c r="V225" s="287">
        <v>0</v>
      </c>
      <c r="W225" s="1375">
        <v>110</v>
      </c>
      <c r="X225" s="1345" t="s">
        <v>1679</v>
      </c>
      <c r="Y225" s="3244">
        <v>292684</v>
      </c>
      <c r="Z225" s="3244">
        <v>282326</v>
      </c>
      <c r="AA225" s="3253">
        <v>135912</v>
      </c>
      <c r="AB225" s="3253">
        <v>45122</v>
      </c>
      <c r="AC225" s="3253">
        <f>SUM(AC216)</f>
        <v>307101</v>
      </c>
      <c r="AD225" s="3253">
        <f>SUM(AD216)</f>
        <v>86875</v>
      </c>
      <c r="AE225" s="3253">
        <v>2145</v>
      </c>
      <c r="AF225" s="3367">
        <v>12718</v>
      </c>
      <c r="AG225" s="3367">
        <v>26</v>
      </c>
      <c r="AH225" s="3367">
        <v>37</v>
      </c>
      <c r="AI225" s="3367" t="s">
        <v>1325</v>
      </c>
      <c r="AJ225" s="3367" t="s">
        <v>1325</v>
      </c>
      <c r="AK225" s="3367">
        <v>53164</v>
      </c>
      <c r="AL225" s="3367">
        <v>16982</v>
      </c>
      <c r="AM225" s="3367">
        <v>60013</v>
      </c>
      <c r="AN225" s="3253">
        <v>575010</v>
      </c>
      <c r="AO225" s="3262">
        <v>43101</v>
      </c>
      <c r="AP225" s="3262">
        <v>43465</v>
      </c>
      <c r="AQ225" s="3265" t="s">
        <v>1326</v>
      </c>
      <c r="AR225" s="1243"/>
      <c r="AS225" s="1243"/>
      <c r="AT225" s="1243"/>
      <c r="AU225" s="1243"/>
      <c r="AV225" s="1243"/>
      <c r="AW225" s="1243"/>
      <c r="AX225" s="1243"/>
      <c r="AY225" s="1243"/>
      <c r="AZ225" s="1243"/>
      <c r="BA225" s="1243"/>
      <c r="BB225" s="1243"/>
      <c r="BC225" s="1243"/>
      <c r="BD225" s="1243"/>
      <c r="BE225" s="1243"/>
      <c r="BF225" s="1243"/>
      <c r="BG225" s="1243"/>
      <c r="BH225" s="1243"/>
      <c r="BI225" s="1243"/>
      <c r="BJ225" s="1243"/>
      <c r="BK225" s="1243"/>
      <c r="BL225" s="1243"/>
      <c r="BM225" s="1243"/>
      <c r="BN225" s="1243"/>
      <c r="BO225" s="1243"/>
      <c r="BP225" s="1243"/>
      <c r="BQ225" s="1243"/>
      <c r="BR225" s="1243"/>
      <c r="BS225" s="1243"/>
      <c r="BT225" s="1243"/>
      <c r="BU225" s="1243"/>
      <c r="BV225" s="1243"/>
      <c r="BW225" s="1243"/>
      <c r="BX225" s="1243"/>
      <c r="BY225" s="1243"/>
      <c r="BZ225" s="1243"/>
      <c r="CA225" s="1243"/>
      <c r="CB225" s="1243"/>
      <c r="CC225" s="1243"/>
      <c r="CD225" s="1243"/>
      <c r="CE225" s="1243"/>
      <c r="CF225" s="1243"/>
      <c r="CG225" s="1243"/>
      <c r="CH225" s="1243"/>
      <c r="CI225" s="1243"/>
      <c r="CJ225" s="1243"/>
      <c r="CK225" s="1243"/>
      <c r="CL225" s="1243"/>
      <c r="CM225" s="1243"/>
      <c r="CN225" s="1243"/>
      <c r="CO225" s="1243"/>
      <c r="CP225" s="1243"/>
      <c r="CQ225" s="1243"/>
      <c r="CR225" s="1243"/>
      <c r="CS225" s="1243"/>
      <c r="CT225" s="1243"/>
      <c r="CU225" s="1243"/>
      <c r="CV225" s="1243"/>
      <c r="CW225" s="1243"/>
      <c r="CX225" s="1243"/>
      <c r="CY225" s="1243"/>
      <c r="CZ225" s="1243"/>
      <c r="DA225" s="1243"/>
      <c r="DB225" s="1243"/>
      <c r="DC225" s="1243"/>
      <c r="DD225" s="1243"/>
      <c r="DE225" s="1243"/>
      <c r="DF225" s="1243"/>
      <c r="DG225" s="1243"/>
      <c r="DH225" s="1243"/>
      <c r="DI225" s="1243"/>
      <c r="DJ225" s="1243"/>
      <c r="DK225" s="1243"/>
      <c r="DL225" s="1243"/>
      <c r="DM225" s="1243"/>
      <c r="DN225" s="1243"/>
      <c r="DO225" s="1243"/>
      <c r="DP225" s="1243"/>
      <c r="DQ225" s="1243"/>
      <c r="DR225" s="1243"/>
      <c r="DS225" s="1243"/>
      <c r="DT225" s="1243"/>
      <c r="DU225" s="1243"/>
      <c r="DV225" s="1243"/>
      <c r="DW225" s="1243"/>
      <c r="DX225" s="1243"/>
      <c r="DY225" s="1243"/>
      <c r="DZ225" s="1243"/>
      <c r="EA225" s="1243"/>
      <c r="EB225" s="1243"/>
      <c r="EC225" s="1243"/>
      <c r="ED225" s="1243"/>
      <c r="EE225" s="1243"/>
      <c r="EF225" s="1243"/>
      <c r="EG225" s="1243"/>
      <c r="EH225" s="1243"/>
      <c r="EI225" s="1243"/>
      <c r="EJ225" s="1243"/>
      <c r="EK225" s="1243"/>
      <c r="EL225" s="1243"/>
      <c r="EM225" s="1243"/>
      <c r="EN225" s="1243"/>
      <c r="EO225" s="1243"/>
      <c r="EP225" s="1243"/>
      <c r="EQ225" s="1243"/>
      <c r="ER225" s="1243"/>
      <c r="ES225" s="1243"/>
      <c r="ET225" s="1243"/>
      <c r="EU225" s="1243"/>
      <c r="EV225" s="1243"/>
      <c r="EW225" s="1243"/>
      <c r="EX225" s="1243"/>
      <c r="EY225" s="1243"/>
      <c r="EZ225" s="1243"/>
      <c r="FA225" s="1243"/>
      <c r="FB225" s="1243"/>
      <c r="FC225" s="1243"/>
      <c r="FD225" s="1243"/>
      <c r="FE225" s="1243"/>
      <c r="FF225" s="1243"/>
      <c r="FG225" s="1243"/>
      <c r="FH225" s="1243"/>
      <c r="FI225" s="1243"/>
      <c r="FJ225" s="1243"/>
      <c r="FK225" s="1243"/>
      <c r="FL225" s="1243"/>
      <c r="FM225" s="1243"/>
      <c r="FN225" s="1243"/>
      <c r="FO225" s="1243"/>
      <c r="FP225" s="1243"/>
      <c r="FQ225" s="1243"/>
      <c r="FR225" s="1243"/>
      <c r="FS225" s="1243"/>
      <c r="FT225" s="1243"/>
      <c r="FU225" s="1243"/>
      <c r="FV225" s="1243"/>
      <c r="FW225" s="1243"/>
      <c r="FX225" s="1243"/>
      <c r="FY225" s="1243"/>
      <c r="FZ225" s="1243"/>
      <c r="GA225" s="1243"/>
      <c r="GB225" s="1243"/>
      <c r="GC225" s="1243"/>
      <c r="GD225" s="1243"/>
      <c r="GE225" s="1243"/>
      <c r="GF225" s="1243"/>
      <c r="GG225" s="1243"/>
      <c r="GH225" s="1243"/>
      <c r="GI225" s="1243"/>
      <c r="GJ225" s="1243"/>
      <c r="GK225" s="1243"/>
      <c r="GL225" s="1243"/>
      <c r="GM225" s="1243"/>
      <c r="GN225" s="1243"/>
      <c r="GO225" s="1243"/>
      <c r="GP225" s="1243"/>
      <c r="GQ225" s="1243"/>
      <c r="GR225" s="1243"/>
      <c r="GS225" s="1243"/>
      <c r="GT225" s="1243"/>
      <c r="GU225" s="1243"/>
      <c r="GV225" s="1243"/>
      <c r="GW225" s="1243"/>
      <c r="GX225" s="1243"/>
      <c r="GY225" s="1243"/>
      <c r="GZ225" s="1243"/>
      <c r="HA225" s="1243"/>
      <c r="HB225" s="1243"/>
      <c r="HC225" s="1243"/>
      <c r="HD225" s="1243"/>
      <c r="HE225" s="1243"/>
      <c r="HF225" s="1243"/>
    </row>
    <row r="226" spans="1:214" s="1394" customFormat="1" ht="75" x14ac:dyDescent="0.2">
      <c r="A226" s="1265"/>
      <c r="B226" s="1266"/>
      <c r="C226" s="1267"/>
      <c r="D226" s="1266"/>
      <c r="E226" s="1266"/>
      <c r="F226" s="1267"/>
      <c r="G226" s="1266"/>
      <c r="H226" s="1266"/>
      <c r="I226" s="1267"/>
      <c r="J226" s="1345">
        <v>167</v>
      </c>
      <c r="K226" s="1386" t="s">
        <v>1680</v>
      </c>
      <c r="L226" s="1345" t="s">
        <v>1318</v>
      </c>
      <c r="M226" s="1387">
        <v>15</v>
      </c>
      <c r="N226" s="3245"/>
      <c r="O226" s="3369"/>
      <c r="P226" s="3248"/>
      <c r="Q226" s="1188">
        <v>1</v>
      </c>
      <c r="R226" s="3371"/>
      <c r="S226" s="3248"/>
      <c r="T226" s="1390" t="s">
        <v>1681</v>
      </c>
      <c r="U226" s="1391" t="s">
        <v>1682</v>
      </c>
      <c r="V226" s="1392">
        <v>14286801845</v>
      </c>
      <c r="W226" s="1393">
        <v>59</v>
      </c>
      <c r="X226" s="1347" t="s">
        <v>1683</v>
      </c>
      <c r="Y226" s="3245"/>
      <c r="Z226" s="3245"/>
      <c r="AA226" s="3254"/>
      <c r="AB226" s="3254"/>
      <c r="AC226" s="3254"/>
      <c r="AD226" s="3254"/>
      <c r="AE226" s="3254"/>
      <c r="AF226" s="3367"/>
      <c r="AG226" s="3367"/>
      <c r="AH226" s="3367"/>
      <c r="AI226" s="3367"/>
      <c r="AJ226" s="3367"/>
      <c r="AK226" s="3367"/>
      <c r="AL226" s="3367"/>
      <c r="AM226" s="3367"/>
      <c r="AN226" s="3254"/>
      <c r="AO226" s="3263"/>
      <c r="AP226" s="3263"/>
      <c r="AQ226" s="3266"/>
      <c r="AR226" s="1243"/>
      <c r="AS226" s="1243"/>
      <c r="AT226" s="1243"/>
      <c r="AU226" s="1243"/>
      <c r="AV226" s="1243"/>
      <c r="AW226" s="1243"/>
      <c r="AX226" s="1243"/>
      <c r="AY226" s="1243"/>
      <c r="AZ226" s="1243"/>
      <c r="BA226" s="1243"/>
      <c r="BB226" s="1243"/>
      <c r="BC226" s="1243"/>
      <c r="BD226" s="1243"/>
      <c r="BE226" s="1243"/>
      <c r="BF226" s="1243"/>
      <c r="BG226" s="1243"/>
      <c r="BH226" s="1243"/>
      <c r="BI226" s="1243"/>
      <c r="BJ226" s="1243"/>
      <c r="BK226" s="1243"/>
      <c r="BL226" s="1243"/>
      <c r="BM226" s="1243"/>
      <c r="BN226" s="1243"/>
      <c r="BO226" s="1243"/>
      <c r="BP226" s="1243"/>
      <c r="BQ226" s="1243"/>
      <c r="BR226" s="1243"/>
      <c r="BS226" s="1243"/>
      <c r="BT226" s="1243"/>
      <c r="BU226" s="1243"/>
      <c r="BV226" s="1243"/>
      <c r="BW226" s="1243"/>
      <c r="BX226" s="1243"/>
      <c r="BY226" s="1243"/>
      <c r="BZ226" s="1243"/>
      <c r="CA226" s="1243"/>
      <c r="CB226" s="1243"/>
      <c r="CC226" s="1243"/>
      <c r="CD226" s="1243"/>
      <c r="CE226" s="1243"/>
      <c r="CF226" s="1243"/>
      <c r="CG226" s="1243"/>
      <c r="CH226" s="1243"/>
      <c r="CI226" s="1243"/>
      <c r="CJ226" s="1243"/>
      <c r="CK226" s="1243"/>
      <c r="CL226" s="1243"/>
      <c r="CM226" s="1243"/>
      <c r="CN226" s="1243"/>
      <c r="CO226" s="1243"/>
      <c r="CP226" s="1243"/>
      <c r="CQ226" s="1243"/>
      <c r="CR226" s="1243"/>
      <c r="CS226" s="1243"/>
      <c r="CT226" s="1243"/>
      <c r="CU226" s="1243"/>
      <c r="CV226" s="1243"/>
      <c r="CW226" s="1243"/>
      <c r="CX226" s="1243"/>
      <c r="CY226" s="1243"/>
      <c r="CZ226" s="1243"/>
      <c r="DA226" s="1243"/>
      <c r="DB226" s="1243"/>
      <c r="DC226" s="1243"/>
      <c r="DD226" s="1243"/>
      <c r="DE226" s="1243"/>
      <c r="DF226" s="1243"/>
      <c r="DG226" s="1243"/>
      <c r="DH226" s="1243"/>
      <c r="DI226" s="1243"/>
      <c r="DJ226" s="1243"/>
      <c r="DK226" s="1243"/>
      <c r="DL226" s="1243"/>
      <c r="DM226" s="1243"/>
      <c r="DN226" s="1243"/>
      <c r="DO226" s="1243"/>
      <c r="DP226" s="1243"/>
      <c r="DQ226" s="1243"/>
      <c r="DR226" s="1243"/>
      <c r="DS226" s="1243"/>
      <c r="DT226" s="1243"/>
      <c r="DU226" s="1243"/>
      <c r="DV226" s="1243"/>
      <c r="DW226" s="1243"/>
      <c r="DX226" s="1243"/>
      <c r="DY226" s="1243"/>
      <c r="DZ226" s="1243"/>
      <c r="EA226" s="1243"/>
      <c r="EB226" s="1243"/>
      <c r="EC226" s="1243"/>
      <c r="ED226" s="1243"/>
      <c r="EE226" s="1243"/>
      <c r="EF226" s="1243"/>
      <c r="EG226" s="1243"/>
      <c r="EH226" s="1243"/>
      <c r="EI226" s="1243"/>
      <c r="EJ226" s="1243"/>
      <c r="EK226" s="1243"/>
      <c r="EL226" s="1243"/>
      <c r="EM226" s="1243"/>
      <c r="EN226" s="1243"/>
      <c r="EO226" s="1243"/>
      <c r="EP226" s="1243"/>
      <c r="EQ226" s="1243"/>
      <c r="ER226" s="1243"/>
      <c r="ES226" s="1243"/>
      <c r="ET226" s="1243"/>
      <c r="EU226" s="1243"/>
      <c r="EV226" s="1243"/>
      <c r="EW226" s="1243"/>
      <c r="EX226" s="1243"/>
      <c r="EY226" s="1243"/>
      <c r="EZ226" s="1243"/>
      <c r="FA226" s="1243"/>
      <c r="FB226" s="1243"/>
      <c r="FC226" s="1243"/>
      <c r="FD226" s="1243"/>
      <c r="FE226" s="1243"/>
      <c r="FF226" s="1243"/>
      <c r="FG226" s="1243"/>
      <c r="FH226" s="1243"/>
      <c r="FI226" s="1243"/>
      <c r="FJ226" s="1243"/>
      <c r="FK226" s="1243"/>
      <c r="FL226" s="1243"/>
      <c r="FM226" s="1243"/>
      <c r="FN226" s="1243"/>
      <c r="FO226" s="1243"/>
      <c r="FP226" s="1243"/>
      <c r="FQ226" s="1243"/>
      <c r="FR226" s="1243"/>
      <c r="FS226" s="1243"/>
      <c r="FT226" s="1243"/>
      <c r="FU226" s="1243"/>
      <c r="FV226" s="1243"/>
      <c r="FW226" s="1243"/>
      <c r="FX226" s="1243"/>
      <c r="FY226" s="1243"/>
      <c r="FZ226" s="1243"/>
      <c r="GA226" s="1243"/>
      <c r="GB226" s="1243"/>
      <c r="GC226" s="1243"/>
      <c r="GD226" s="1243"/>
      <c r="GE226" s="1243"/>
      <c r="GF226" s="1243"/>
      <c r="GG226" s="1243"/>
      <c r="GH226" s="1243"/>
      <c r="GI226" s="1243"/>
      <c r="GJ226" s="1243"/>
      <c r="GK226" s="1243"/>
      <c r="GL226" s="1243"/>
      <c r="GM226" s="1243"/>
      <c r="GN226" s="1243"/>
      <c r="GO226" s="1243"/>
      <c r="GP226" s="1243"/>
      <c r="GQ226" s="1243"/>
      <c r="GR226" s="1243"/>
      <c r="GS226" s="1243"/>
      <c r="GT226" s="1243"/>
      <c r="GU226" s="1243"/>
      <c r="GV226" s="1243"/>
      <c r="GW226" s="1243"/>
      <c r="GX226" s="1243"/>
      <c r="GY226" s="1243"/>
      <c r="GZ226" s="1243"/>
      <c r="HA226" s="1243"/>
      <c r="HB226" s="1243"/>
      <c r="HC226" s="1243"/>
      <c r="HD226" s="1243"/>
      <c r="HE226" s="1243"/>
      <c r="HF226" s="1243"/>
    </row>
    <row r="227" spans="1:214" ht="60" x14ac:dyDescent="0.2">
      <c r="A227" s="1265"/>
      <c r="B227" s="1266"/>
      <c r="C227" s="1267"/>
      <c r="D227" s="1266"/>
      <c r="E227" s="1266"/>
      <c r="F227" s="1267"/>
      <c r="G227" s="1266"/>
      <c r="H227" s="1266"/>
      <c r="I227" s="1267"/>
      <c r="J227" s="3244">
        <v>168</v>
      </c>
      <c r="K227" s="3247" t="s">
        <v>1684</v>
      </c>
      <c r="L227" s="3244" t="s">
        <v>1318</v>
      </c>
      <c r="M227" s="3244">
        <v>14</v>
      </c>
      <c r="N227" s="3245"/>
      <c r="O227" s="3369"/>
      <c r="P227" s="3248"/>
      <c r="Q227" s="2622">
        <v>0</v>
      </c>
      <c r="R227" s="3371"/>
      <c r="S227" s="3248"/>
      <c r="T227" s="3259" t="s">
        <v>1685</v>
      </c>
      <c r="U227" s="1391" t="s">
        <v>1686</v>
      </c>
      <c r="V227" s="2311">
        <v>0</v>
      </c>
      <c r="W227" s="1393">
        <v>60</v>
      </c>
      <c r="X227" s="1347" t="s">
        <v>1687</v>
      </c>
      <c r="Y227" s="3245"/>
      <c r="Z227" s="3245"/>
      <c r="AA227" s="3254"/>
      <c r="AB227" s="3254"/>
      <c r="AC227" s="3254"/>
      <c r="AD227" s="3254"/>
      <c r="AE227" s="3254"/>
      <c r="AF227" s="3367"/>
      <c r="AG227" s="3367"/>
      <c r="AH227" s="3367"/>
      <c r="AI227" s="3367"/>
      <c r="AJ227" s="3367"/>
      <c r="AK227" s="3367"/>
      <c r="AL227" s="3367"/>
      <c r="AM227" s="3367"/>
      <c r="AN227" s="3254"/>
      <c r="AO227" s="3263"/>
      <c r="AP227" s="3263"/>
      <c r="AQ227" s="3266"/>
    </row>
    <row r="228" spans="1:214" ht="45" x14ac:dyDescent="0.2">
      <c r="A228" s="1265"/>
      <c r="B228" s="1266"/>
      <c r="C228" s="1267"/>
      <c r="D228" s="1266"/>
      <c r="E228" s="1266"/>
      <c r="F228" s="1267"/>
      <c r="G228" s="1395"/>
      <c r="H228" s="1395"/>
      <c r="I228" s="1396"/>
      <c r="J228" s="3246"/>
      <c r="K228" s="3249"/>
      <c r="L228" s="3245"/>
      <c r="M228" s="3245"/>
      <c r="N228" s="3246"/>
      <c r="O228" s="3369"/>
      <c r="P228" s="3248"/>
      <c r="Q228" s="2651"/>
      <c r="R228" s="3371"/>
      <c r="S228" s="3248"/>
      <c r="T228" s="3261"/>
      <c r="U228" s="1391" t="s">
        <v>1688</v>
      </c>
      <c r="V228" s="2313"/>
      <c r="W228" s="1393">
        <v>35</v>
      </c>
      <c r="X228" s="1353" t="s">
        <v>1689</v>
      </c>
      <c r="Y228" s="3246"/>
      <c r="Z228" s="3246"/>
      <c r="AA228" s="3255"/>
      <c r="AB228" s="3255"/>
      <c r="AC228" s="3255"/>
      <c r="AD228" s="3255"/>
      <c r="AE228" s="3255"/>
      <c r="AF228" s="3253"/>
      <c r="AG228" s="3253"/>
      <c r="AH228" s="3253"/>
      <c r="AI228" s="3253"/>
      <c r="AJ228" s="3253"/>
      <c r="AK228" s="3253"/>
      <c r="AL228" s="3253"/>
      <c r="AM228" s="3253"/>
      <c r="AN228" s="3255"/>
      <c r="AO228" s="3263"/>
      <c r="AP228" s="3263"/>
      <c r="AQ228" s="3267"/>
    </row>
    <row r="229" spans="1:214" s="1303" customFormat="1" ht="36" customHeight="1" x14ac:dyDescent="0.2">
      <c r="A229" s="1265"/>
      <c r="B229" s="1266"/>
      <c r="C229" s="1267"/>
      <c r="D229" s="1266"/>
      <c r="E229" s="1266"/>
      <c r="F229" s="1267"/>
      <c r="G229" s="1397">
        <v>51</v>
      </c>
      <c r="H229" s="1398" t="s">
        <v>1690</v>
      </c>
      <c r="I229" s="1398"/>
      <c r="J229" s="1399"/>
      <c r="K229" s="1400"/>
      <c r="L229" s="1271"/>
      <c r="M229" s="1271"/>
      <c r="N229" s="1273"/>
      <c r="O229" s="1271"/>
      <c r="P229" s="1272"/>
      <c r="Q229" s="1271"/>
      <c r="R229" s="1271"/>
      <c r="S229" s="1271"/>
      <c r="T229" s="1272"/>
      <c r="U229" s="1272"/>
      <c r="V229" s="1300"/>
      <c r="W229" s="1301"/>
      <c r="X229" s="1273"/>
      <c r="Y229" s="1273"/>
      <c r="Z229" s="1273"/>
      <c r="AA229" s="3372"/>
      <c r="AB229" s="3372"/>
      <c r="AC229" s="3372"/>
      <c r="AD229" s="3372"/>
      <c r="AE229" s="3372"/>
      <c r="AF229" s="3372"/>
      <c r="AG229" s="3372"/>
      <c r="AH229" s="3372"/>
      <c r="AI229" s="3372"/>
      <c r="AJ229" s="3372"/>
      <c r="AK229" s="3372"/>
      <c r="AL229" s="3372"/>
      <c r="AM229" s="3372"/>
      <c r="AN229" s="1401"/>
      <c r="AO229" s="1271"/>
      <c r="AP229" s="1271"/>
      <c r="AQ229" s="1278"/>
    </row>
    <row r="230" spans="1:214" ht="51" customHeight="1" x14ac:dyDescent="0.2">
      <c r="A230" s="1402"/>
      <c r="B230" s="1403"/>
      <c r="C230" s="1404"/>
      <c r="D230" s="1403"/>
      <c r="E230" s="1403"/>
      <c r="F230" s="1404"/>
      <c r="G230" s="1405"/>
      <c r="H230" s="1405"/>
      <c r="I230" s="1406"/>
      <c r="J230" s="3244">
        <v>169</v>
      </c>
      <c r="K230" s="3247" t="s">
        <v>1691</v>
      </c>
      <c r="L230" s="3244" t="s">
        <v>1318</v>
      </c>
      <c r="M230" s="3244">
        <v>12</v>
      </c>
      <c r="N230" s="3244" t="s">
        <v>1692</v>
      </c>
      <c r="O230" s="3244">
        <v>155</v>
      </c>
      <c r="P230" s="3247" t="s">
        <v>1693</v>
      </c>
      <c r="Q230" s="2622">
        <v>1</v>
      </c>
      <c r="R230" s="3276">
        <f>SUM(V230+V231+V232)</f>
        <v>44149920</v>
      </c>
      <c r="S230" s="3247" t="s">
        <v>1694</v>
      </c>
      <c r="T230" s="1315" t="s">
        <v>1695</v>
      </c>
      <c r="U230" s="1315" t="s">
        <v>1696</v>
      </c>
      <c r="V230" s="287">
        <v>14716640</v>
      </c>
      <c r="W230" s="3272">
        <v>72</v>
      </c>
      <c r="X230" s="3244" t="s">
        <v>1657</v>
      </c>
      <c r="Y230" s="3244">
        <v>292684</v>
      </c>
      <c r="Z230" s="3244">
        <v>282326</v>
      </c>
      <c r="AA230" s="3253">
        <v>135912</v>
      </c>
      <c r="AB230" s="3253">
        <v>45122</v>
      </c>
      <c r="AC230" s="3374">
        <f>SUM(AC225)</f>
        <v>307101</v>
      </c>
      <c r="AD230" s="3253">
        <v>86875</v>
      </c>
      <c r="AE230" s="3253">
        <v>2145</v>
      </c>
      <c r="AF230" s="3253">
        <v>12718</v>
      </c>
      <c r="AG230" s="3253">
        <v>26</v>
      </c>
      <c r="AH230" s="3253">
        <v>37</v>
      </c>
      <c r="AI230" s="3253" t="s">
        <v>1325</v>
      </c>
      <c r="AJ230" s="3374" t="s">
        <v>1325</v>
      </c>
      <c r="AK230" s="3253">
        <v>53164</v>
      </c>
      <c r="AL230" s="3253">
        <v>16982</v>
      </c>
      <c r="AM230" s="3374">
        <v>60013</v>
      </c>
      <c r="AN230" s="3367">
        <v>575010</v>
      </c>
      <c r="AO230" s="3345">
        <v>43101</v>
      </c>
      <c r="AP230" s="3345">
        <v>43465</v>
      </c>
      <c r="AQ230" s="3265" t="s">
        <v>1326</v>
      </c>
    </row>
    <row r="231" spans="1:214" ht="60" x14ac:dyDescent="0.2">
      <c r="A231" s="1402"/>
      <c r="B231" s="1403"/>
      <c r="C231" s="1404"/>
      <c r="D231" s="1403"/>
      <c r="E231" s="1403"/>
      <c r="F231" s="1404"/>
      <c r="G231" s="1403"/>
      <c r="H231" s="1403"/>
      <c r="I231" s="1404"/>
      <c r="J231" s="3245"/>
      <c r="K231" s="3248"/>
      <c r="L231" s="3245"/>
      <c r="M231" s="3245"/>
      <c r="N231" s="3245"/>
      <c r="O231" s="3245"/>
      <c r="P231" s="3248"/>
      <c r="Q231" s="2623"/>
      <c r="R231" s="3277"/>
      <c r="S231" s="3248"/>
      <c r="T231" s="1315" t="s">
        <v>1697</v>
      </c>
      <c r="U231" s="1315" t="s">
        <v>1698</v>
      </c>
      <c r="V231" s="287">
        <v>14716640</v>
      </c>
      <c r="W231" s="3273"/>
      <c r="X231" s="3245"/>
      <c r="Y231" s="3245"/>
      <c r="Z231" s="3245"/>
      <c r="AA231" s="3254"/>
      <c r="AB231" s="3254"/>
      <c r="AC231" s="3375"/>
      <c r="AD231" s="3254"/>
      <c r="AE231" s="3254"/>
      <c r="AF231" s="3254"/>
      <c r="AG231" s="3254"/>
      <c r="AH231" s="3254"/>
      <c r="AI231" s="3254"/>
      <c r="AJ231" s="3375"/>
      <c r="AK231" s="3254"/>
      <c r="AL231" s="3254"/>
      <c r="AM231" s="3375"/>
      <c r="AN231" s="3367"/>
      <c r="AO231" s="3345"/>
      <c r="AP231" s="3345"/>
      <c r="AQ231" s="3266"/>
    </row>
    <row r="232" spans="1:214" ht="75" x14ac:dyDescent="0.2">
      <c r="A232" s="1279"/>
      <c r="B232" s="1280"/>
      <c r="C232" s="1281"/>
      <c r="D232" s="1280"/>
      <c r="E232" s="1280"/>
      <c r="F232" s="1281"/>
      <c r="G232" s="1289"/>
      <c r="H232" s="1289"/>
      <c r="I232" s="1290"/>
      <c r="J232" s="3246"/>
      <c r="K232" s="3249"/>
      <c r="L232" s="3246"/>
      <c r="M232" s="3246"/>
      <c r="N232" s="3246"/>
      <c r="O232" s="3246"/>
      <c r="P232" s="3249"/>
      <c r="Q232" s="2651"/>
      <c r="R232" s="3278"/>
      <c r="S232" s="3249"/>
      <c r="T232" s="1315" t="s">
        <v>1684</v>
      </c>
      <c r="U232" s="1315" t="s">
        <v>1699</v>
      </c>
      <c r="V232" s="287">
        <v>14716640</v>
      </c>
      <c r="W232" s="3274"/>
      <c r="X232" s="3246"/>
      <c r="Y232" s="3246"/>
      <c r="Z232" s="3246"/>
      <c r="AA232" s="3254"/>
      <c r="AB232" s="3254"/>
      <c r="AC232" s="3375"/>
      <c r="AD232" s="3254"/>
      <c r="AE232" s="3254"/>
      <c r="AF232" s="3254"/>
      <c r="AG232" s="3254"/>
      <c r="AH232" s="3254"/>
      <c r="AI232" s="3254"/>
      <c r="AJ232" s="3375"/>
      <c r="AK232" s="3254"/>
      <c r="AL232" s="3254"/>
      <c r="AM232" s="3375"/>
      <c r="AN232" s="3367"/>
      <c r="AO232" s="3345"/>
      <c r="AP232" s="3345"/>
      <c r="AQ232" s="3267"/>
    </row>
    <row r="233" spans="1:214" s="1303" customFormat="1" ht="36" customHeight="1" x14ac:dyDescent="0.2">
      <c r="A233" s="1265"/>
      <c r="B233" s="1266"/>
      <c r="C233" s="1267"/>
      <c r="D233" s="1266"/>
      <c r="E233" s="1266"/>
      <c r="F233" s="1267"/>
      <c r="G233" s="1299">
        <v>52</v>
      </c>
      <c r="H233" s="1271" t="s">
        <v>1700</v>
      </c>
      <c r="I233" s="1271"/>
      <c r="J233" s="1271"/>
      <c r="K233" s="1272"/>
      <c r="L233" s="1271"/>
      <c r="M233" s="1271"/>
      <c r="N233" s="1273"/>
      <c r="O233" s="1271"/>
      <c r="P233" s="1272"/>
      <c r="Q233" s="1271"/>
      <c r="R233" s="1271"/>
      <c r="S233" s="1271"/>
      <c r="T233" s="1272"/>
      <c r="U233" s="1272"/>
      <c r="V233" s="1300"/>
      <c r="W233" s="1301"/>
      <c r="X233" s="1273"/>
      <c r="Y233" s="1273"/>
      <c r="Z233" s="1273"/>
      <c r="AA233" s="3373"/>
      <c r="AB233" s="3372"/>
      <c r="AC233" s="3372"/>
      <c r="AD233" s="3372"/>
      <c r="AE233" s="3372"/>
      <c r="AF233" s="3372"/>
      <c r="AG233" s="3372"/>
      <c r="AH233" s="3372"/>
      <c r="AI233" s="3372"/>
      <c r="AJ233" s="3372"/>
      <c r="AK233" s="3372"/>
      <c r="AL233" s="3372"/>
      <c r="AM233" s="3372"/>
      <c r="AN233" s="1407"/>
      <c r="AO233" s="1271"/>
      <c r="AP233" s="1271"/>
      <c r="AQ233" s="1278"/>
    </row>
    <row r="234" spans="1:214" ht="48.75" customHeight="1" x14ac:dyDescent="0.2">
      <c r="A234" s="1304"/>
      <c r="B234" s="1305"/>
      <c r="C234" s="1306"/>
      <c r="D234" s="1305"/>
      <c r="E234" s="1305"/>
      <c r="F234" s="1306"/>
      <c r="G234" s="1308"/>
      <c r="H234" s="1308"/>
      <c r="I234" s="1309"/>
      <c r="J234" s="3244">
        <v>170</v>
      </c>
      <c r="K234" s="3259" t="s">
        <v>1701</v>
      </c>
      <c r="L234" s="3244" t="s">
        <v>1318</v>
      </c>
      <c r="M234" s="3244">
        <v>14</v>
      </c>
      <c r="N234" s="3244" t="s">
        <v>1702</v>
      </c>
      <c r="O234" s="3244">
        <v>156</v>
      </c>
      <c r="P234" s="3244" t="s">
        <v>1703</v>
      </c>
      <c r="Q234" s="2622">
        <f>(V234+V236+V235+V237+V238)/R234</f>
        <v>1</v>
      </c>
      <c r="R234" s="3276">
        <f>SUM(V234:V239)</f>
        <v>138195556</v>
      </c>
      <c r="S234" s="3244" t="s">
        <v>1704</v>
      </c>
      <c r="T234" s="3247" t="s">
        <v>1705</v>
      </c>
      <c r="U234" s="1408" t="s">
        <v>1706</v>
      </c>
      <c r="V234" s="1409">
        <v>12817718</v>
      </c>
      <c r="W234" s="3380">
        <v>72</v>
      </c>
      <c r="X234" s="3244" t="s">
        <v>1657</v>
      </c>
      <c r="Y234" s="3244">
        <v>292684</v>
      </c>
      <c r="Z234" s="3244">
        <v>282326</v>
      </c>
      <c r="AA234" s="3253">
        <v>135912</v>
      </c>
      <c r="AB234" s="3253">
        <v>45122</v>
      </c>
      <c r="AC234" s="3374">
        <f>SUM(AC230)</f>
        <v>307101</v>
      </c>
      <c r="AD234" s="3253">
        <v>86875</v>
      </c>
      <c r="AE234" s="3253">
        <v>2145</v>
      </c>
      <c r="AF234" s="3253">
        <v>12718</v>
      </c>
      <c r="AG234" s="3253">
        <v>26</v>
      </c>
      <c r="AH234" s="3253">
        <v>37</v>
      </c>
      <c r="AI234" s="3253" t="s">
        <v>1325</v>
      </c>
      <c r="AJ234" s="3253" t="s">
        <v>1325</v>
      </c>
      <c r="AK234" s="3253">
        <v>53164</v>
      </c>
      <c r="AL234" s="3253">
        <v>16982</v>
      </c>
      <c r="AM234" s="3253">
        <v>60013</v>
      </c>
      <c r="AN234" s="3367">
        <v>575010</v>
      </c>
      <c r="AO234" s="3376">
        <v>43101</v>
      </c>
      <c r="AP234" s="3376">
        <v>43465</v>
      </c>
      <c r="AQ234" s="3377" t="s">
        <v>1326</v>
      </c>
    </row>
    <row r="235" spans="1:214" ht="48.75" customHeight="1" x14ac:dyDescent="0.2">
      <c r="A235" s="1304"/>
      <c r="B235" s="1305"/>
      <c r="C235" s="1306"/>
      <c r="D235" s="1305"/>
      <c r="E235" s="1305"/>
      <c r="F235" s="1306"/>
      <c r="G235" s="1305"/>
      <c r="H235" s="1305"/>
      <c r="I235" s="1306"/>
      <c r="J235" s="3245"/>
      <c r="K235" s="3260"/>
      <c r="L235" s="3245"/>
      <c r="M235" s="3245"/>
      <c r="N235" s="3245"/>
      <c r="O235" s="3245"/>
      <c r="P235" s="3245"/>
      <c r="Q235" s="2623"/>
      <c r="R235" s="3277"/>
      <c r="S235" s="3245"/>
      <c r="T235" s="3248"/>
      <c r="U235" s="1408" t="s">
        <v>1707</v>
      </c>
      <c r="V235" s="1409">
        <v>15455421</v>
      </c>
      <c r="W235" s="3381"/>
      <c r="X235" s="3245"/>
      <c r="Y235" s="3245"/>
      <c r="Z235" s="3245"/>
      <c r="AA235" s="3254"/>
      <c r="AB235" s="3254"/>
      <c r="AC235" s="3254"/>
      <c r="AD235" s="3254"/>
      <c r="AE235" s="3254"/>
      <c r="AF235" s="3254"/>
      <c r="AG235" s="3254"/>
      <c r="AH235" s="3254"/>
      <c r="AI235" s="3254"/>
      <c r="AJ235" s="3254"/>
      <c r="AK235" s="3254"/>
      <c r="AL235" s="3254"/>
      <c r="AM235" s="3254"/>
      <c r="AN235" s="3367"/>
      <c r="AO235" s="3254"/>
      <c r="AP235" s="3254"/>
      <c r="AQ235" s="3378"/>
    </row>
    <row r="236" spans="1:214" ht="48.75" customHeight="1" x14ac:dyDescent="0.2">
      <c r="A236" s="1304"/>
      <c r="B236" s="1305"/>
      <c r="C236" s="1306"/>
      <c r="D236" s="1305"/>
      <c r="E236" s="1305"/>
      <c r="F236" s="1306"/>
      <c r="G236" s="1305"/>
      <c r="H236" s="1305"/>
      <c r="I236" s="1306"/>
      <c r="J236" s="3245"/>
      <c r="K236" s="3260"/>
      <c r="L236" s="3245"/>
      <c r="M236" s="3245"/>
      <c r="N236" s="3245"/>
      <c r="O236" s="3245"/>
      <c r="P236" s="3245"/>
      <c r="Q236" s="2623"/>
      <c r="R236" s="3277"/>
      <c r="S236" s="3245"/>
      <c r="T236" s="3249"/>
      <c r="U236" s="1408" t="s">
        <v>1708</v>
      </c>
      <c r="V236" s="1410">
        <v>13862686</v>
      </c>
      <c r="W236" s="3381"/>
      <c r="X236" s="3245"/>
      <c r="Y236" s="3245"/>
      <c r="Z236" s="3245"/>
      <c r="AA236" s="3254"/>
      <c r="AB236" s="3254"/>
      <c r="AC236" s="3254"/>
      <c r="AD236" s="3254"/>
      <c r="AE236" s="3254"/>
      <c r="AF236" s="3254"/>
      <c r="AG236" s="3254"/>
      <c r="AH236" s="3254"/>
      <c r="AI236" s="3254"/>
      <c r="AJ236" s="3254"/>
      <c r="AK236" s="3254"/>
      <c r="AL236" s="3254"/>
      <c r="AM236" s="3254"/>
      <c r="AN236" s="3367"/>
      <c r="AO236" s="3254"/>
      <c r="AP236" s="3254"/>
      <c r="AQ236" s="3378"/>
    </row>
    <row r="237" spans="1:214" ht="48.75" customHeight="1" x14ac:dyDescent="0.2">
      <c r="A237" s="1304"/>
      <c r="B237" s="1305"/>
      <c r="C237" s="1306"/>
      <c r="D237" s="1305"/>
      <c r="E237" s="1305"/>
      <c r="F237" s="1306"/>
      <c r="G237" s="1305"/>
      <c r="H237" s="1305"/>
      <c r="I237" s="1306"/>
      <c r="J237" s="3245"/>
      <c r="K237" s="3260"/>
      <c r="L237" s="3245"/>
      <c r="M237" s="3245"/>
      <c r="N237" s="3245"/>
      <c r="O237" s="3245"/>
      <c r="P237" s="3245"/>
      <c r="Q237" s="2651"/>
      <c r="R237" s="3277"/>
      <c r="S237" s="3245"/>
      <c r="T237" s="1411"/>
      <c r="U237" s="1408" t="s">
        <v>1709</v>
      </c>
      <c r="V237" s="1410">
        <v>90000000</v>
      </c>
      <c r="W237" s="3381"/>
      <c r="X237" s="3245"/>
      <c r="Y237" s="3245"/>
      <c r="Z237" s="3245"/>
      <c r="AA237" s="3254"/>
      <c r="AB237" s="3254"/>
      <c r="AC237" s="3254"/>
      <c r="AD237" s="3254"/>
      <c r="AE237" s="3254"/>
      <c r="AF237" s="3254"/>
      <c r="AG237" s="3254"/>
      <c r="AH237" s="3254"/>
      <c r="AI237" s="3254"/>
      <c r="AJ237" s="3254"/>
      <c r="AK237" s="3254"/>
      <c r="AL237" s="3254"/>
      <c r="AM237" s="3254"/>
      <c r="AN237" s="3367"/>
      <c r="AO237" s="3254"/>
      <c r="AP237" s="3254"/>
      <c r="AQ237" s="3378"/>
    </row>
    <row r="238" spans="1:214" ht="48.75" customHeight="1" x14ac:dyDescent="0.2">
      <c r="A238" s="1304"/>
      <c r="B238" s="1305"/>
      <c r="C238" s="1306"/>
      <c r="D238" s="1305"/>
      <c r="E238" s="1305"/>
      <c r="F238" s="1306"/>
      <c r="G238" s="1305"/>
      <c r="H238" s="1305"/>
      <c r="I238" s="1306"/>
      <c r="J238" s="3246"/>
      <c r="K238" s="3261"/>
      <c r="L238" s="3246"/>
      <c r="M238" s="3246"/>
      <c r="N238" s="3245"/>
      <c r="O238" s="3245"/>
      <c r="P238" s="3245"/>
      <c r="Q238" s="2622">
        <v>0</v>
      </c>
      <c r="R238" s="3277"/>
      <c r="S238" s="3245"/>
      <c r="T238" s="3259" t="s">
        <v>1710</v>
      </c>
      <c r="U238" s="1408" t="s">
        <v>1711</v>
      </c>
      <c r="V238" s="1410">
        <v>6059731</v>
      </c>
      <c r="W238" s="3381"/>
      <c r="X238" s="3245"/>
      <c r="Y238" s="3245"/>
      <c r="Z238" s="3245"/>
      <c r="AA238" s="3254"/>
      <c r="AB238" s="3254"/>
      <c r="AC238" s="3254"/>
      <c r="AD238" s="3254"/>
      <c r="AE238" s="3254"/>
      <c r="AF238" s="3254"/>
      <c r="AG238" s="3254"/>
      <c r="AH238" s="3254"/>
      <c r="AI238" s="3254"/>
      <c r="AJ238" s="3254"/>
      <c r="AK238" s="3254"/>
      <c r="AL238" s="3254"/>
      <c r="AM238" s="3254"/>
      <c r="AN238" s="3367"/>
      <c r="AO238" s="3254"/>
      <c r="AP238" s="3254"/>
      <c r="AQ238" s="3378"/>
    </row>
    <row r="239" spans="1:214" ht="48.75" customHeight="1" x14ac:dyDescent="0.2">
      <c r="A239" s="1304"/>
      <c r="B239" s="1305"/>
      <c r="C239" s="1306"/>
      <c r="D239" s="1305"/>
      <c r="E239" s="1305"/>
      <c r="F239" s="1306"/>
      <c r="G239" s="1305"/>
      <c r="H239" s="1305"/>
      <c r="I239" s="1306"/>
      <c r="J239" s="1345">
        <v>171</v>
      </c>
      <c r="K239" s="1412" t="s">
        <v>1712</v>
      </c>
      <c r="L239" s="1345" t="s">
        <v>1318</v>
      </c>
      <c r="M239" s="1345">
        <v>1</v>
      </c>
      <c r="N239" s="3246"/>
      <c r="O239" s="3246"/>
      <c r="P239" s="3246"/>
      <c r="Q239" s="2651"/>
      <c r="R239" s="3278"/>
      <c r="S239" s="3246"/>
      <c r="T239" s="3261"/>
      <c r="U239" s="1408" t="s">
        <v>1713</v>
      </c>
      <c r="V239" s="1410">
        <v>0</v>
      </c>
      <c r="W239" s="3382"/>
      <c r="X239" s="3246"/>
      <c r="Y239" s="3246"/>
      <c r="Z239" s="3246"/>
      <c r="AA239" s="3255"/>
      <c r="AB239" s="3255"/>
      <c r="AC239" s="3255"/>
      <c r="AD239" s="3255"/>
      <c r="AE239" s="3255"/>
      <c r="AF239" s="3255"/>
      <c r="AG239" s="3255"/>
      <c r="AH239" s="3255"/>
      <c r="AI239" s="3255"/>
      <c r="AJ239" s="3255"/>
      <c r="AK239" s="3255"/>
      <c r="AL239" s="3255"/>
      <c r="AM239" s="3255"/>
      <c r="AN239" s="3367"/>
      <c r="AO239" s="3255"/>
      <c r="AP239" s="3255"/>
      <c r="AQ239" s="3379"/>
    </row>
    <row r="240" spans="1:214" ht="54.75" customHeight="1" x14ac:dyDescent="0.2">
      <c r="A240" s="1304"/>
      <c r="B240" s="1305"/>
      <c r="C240" s="1306"/>
      <c r="D240" s="1305"/>
      <c r="E240" s="1305"/>
      <c r="F240" s="1306"/>
      <c r="G240" s="1305"/>
      <c r="H240" s="1305"/>
      <c r="I240" s="1306"/>
      <c r="J240" s="3244">
        <v>172</v>
      </c>
      <c r="K240" s="3247" t="s">
        <v>1714</v>
      </c>
      <c r="L240" s="3244" t="s">
        <v>1318</v>
      </c>
      <c r="M240" s="3244">
        <v>12</v>
      </c>
      <c r="N240" s="1345"/>
      <c r="O240" s="3244">
        <v>157</v>
      </c>
      <c r="P240" s="3247" t="s">
        <v>1715</v>
      </c>
      <c r="Q240" s="2622">
        <v>1</v>
      </c>
      <c r="R240" s="3276">
        <f>SUM(V240:V247)</f>
        <v>405004444</v>
      </c>
      <c r="S240" s="3247" t="s">
        <v>1716</v>
      </c>
      <c r="T240" s="3247" t="s">
        <v>1717</v>
      </c>
      <c r="U240" s="1413" t="s">
        <v>1718</v>
      </c>
      <c r="V240" s="1410">
        <v>42000000</v>
      </c>
      <c r="W240" s="1356"/>
      <c r="X240" s="1412"/>
      <c r="Y240" s="3244">
        <v>292684</v>
      </c>
      <c r="Z240" s="3244">
        <v>282326</v>
      </c>
      <c r="AA240" s="3253">
        <v>135912</v>
      </c>
      <c r="AB240" s="3253">
        <v>45122</v>
      </c>
      <c r="AC240" s="3374">
        <f>SUM(AC234)</f>
        <v>307101</v>
      </c>
      <c r="AD240" s="3253">
        <v>86875</v>
      </c>
      <c r="AE240" s="3253">
        <v>2145</v>
      </c>
      <c r="AF240" s="3253">
        <v>12718</v>
      </c>
      <c r="AG240" s="3253">
        <v>26</v>
      </c>
      <c r="AH240" s="3253">
        <v>37</v>
      </c>
      <c r="AI240" s="3253" t="s">
        <v>1325</v>
      </c>
      <c r="AJ240" s="3253" t="s">
        <v>1325</v>
      </c>
      <c r="AK240" s="3253">
        <v>53164</v>
      </c>
      <c r="AL240" s="3253">
        <v>16982</v>
      </c>
      <c r="AM240" s="3253">
        <v>60013</v>
      </c>
      <c r="AN240" s="3253">
        <v>575010</v>
      </c>
      <c r="AO240" s="3262">
        <v>43101</v>
      </c>
      <c r="AP240" s="3262">
        <v>43465</v>
      </c>
      <c r="AQ240" s="3265" t="s">
        <v>1326</v>
      </c>
    </row>
    <row r="241" spans="1:43" ht="45" x14ac:dyDescent="0.2">
      <c r="A241" s="1304"/>
      <c r="B241" s="1305"/>
      <c r="C241" s="1306"/>
      <c r="D241" s="1305"/>
      <c r="E241" s="1305"/>
      <c r="F241" s="1306"/>
      <c r="G241" s="1305"/>
      <c r="H241" s="1305"/>
      <c r="I241" s="1306"/>
      <c r="J241" s="3245"/>
      <c r="K241" s="3248"/>
      <c r="L241" s="3245"/>
      <c r="M241" s="3245"/>
      <c r="N241" s="1347" t="s">
        <v>1719</v>
      </c>
      <c r="O241" s="3245"/>
      <c r="P241" s="3248"/>
      <c r="Q241" s="2623"/>
      <c r="R241" s="3277"/>
      <c r="S241" s="3248"/>
      <c r="T241" s="3248"/>
      <c r="U241" s="1413" t="s">
        <v>1720</v>
      </c>
      <c r="V241" s="1410">
        <v>50000000</v>
      </c>
      <c r="W241" s="1349">
        <v>72</v>
      </c>
      <c r="X241" s="1414" t="s">
        <v>1657</v>
      </c>
      <c r="Y241" s="3245"/>
      <c r="Z241" s="3245"/>
      <c r="AA241" s="3254"/>
      <c r="AB241" s="3254"/>
      <c r="AC241" s="3254"/>
      <c r="AD241" s="3254"/>
      <c r="AE241" s="3254"/>
      <c r="AF241" s="3254"/>
      <c r="AG241" s="3254"/>
      <c r="AH241" s="3254"/>
      <c r="AI241" s="3254"/>
      <c r="AJ241" s="3254"/>
      <c r="AK241" s="3254"/>
      <c r="AL241" s="3254"/>
      <c r="AM241" s="3254"/>
      <c r="AN241" s="3254"/>
      <c r="AO241" s="3263"/>
      <c r="AP241" s="3263"/>
      <c r="AQ241" s="3266"/>
    </row>
    <row r="242" spans="1:43" ht="49.5" customHeight="1" x14ac:dyDescent="0.2">
      <c r="A242" s="1304"/>
      <c r="B242" s="1305"/>
      <c r="C242" s="1306"/>
      <c r="D242" s="1305"/>
      <c r="E242" s="1305"/>
      <c r="F242" s="1306"/>
      <c r="G242" s="1305"/>
      <c r="H242" s="1305"/>
      <c r="I242" s="1306"/>
      <c r="J242" s="3245"/>
      <c r="K242" s="3248"/>
      <c r="L242" s="3245"/>
      <c r="M242" s="3245"/>
      <c r="N242" s="1347"/>
      <c r="O242" s="3245"/>
      <c r="P242" s="3248"/>
      <c r="Q242" s="2623"/>
      <c r="R242" s="3277"/>
      <c r="S242" s="3248"/>
      <c r="T242" s="3248"/>
      <c r="U242" s="1413" t="s">
        <v>1721</v>
      </c>
      <c r="V242" s="1410">
        <v>30000000</v>
      </c>
      <c r="W242" s="1349"/>
      <c r="X242" s="1414"/>
      <c r="Y242" s="3245"/>
      <c r="Z242" s="3245"/>
      <c r="AA242" s="3254"/>
      <c r="AB242" s="3254"/>
      <c r="AC242" s="3254"/>
      <c r="AD242" s="3254"/>
      <c r="AE242" s="3254"/>
      <c r="AF242" s="3254"/>
      <c r="AG242" s="3254"/>
      <c r="AH242" s="3254"/>
      <c r="AI242" s="3254"/>
      <c r="AJ242" s="3254"/>
      <c r="AK242" s="3254"/>
      <c r="AL242" s="3254"/>
      <c r="AM242" s="3254"/>
      <c r="AN242" s="3254"/>
      <c r="AO242" s="3263"/>
      <c r="AP242" s="3263"/>
      <c r="AQ242" s="3266"/>
    </row>
    <row r="243" spans="1:43" ht="30" x14ac:dyDescent="0.2">
      <c r="A243" s="1304"/>
      <c r="B243" s="1305"/>
      <c r="C243" s="1306"/>
      <c r="D243" s="1305"/>
      <c r="E243" s="1305"/>
      <c r="F243" s="1306"/>
      <c r="G243" s="1305"/>
      <c r="H243" s="1305"/>
      <c r="I243" s="1306"/>
      <c r="J243" s="3245"/>
      <c r="K243" s="3248"/>
      <c r="L243" s="3245"/>
      <c r="M243" s="3245"/>
      <c r="N243" s="1347"/>
      <c r="O243" s="3245"/>
      <c r="P243" s="3248"/>
      <c r="Q243" s="2623"/>
      <c r="R243" s="3277"/>
      <c r="S243" s="3248"/>
      <c r="T243" s="3248"/>
      <c r="U243" s="1413" t="s">
        <v>1722</v>
      </c>
      <c r="V243" s="1410">
        <v>24000000</v>
      </c>
      <c r="W243" s="1349"/>
      <c r="X243" s="1414"/>
      <c r="Y243" s="3245"/>
      <c r="Z243" s="3245"/>
      <c r="AA243" s="3254"/>
      <c r="AB243" s="3254"/>
      <c r="AC243" s="3254"/>
      <c r="AD243" s="3254"/>
      <c r="AE243" s="3254"/>
      <c r="AF243" s="3254"/>
      <c r="AG243" s="3254"/>
      <c r="AH243" s="3254"/>
      <c r="AI243" s="3254"/>
      <c r="AJ243" s="3254"/>
      <c r="AK243" s="3254"/>
      <c r="AL243" s="3254"/>
      <c r="AM243" s="3254"/>
      <c r="AN243" s="3254"/>
      <c r="AO243" s="3263"/>
      <c r="AP243" s="3263"/>
      <c r="AQ243" s="3266"/>
    </row>
    <row r="244" spans="1:43" ht="57" customHeight="1" x14ac:dyDescent="0.2">
      <c r="A244" s="1304"/>
      <c r="B244" s="1305"/>
      <c r="C244" s="1306"/>
      <c r="D244" s="1305"/>
      <c r="E244" s="1305"/>
      <c r="F244" s="1306"/>
      <c r="G244" s="1305"/>
      <c r="H244" s="1305"/>
      <c r="I244" s="1306"/>
      <c r="J244" s="3245"/>
      <c r="K244" s="3248"/>
      <c r="L244" s="3245"/>
      <c r="M244" s="3245"/>
      <c r="N244" s="1347"/>
      <c r="O244" s="3245"/>
      <c r="P244" s="3248"/>
      <c r="Q244" s="2623"/>
      <c r="R244" s="3277"/>
      <c r="S244" s="3248"/>
      <c r="T244" s="3248"/>
      <c r="U244" s="1413" t="s">
        <v>1723</v>
      </c>
      <c r="V244" s="1121">
        <v>100000000</v>
      </c>
      <c r="W244" s="1349"/>
      <c r="X244" s="1414"/>
      <c r="Y244" s="3245"/>
      <c r="Z244" s="3245"/>
      <c r="AA244" s="3254"/>
      <c r="AB244" s="3254"/>
      <c r="AC244" s="3254"/>
      <c r="AD244" s="3254"/>
      <c r="AE244" s="3254"/>
      <c r="AF244" s="3254"/>
      <c r="AG244" s="3254"/>
      <c r="AH244" s="3254"/>
      <c r="AI244" s="3254"/>
      <c r="AJ244" s="3254"/>
      <c r="AK244" s="3254"/>
      <c r="AL244" s="3254"/>
      <c r="AM244" s="3254"/>
      <c r="AN244" s="3254"/>
      <c r="AO244" s="3263"/>
      <c r="AP244" s="3263"/>
      <c r="AQ244" s="3266"/>
    </row>
    <row r="245" spans="1:43" ht="49.5" customHeight="1" x14ac:dyDescent="0.2">
      <c r="A245" s="1304"/>
      <c r="B245" s="1305"/>
      <c r="C245" s="1306"/>
      <c r="D245" s="1305"/>
      <c r="E245" s="1305"/>
      <c r="F245" s="1306"/>
      <c r="G245" s="1305"/>
      <c r="H245" s="1305"/>
      <c r="I245" s="1306"/>
      <c r="J245" s="3245"/>
      <c r="K245" s="3248"/>
      <c r="L245" s="3245"/>
      <c r="M245" s="3245"/>
      <c r="N245" s="1347"/>
      <c r="O245" s="3245"/>
      <c r="P245" s="3248"/>
      <c r="Q245" s="2623"/>
      <c r="R245" s="3277"/>
      <c r="S245" s="3248"/>
      <c r="T245" s="3248"/>
      <c r="U245" s="1413" t="s">
        <v>1724</v>
      </c>
      <c r="V245" s="1121">
        <v>124004444</v>
      </c>
      <c r="W245" s="1349"/>
      <c r="X245" s="1414"/>
      <c r="Y245" s="3245"/>
      <c r="Z245" s="3245"/>
      <c r="AA245" s="3254"/>
      <c r="AB245" s="3254"/>
      <c r="AC245" s="3254"/>
      <c r="AD245" s="3254"/>
      <c r="AE245" s="3254"/>
      <c r="AF245" s="3254"/>
      <c r="AG245" s="3254"/>
      <c r="AH245" s="3254"/>
      <c r="AI245" s="3254"/>
      <c r="AJ245" s="3254"/>
      <c r="AK245" s="3254"/>
      <c r="AL245" s="3254"/>
      <c r="AM245" s="3254"/>
      <c r="AN245" s="3254"/>
      <c r="AO245" s="3263"/>
      <c r="AP245" s="3263"/>
      <c r="AQ245" s="3266"/>
    </row>
    <row r="246" spans="1:43" ht="70.5" customHeight="1" x14ac:dyDescent="0.2">
      <c r="A246" s="1304"/>
      <c r="B246" s="1305"/>
      <c r="C246" s="1306"/>
      <c r="D246" s="1305"/>
      <c r="E246" s="1305"/>
      <c r="F246" s="1306"/>
      <c r="G246" s="1305"/>
      <c r="H246" s="1305"/>
      <c r="I246" s="1306"/>
      <c r="J246" s="3245"/>
      <c r="K246" s="3248"/>
      <c r="L246" s="3245"/>
      <c r="M246" s="3245"/>
      <c r="N246" s="1347" t="s">
        <v>1725</v>
      </c>
      <c r="O246" s="3245"/>
      <c r="P246" s="3248"/>
      <c r="Q246" s="2623"/>
      <c r="R246" s="3277"/>
      <c r="S246" s="3248"/>
      <c r="T246" s="3249"/>
      <c r="U246" s="1413" t="s">
        <v>1726</v>
      </c>
      <c r="V246" s="1121">
        <v>20000000</v>
      </c>
      <c r="W246" s="1349">
        <v>20</v>
      </c>
      <c r="X246" s="1347" t="s">
        <v>61</v>
      </c>
      <c r="Y246" s="3245"/>
      <c r="Z246" s="3245"/>
      <c r="AA246" s="3254"/>
      <c r="AB246" s="3254"/>
      <c r="AC246" s="3254"/>
      <c r="AD246" s="3254"/>
      <c r="AE246" s="3254"/>
      <c r="AF246" s="3254"/>
      <c r="AG246" s="3254"/>
      <c r="AH246" s="3254"/>
      <c r="AI246" s="3254"/>
      <c r="AJ246" s="3254"/>
      <c r="AK246" s="3254"/>
      <c r="AL246" s="3254"/>
      <c r="AM246" s="3254"/>
      <c r="AN246" s="3254"/>
      <c r="AO246" s="3263"/>
      <c r="AP246" s="3263"/>
      <c r="AQ246" s="3266"/>
    </row>
    <row r="247" spans="1:43" ht="60" customHeight="1" x14ac:dyDescent="0.2">
      <c r="A247" s="1304"/>
      <c r="B247" s="1305"/>
      <c r="C247" s="1306"/>
      <c r="D247" s="1305"/>
      <c r="E247" s="1305"/>
      <c r="F247" s="1306"/>
      <c r="G247" s="1313"/>
      <c r="H247" s="1313"/>
      <c r="I247" s="1314"/>
      <c r="J247" s="3246"/>
      <c r="K247" s="3249"/>
      <c r="L247" s="3246"/>
      <c r="M247" s="3246"/>
      <c r="N247" s="1353"/>
      <c r="O247" s="3246"/>
      <c r="P247" s="3249"/>
      <c r="Q247" s="2651"/>
      <c r="R247" s="3278"/>
      <c r="S247" s="3249"/>
      <c r="T247" s="1315" t="s">
        <v>1727</v>
      </c>
      <c r="U247" s="1415" t="s">
        <v>1728</v>
      </c>
      <c r="V247" s="1410">
        <v>15000000</v>
      </c>
      <c r="W247" s="1357"/>
      <c r="X247" s="1416"/>
      <c r="Y247" s="3246"/>
      <c r="Z247" s="3246"/>
      <c r="AA247" s="3255"/>
      <c r="AB247" s="3255"/>
      <c r="AC247" s="3255"/>
      <c r="AD247" s="3255"/>
      <c r="AE247" s="3255"/>
      <c r="AF247" s="3255"/>
      <c r="AG247" s="3255"/>
      <c r="AH247" s="3255"/>
      <c r="AI247" s="3255"/>
      <c r="AJ247" s="3255"/>
      <c r="AK247" s="3255"/>
      <c r="AL247" s="3255"/>
      <c r="AM247" s="3255"/>
      <c r="AN247" s="3255"/>
      <c r="AO247" s="3264"/>
      <c r="AP247" s="3264"/>
      <c r="AQ247" s="3267"/>
    </row>
    <row r="248" spans="1:43" s="1303" customFormat="1" ht="36" customHeight="1" x14ac:dyDescent="0.2">
      <c r="A248" s="1265"/>
      <c r="B248" s="1266"/>
      <c r="C248" s="1267"/>
      <c r="D248" s="1266"/>
      <c r="E248" s="1266"/>
      <c r="F248" s="1267"/>
      <c r="G248" s="1299">
        <v>53</v>
      </c>
      <c r="H248" s="1271" t="s">
        <v>1729</v>
      </c>
      <c r="I248" s="1271"/>
      <c r="J248" s="1271"/>
      <c r="K248" s="1272"/>
      <c r="L248" s="1271"/>
      <c r="M248" s="1271"/>
      <c r="N248" s="1273"/>
      <c r="O248" s="1271"/>
      <c r="P248" s="1272"/>
      <c r="Q248" s="1271"/>
      <c r="R248" s="1271"/>
      <c r="S248" s="1271"/>
      <c r="T248" s="1272"/>
      <c r="U248" s="1272"/>
      <c r="V248" s="1300"/>
      <c r="W248" s="1301"/>
      <c r="X248" s="1273"/>
      <c r="Y248" s="1273"/>
      <c r="Z248" s="1273"/>
      <c r="AA248" s="1417"/>
      <c r="AB248" s="1417"/>
      <c r="AC248" s="1418"/>
      <c r="AD248" s="1417"/>
      <c r="AE248" s="1417"/>
      <c r="AF248" s="1417"/>
      <c r="AG248" s="1417"/>
      <c r="AH248" s="1401"/>
      <c r="AI248" s="1417"/>
      <c r="AJ248" s="1418"/>
      <c r="AK248" s="1417"/>
      <c r="AL248" s="1417"/>
      <c r="AM248" s="1418"/>
      <c r="AN248" s="1417"/>
      <c r="AO248" s="1271"/>
      <c r="AP248" s="1271"/>
      <c r="AQ248" s="1278"/>
    </row>
    <row r="249" spans="1:43" ht="105" customHeight="1" x14ac:dyDescent="0.2">
      <c r="A249" s="1279"/>
      <c r="B249" s="1280"/>
      <c r="C249" s="1281"/>
      <c r="D249" s="1280"/>
      <c r="E249" s="1280"/>
      <c r="F249" s="1281"/>
      <c r="G249" s="1283"/>
      <c r="H249" s="1283"/>
      <c r="I249" s="1284"/>
      <c r="J249" s="3244">
        <v>173</v>
      </c>
      <c r="K249" s="3259" t="s">
        <v>1730</v>
      </c>
      <c r="L249" s="3244" t="s">
        <v>1318</v>
      </c>
      <c r="M249" s="3244">
        <v>7</v>
      </c>
      <c r="N249" s="3244" t="s">
        <v>1731</v>
      </c>
      <c r="O249" s="3244">
        <v>158</v>
      </c>
      <c r="P249" s="3247" t="s">
        <v>1732</v>
      </c>
      <c r="Q249" s="2622">
        <f>+(V249+V250+V251+V252+V253+V254+V255+V256)/R249</f>
        <v>1</v>
      </c>
      <c r="R249" s="3276">
        <f>SUM(V249:V257)</f>
        <v>35436120</v>
      </c>
      <c r="S249" s="3247" t="s">
        <v>1733</v>
      </c>
      <c r="T249" s="3259" t="s">
        <v>1734</v>
      </c>
      <c r="U249" s="1419" t="s">
        <v>1735</v>
      </c>
      <c r="V249" s="1187">
        <v>2859030</v>
      </c>
      <c r="W249" s="3272">
        <v>72</v>
      </c>
      <c r="X249" s="3244" t="s">
        <v>1657</v>
      </c>
      <c r="Y249" s="3244">
        <v>292684</v>
      </c>
      <c r="Z249" s="3244">
        <v>282326</v>
      </c>
      <c r="AA249" s="3253">
        <v>135912</v>
      </c>
      <c r="AB249" s="3253">
        <v>45122</v>
      </c>
      <c r="AC249" s="3253">
        <f t="shared" ref="AC249:AD249" si="4">AC240</f>
        <v>307101</v>
      </c>
      <c r="AD249" s="3253">
        <f t="shared" si="4"/>
        <v>86875</v>
      </c>
      <c r="AE249" s="3253">
        <v>2145</v>
      </c>
      <c r="AF249" s="3253">
        <v>12718</v>
      </c>
      <c r="AG249" s="3253">
        <v>26</v>
      </c>
      <c r="AH249" s="3253">
        <v>37</v>
      </c>
      <c r="AI249" s="3253" t="s">
        <v>1325</v>
      </c>
      <c r="AJ249" s="3253" t="s">
        <v>1325</v>
      </c>
      <c r="AK249" s="3253">
        <v>53164</v>
      </c>
      <c r="AL249" s="3253">
        <v>16982</v>
      </c>
      <c r="AM249" s="3253">
        <v>60013</v>
      </c>
      <c r="AN249" s="3253">
        <v>575010</v>
      </c>
      <c r="AO249" s="3262">
        <v>43101</v>
      </c>
      <c r="AP249" s="3262">
        <v>43465</v>
      </c>
      <c r="AQ249" s="3265" t="s">
        <v>1326</v>
      </c>
    </row>
    <row r="250" spans="1:43" ht="105" customHeight="1" x14ac:dyDescent="0.2">
      <c r="A250" s="1279"/>
      <c r="B250" s="1280"/>
      <c r="C250" s="1281"/>
      <c r="D250" s="1280"/>
      <c r="E250" s="1280"/>
      <c r="F250" s="1281"/>
      <c r="G250" s="1280"/>
      <c r="H250" s="1280"/>
      <c r="I250" s="1281"/>
      <c r="J250" s="3245"/>
      <c r="K250" s="3260"/>
      <c r="L250" s="3245"/>
      <c r="M250" s="3245"/>
      <c r="N250" s="3245"/>
      <c r="O250" s="3245"/>
      <c r="P250" s="3248"/>
      <c r="Q250" s="2623"/>
      <c r="R250" s="3277"/>
      <c r="S250" s="3248"/>
      <c r="T250" s="3260"/>
      <c r="U250" s="1419" t="s">
        <v>1736</v>
      </c>
      <c r="V250" s="1187">
        <v>2000000</v>
      </c>
      <c r="W250" s="3273"/>
      <c r="X250" s="3245"/>
      <c r="Y250" s="3245"/>
      <c r="Z250" s="3245"/>
      <c r="AA250" s="3254"/>
      <c r="AB250" s="3254"/>
      <c r="AC250" s="3254"/>
      <c r="AD250" s="3254"/>
      <c r="AE250" s="3254"/>
      <c r="AF250" s="3254"/>
      <c r="AG250" s="3254"/>
      <c r="AH250" s="3254"/>
      <c r="AI250" s="3254"/>
      <c r="AJ250" s="3254"/>
      <c r="AK250" s="3254"/>
      <c r="AL250" s="3254"/>
      <c r="AM250" s="3254"/>
      <c r="AN250" s="3254"/>
      <c r="AO250" s="3263"/>
      <c r="AP250" s="3263"/>
      <c r="AQ250" s="3266"/>
    </row>
    <row r="251" spans="1:43" ht="105" customHeight="1" x14ac:dyDescent="0.2">
      <c r="A251" s="1279"/>
      <c r="B251" s="1280"/>
      <c r="C251" s="1281"/>
      <c r="D251" s="1280"/>
      <c r="E251" s="1280"/>
      <c r="F251" s="1281"/>
      <c r="G251" s="1280"/>
      <c r="H251" s="1280"/>
      <c r="I251" s="1281"/>
      <c r="J251" s="3245"/>
      <c r="K251" s="3260"/>
      <c r="L251" s="3245"/>
      <c r="M251" s="3245"/>
      <c r="N251" s="3245"/>
      <c r="O251" s="3245"/>
      <c r="P251" s="3248"/>
      <c r="Q251" s="2623"/>
      <c r="R251" s="3277"/>
      <c r="S251" s="3248"/>
      <c r="T251" s="3260"/>
      <c r="U251" s="1419" t="s">
        <v>1737</v>
      </c>
      <c r="V251" s="1187">
        <v>2000000</v>
      </c>
      <c r="W251" s="3273"/>
      <c r="X251" s="3245"/>
      <c r="Y251" s="3245"/>
      <c r="Z251" s="3245"/>
      <c r="AA251" s="3254"/>
      <c r="AB251" s="3254"/>
      <c r="AC251" s="3254"/>
      <c r="AD251" s="3254"/>
      <c r="AE251" s="3254"/>
      <c r="AF251" s="3254"/>
      <c r="AG251" s="3254"/>
      <c r="AH251" s="3254"/>
      <c r="AI251" s="3254"/>
      <c r="AJ251" s="3254"/>
      <c r="AK251" s="3254"/>
      <c r="AL251" s="3254"/>
      <c r="AM251" s="3254"/>
      <c r="AN251" s="3254"/>
      <c r="AO251" s="3263"/>
      <c r="AP251" s="3263"/>
      <c r="AQ251" s="3266"/>
    </row>
    <row r="252" spans="1:43" ht="105" customHeight="1" x14ac:dyDescent="0.2">
      <c r="A252" s="1279"/>
      <c r="B252" s="1280"/>
      <c r="C252" s="1281"/>
      <c r="D252" s="1280"/>
      <c r="E252" s="1280"/>
      <c r="F252" s="1281"/>
      <c r="G252" s="1280"/>
      <c r="H252" s="1280"/>
      <c r="I252" s="1281"/>
      <c r="J252" s="3245"/>
      <c r="K252" s="3260"/>
      <c r="L252" s="3245"/>
      <c r="M252" s="3245"/>
      <c r="N252" s="3245"/>
      <c r="O252" s="3245"/>
      <c r="P252" s="3248"/>
      <c r="Q252" s="2623"/>
      <c r="R252" s="3277"/>
      <c r="S252" s="3248"/>
      <c r="T252" s="3260"/>
      <c r="U252" s="1419" t="s">
        <v>1738</v>
      </c>
      <c r="V252" s="1187">
        <v>2000000</v>
      </c>
      <c r="W252" s="3273"/>
      <c r="X252" s="3245"/>
      <c r="Y252" s="3245"/>
      <c r="Z252" s="3245"/>
      <c r="AA252" s="3254"/>
      <c r="AB252" s="3254"/>
      <c r="AC252" s="3254"/>
      <c r="AD252" s="3254"/>
      <c r="AE252" s="3254"/>
      <c r="AF252" s="3254"/>
      <c r="AG252" s="3254"/>
      <c r="AH252" s="3254"/>
      <c r="AI252" s="3254"/>
      <c r="AJ252" s="3254"/>
      <c r="AK252" s="3254"/>
      <c r="AL252" s="3254"/>
      <c r="AM252" s="3254"/>
      <c r="AN252" s="3254"/>
      <c r="AO252" s="3263"/>
      <c r="AP252" s="3263"/>
      <c r="AQ252" s="3266"/>
    </row>
    <row r="253" spans="1:43" ht="105" customHeight="1" x14ac:dyDescent="0.2">
      <c r="A253" s="1279"/>
      <c r="B253" s="1280"/>
      <c r="C253" s="1281"/>
      <c r="D253" s="1280"/>
      <c r="E253" s="1280"/>
      <c r="F253" s="1281"/>
      <c r="G253" s="1280"/>
      <c r="H253" s="1280"/>
      <c r="I253" s="1281"/>
      <c r="J253" s="3245"/>
      <c r="K253" s="3260"/>
      <c r="L253" s="3245"/>
      <c r="M253" s="3245"/>
      <c r="N253" s="3245"/>
      <c r="O253" s="3245"/>
      <c r="P253" s="3248"/>
      <c r="Q253" s="2623"/>
      <c r="R253" s="3277"/>
      <c r="S253" s="3248"/>
      <c r="T253" s="3261"/>
      <c r="U253" s="1419" t="s">
        <v>1739</v>
      </c>
      <c r="V253" s="1187">
        <v>17718060</v>
      </c>
      <c r="W253" s="3273"/>
      <c r="X253" s="3245"/>
      <c r="Y253" s="3245"/>
      <c r="Z253" s="3245"/>
      <c r="AA253" s="3254"/>
      <c r="AB253" s="3254"/>
      <c r="AC253" s="3254"/>
      <c r="AD253" s="3254"/>
      <c r="AE253" s="3254"/>
      <c r="AF253" s="3254"/>
      <c r="AG253" s="3254"/>
      <c r="AH253" s="3254"/>
      <c r="AI253" s="3254"/>
      <c r="AJ253" s="3254"/>
      <c r="AK253" s="3254"/>
      <c r="AL253" s="3254"/>
      <c r="AM253" s="3254"/>
      <c r="AN253" s="3254"/>
      <c r="AO253" s="3263"/>
      <c r="AP253" s="3263"/>
      <c r="AQ253" s="3266"/>
    </row>
    <row r="254" spans="1:43" ht="105" customHeight="1" x14ac:dyDescent="0.2">
      <c r="A254" s="1279"/>
      <c r="B254" s="1280"/>
      <c r="C254" s="1281"/>
      <c r="D254" s="1280"/>
      <c r="E254" s="1280"/>
      <c r="F254" s="1281"/>
      <c r="G254" s="1280"/>
      <c r="H254" s="1280"/>
      <c r="I254" s="1281"/>
      <c r="J254" s="3245"/>
      <c r="K254" s="3260"/>
      <c r="L254" s="3245"/>
      <c r="M254" s="3245"/>
      <c r="N254" s="3245"/>
      <c r="O254" s="3245"/>
      <c r="P254" s="3248"/>
      <c r="Q254" s="2623"/>
      <c r="R254" s="3277"/>
      <c r="S254" s="3248"/>
      <c r="T254" s="3259" t="s">
        <v>1740</v>
      </c>
      <c r="U254" s="1419" t="s">
        <v>1741</v>
      </c>
      <c r="V254" s="1187">
        <v>3859030</v>
      </c>
      <c r="W254" s="3273"/>
      <c r="X254" s="3245"/>
      <c r="Y254" s="3245"/>
      <c r="Z254" s="3245"/>
      <c r="AA254" s="3254"/>
      <c r="AB254" s="3254"/>
      <c r="AC254" s="3254"/>
      <c r="AD254" s="3254"/>
      <c r="AE254" s="3254"/>
      <c r="AF254" s="3254"/>
      <c r="AG254" s="3254"/>
      <c r="AH254" s="3254"/>
      <c r="AI254" s="3254"/>
      <c r="AJ254" s="3254"/>
      <c r="AK254" s="3254"/>
      <c r="AL254" s="3254"/>
      <c r="AM254" s="3254"/>
      <c r="AN254" s="3254"/>
      <c r="AO254" s="3263"/>
      <c r="AP254" s="3263"/>
      <c r="AQ254" s="3266"/>
    </row>
    <row r="255" spans="1:43" ht="105" customHeight="1" x14ac:dyDescent="0.2">
      <c r="A255" s="1279"/>
      <c r="B255" s="1280"/>
      <c r="C255" s="1281"/>
      <c r="D255" s="1280"/>
      <c r="E255" s="1280"/>
      <c r="F255" s="1281"/>
      <c r="G255" s="1280"/>
      <c r="H255" s="1280"/>
      <c r="I255" s="1281"/>
      <c r="J255" s="3245"/>
      <c r="K255" s="3260"/>
      <c r="L255" s="3245"/>
      <c r="M255" s="3245"/>
      <c r="N255" s="3245"/>
      <c r="O255" s="3245"/>
      <c r="P255" s="3248"/>
      <c r="Q255" s="2623"/>
      <c r="R255" s="3277"/>
      <c r="S255" s="3248"/>
      <c r="T255" s="3261"/>
      <c r="U255" s="1419" t="s">
        <v>1742</v>
      </c>
      <c r="V255" s="1187">
        <v>2000000</v>
      </c>
      <c r="W255" s="3273"/>
      <c r="X255" s="3245"/>
      <c r="Y255" s="3245"/>
      <c r="Z255" s="3245"/>
      <c r="AA255" s="3254"/>
      <c r="AB255" s="3254"/>
      <c r="AC255" s="3254"/>
      <c r="AD255" s="3254"/>
      <c r="AE255" s="3254"/>
      <c r="AF255" s="3254"/>
      <c r="AG255" s="3254"/>
      <c r="AH255" s="3254"/>
      <c r="AI255" s="3254"/>
      <c r="AJ255" s="3254"/>
      <c r="AK255" s="3254"/>
      <c r="AL255" s="3254"/>
      <c r="AM255" s="3254"/>
      <c r="AN255" s="3254"/>
      <c r="AO255" s="3263"/>
      <c r="AP255" s="3263"/>
      <c r="AQ255" s="3266"/>
    </row>
    <row r="256" spans="1:43" ht="105" customHeight="1" x14ac:dyDescent="0.2">
      <c r="A256" s="1279"/>
      <c r="B256" s="1280"/>
      <c r="C256" s="1281"/>
      <c r="D256" s="1280"/>
      <c r="E256" s="1280"/>
      <c r="F256" s="1281"/>
      <c r="G256" s="1280"/>
      <c r="H256" s="1280"/>
      <c r="I256" s="1281"/>
      <c r="J256" s="3245"/>
      <c r="K256" s="3260"/>
      <c r="L256" s="3245"/>
      <c r="M256" s="3245"/>
      <c r="N256" s="3245"/>
      <c r="O256" s="3245"/>
      <c r="P256" s="3248"/>
      <c r="Q256" s="2623"/>
      <c r="R256" s="3277"/>
      <c r="S256" s="3248"/>
      <c r="T256" s="1386" t="s">
        <v>1743</v>
      </c>
      <c r="U256" s="1419" t="s">
        <v>1744</v>
      </c>
      <c r="V256" s="1187">
        <v>3000000</v>
      </c>
      <c r="W256" s="3273"/>
      <c r="X256" s="3245"/>
      <c r="Y256" s="3245"/>
      <c r="Z256" s="3245"/>
      <c r="AA256" s="3254"/>
      <c r="AB256" s="3254"/>
      <c r="AC256" s="3254"/>
      <c r="AD256" s="3254"/>
      <c r="AE256" s="3254"/>
      <c r="AF256" s="3254"/>
      <c r="AG256" s="3254"/>
      <c r="AH256" s="3254"/>
      <c r="AI256" s="3254"/>
      <c r="AJ256" s="3254"/>
      <c r="AK256" s="3254"/>
      <c r="AL256" s="3254"/>
      <c r="AM256" s="3254"/>
      <c r="AN256" s="3254"/>
      <c r="AO256" s="3263"/>
      <c r="AP256" s="3263"/>
      <c r="AQ256" s="3266"/>
    </row>
    <row r="257" spans="1:347" ht="45" x14ac:dyDescent="0.2">
      <c r="A257" s="1402"/>
      <c r="B257" s="1403"/>
      <c r="C257" s="1404"/>
      <c r="D257" s="1403"/>
      <c r="E257" s="1403"/>
      <c r="F257" s="1404"/>
      <c r="G257" s="1420"/>
      <c r="H257" s="1420"/>
      <c r="I257" s="1421"/>
      <c r="J257" s="1359">
        <v>174</v>
      </c>
      <c r="K257" s="1315" t="s">
        <v>1745</v>
      </c>
      <c r="L257" s="1359" t="s">
        <v>1318</v>
      </c>
      <c r="M257" s="1359">
        <v>150</v>
      </c>
      <c r="N257" s="3246"/>
      <c r="O257" s="3246"/>
      <c r="P257" s="3249"/>
      <c r="Q257" s="1188">
        <v>0.1</v>
      </c>
      <c r="R257" s="3278"/>
      <c r="S257" s="3249"/>
      <c r="T257" s="1386" t="s">
        <v>1746</v>
      </c>
      <c r="U257" s="1315" t="s">
        <v>1747</v>
      </c>
      <c r="V257" s="1187">
        <v>0</v>
      </c>
      <c r="W257" s="3274"/>
      <c r="X257" s="3246"/>
      <c r="Y257" s="3246"/>
      <c r="Z257" s="3246"/>
      <c r="AA257" s="3255"/>
      <c r="AB257" s="3255"/>
      <c r="AC257" s="3255"/>
      <c r="AD257" s="3255"/>
      <c r="AE257" s="3255"/>
      <c r="AF257" s="3255"/>
      <c r="AG257" s="3255"/>
      <c r="AH257" s="3255"/>
      <c r="AI257" s="3255"/>
      <c r="AJ257" s="3255"/>
      <c r="AK257" s="3255"/>
      <c r="AL257" s="3255"/>
      <c r="AM257" s="3255"/>
      <c r="AN257" s="3255"/>
      <c r="AO257" s="3264"/>
      <c r="AP257" s="3264"/>
      <c r="AQ257" s="3267"/>
    </row>
    <row r="258" spans="1:347" s="1303" customFormat="1" ht="36" customHeight="1" x14ac:dyDescent="0.2">
      <c r="A258" s="1265"/>
      <c r="B258" s="1266"/>
      <c r="C258" s="1267"/>
      <c r="D258" s="1266"/>
      <c r="E258" s="1266"/>
      <c r="F258" s="1267"/>
      <c r="G258" s="1378">
        <v>54</v>
      </c>
      <c r="H258" s="1379" t="s">
        <v>1748</v>
      </c>
      <c r="I258" s="1379"/>
      <c r="J258" s="1271"/>
      <c r="K258" s="1272"/>
      <c r="L258" s="1271"/>
      <c r="M258" s="1271"/>
      <c r="N258" s="1273"/>
      <c r="O258" s="1271"/>
      <c r="P258" s="1272"/>
      <c r="Q258" s="1271"/>
      <c r="R258" s="1271"/>
      <c r="S258" s="1271"/>
      <c r="T258" s="1272"/>
      <c r="U258" s="1272"/>
      <c r="V258" s="1300"/>
      <c r="W258" s="1301"/>
      <c r="X258" s="1273"/>
      <c r="Y258" s="1273"/>
      <c r="Z258" s="1273"/>
      <c r="AA258" s="1417"/>
      <c r="AB258" s="1417"/>
      <c r="AC258" s="1418"/>
      <c r="AD258" s="1417"/>
      <c r="AE258" s="1417"/>
      <c r="AF258" s="1417"/>
      <c r="AG258" s="1417"/>
      <c r="AH258" s="1401"/>
      <c r="AI258" s="1417"/>
      <c r="AJ258" s="1418"/>
      <c r="AK258" s="1417"/>
      <c r="AL258" s="1417"/>
      <c r="AM258" s="1418"/>
      <c r="AN258" s="1417"/>
      <c r="AO258" s="1271"/>
      <c r="AP258" s="1271"/>
      <c r="AQ258" s="1278"/>
    </row>
    <row r="259" spans="1:347" ht="64.5" customHeight="1" x14ac:dyDescent="0.2">
      <c r="A259" s="1279"/>
      <c r="B259" s="1280"/>
      <c r="C259" s="1281"/>
      <c r="D259" s="1280"/>
      <c r="E259" s="1280"/>
      <c r="F259" s="1280"/>
      <c r="G259" s="1282"/>
      <c r="H259" s="1283"/>
      <c r="I259" s="1284"/>
      <c r="J259" s="3316">
        <v>175</v>
      </c>
      <c r="K259" s="3322" t="s">
        <v>1749</v>
      </c>
      <c r="L259" s="3316" t="s">
        <v>1318</v>
      </c>
      <c r="M259" s="3316">
        <v>14</v>
      </c>
      <c r="N259" s="3316" t="s">
        <v>1750</v>
      </c>
      <c r="O259" s="3316">
        <v>159</v>
      </c>
      <c r="P259" s="3319" t="s">
        <v>1751</v>
      </c>
      <c r="Q259" s="2217">
        <v>1</v>
      </c>
      <c r="R259" s="3393">
        <v>23817720</v>
      </c>
      <c r="S259" s="3319" t="s">
        <v>1752</v>
      </c>
      <c r="T259" s="3390" t="s">
        <v>1753</v>
      </c>
      <c r="U259" s="1419" t="s">
        <v>1754</v>
      </c>
      <c r="V259" s="1422">
        <v>173817720</v>
      </c>
      <c r="W259" s="3391">
        <v>72</v>
      </c>
      <c r="X259" s="3356" t="s">
        <v>1657</v>
      </c>
      <c r="Y259" s="3268">
        <v>292684</v>
      </c>
      <c r="Z259" s="3268">
        <v>282326</v>
      </c>
      <c r="AA259" s="3385">
        <v>135912</v>
      </c>
      <c r="AB259" s="3385">
        <v>45122</v>
      </c>
      <c r="AC259" s="3385">
        <f t="shared" ref="AC259:AD259" si="5">AC249</f>
        <v>307101</v>
      </c>
      <c r="AD259" s="3385">
        <f t="shared" si="5"/>
        <v>86875</v>
      </c>
      <c r="AE259" s="3385">
        <v>2145</v>
      </c>
      <c r="AF259" s="3385">
        <v>12718</v>
      </c>
      <c r="AG259" s="3385">
        <v>26</v>
      </c>
      <c r="AH259" s="3385">
        <v>37</v>
      </c>
      <c r="AI259" s="3385" t="s">
        <v>1325</v>
      </c>
      <c r="AJ259" s="3385" t="s">
        <v>1325</v>
      </c>
      <c r="AK259" s="3385">
        <v>53164</v>
      </c>
      <c r="AL259" s="3385">
        <v>16982</v>
      </c>
      <c r="AM259" s="3385">
        <v>60013</v>
      </c>
      <c r="AN259" s="3285">
        <v>575010</v>
      </c>
      <c r="AO259" s="3386">
        <v>43101</v>
      </c>
      <c r="AP259" s="3386">
        <v>43465</v>
      </c>
      <c r="AQ259" s="3265" t="s">
        <v>1326</v>
      </c>
    </row>
    <row r="260" spans="1:347" ht="59.45" customHeight="1" x14ac:dyDescent="0.2">
      <c r="A260" s="1279"/>
      <c r="B260" s="1280"/>
      <c r="C260" s="1281"/>
      <c r="D260" s="1280"/>
      <c r="E260" s="1280"/>
      <c r="F260" s="1280"/>
      <c r="G260" s="1287"/>
      <c r="H260" s="1280"/>
      <c r="I260" s="1281"/>
      <c r="J260" s="3317"/>
      <c r="K260" s="3323"/>
      <c r="L260" s="3317"/>
      <c r="M260" s="3317"/>
      <c r="N260" s="3317"/>
      <c r="O260" s="3317"/>
      <c r="P260" s="3320"/>
      <c r="Q260" s="2217"/>
      <c r="R260" s="3393"/>
      <c r="S260" s="3320"/>
      <c r="T260" s="3390"/>
      <c r="U260" s="1419" t="s">
        <v>1755</v>
      </c>
      <c r="V260" s="287">
        <v>0</v>
      </c>
      <c r="W260" s="3391"/>
      <c r="X260" s="3392"/>
      <c r="Y260" s="3268"/>
      <c r="Z260" s="3268"/>
      <c r="AA260" s="3385"/>
      <c r="AB260" s="3385"/>
      <c r="AC260" s="3385"/>
      <c r="AD260" s="3385"/>
      <c r="AE260" s="3385"/>
      <c r="AF260" s="3385"/>
      <c r="AG260" s="3385"/>
      <c r="AH260" s="3385"/>
      <c r="AI260" s="3385"/>
      <c r="AJ260" s="3385"/>
      <c r="AK260" s="3385"/>
      <c r="AL260" s="3385"/>
      <c r="AM260" s="3385"/>
      <c r="AN260" s="3286"/>
      <c r="AO260" s="3385"/>
      <c r="AP260" s="3385"/>
      <c r="AQ260" s="3266"/>
    </row>
    <row r="261" spans="1:347" ht="64.5" customHeight="1" x14ac:dyDescent="0.2">
      <c r="A261" s="1279"/>
      <c r="B261" s="1280"/>
      <c r="C261" s="1281"/>
      <c r="D261" s="1289"/>
      <c r="E261" s="1289"/>
      <c r="F261" s="1289"/>
      <c r="G261" s="1287"/>
      <c r="H261" s="1280"/>
      <c r="I261" s="1281"/>
      <c r="J261" s="1423">
        <v>176</v>
      </c>
      <c r="K261" s="1424" t="s">
        <v>1756</v>
      </c>
      <c r="L261" s="1423" t="s">
        <v>344</v>
      </c>
      <c r="M261" s="1423">
        <v>2</v>
      </c>
      <c r="N261" s="3318"/>
      <c r="O261" s="3318"/>
      <c r="P261" s="3321"/>
      <c r="Q261" s="2217"/>
      <c r="R261" s="3393"/>
      <c r="S261" s="3320"/>
      <c r="T261" s="1425" t="s">
        <v>1757</v>
      </c>
      <c r="U261" s="1419" t="s">
        <v>1758</v>
      </c>
      <c r="V261" s="287">
        <v>0</v>
      </c>
      <c r="W261" s="3391"/>
      <c r="X261" s="3392"/>
      <c r="Y261" s="3268"/>
      <c r="Z261" s="3268"/>
      <c r="AA261" s="3385"/>
      <c r="AB261" s="3385"/>
      <c r="AC261" s="3385"/>
      <c r="AD261" s="3385"/>
      <c r="AE261" s="3385"/>
      <c r="AF261" s="3385"/>
      <c r="AG261" s="3385"/>
      <c r="AH261" s="3385"/>
      <c r="AI261" s="3385"/>
      <c r="AJ261" s="3385"/>
      <c r="AK261" s="3385"/>
      <c r="AL261" s="3385"/>
      <c r="AM261" s="3385"/>
      <c r="AN261" s="3287"/>
      <c r="AO261" s="3385"/>
      <c r="AP261" s="3385"/>
      <c r="AQ261" s="3267"/>
    </row>
    <row r="262" spans="1:347" s="1254" customFormat="1" ht="36" customHeight="1" x14ac:dyDescent="0.2">
      <c r="A262" s="1265"/>
      <c r="C262" s="1292"/>
      <c r="D262" s="1377">
        <v>15</v>
      </c>
      <c r="E262" s="1256" t="s">
        <v>1759</v>
      </c>
      <c r="F262" s="1256"/>
      <c r="G262" s="1365"/>
      <c r="H262" s="1365"/>
      <c r="I262" s="1365"/>
      <c r="J262" s="1257"/>
      <c r="K262" s="1258"/>
      <c r="L262" s="1257"/>
      <c r="M262" s="1257"/>
      <c r="N262" s="1259"/>
      <c r="O262" s="1257"/>
      <c r="P262" s="1258"/>
      <c r="Q262" s="1257"/>
      <c r="R262" s="1257"/>
      <c r="S262" s="1257"/>
      <c r="T262" s="1258"/>
      <c r="U262" s="1258"/>
      <c r="V262" s="1296"/>
      <c r="W262" s="1297"/>
      <c r="X262" s="1259"/>
      <c r="Y262" s="1259"/>
      <c r="Z262" s="1259"/>
      <c r="AA262" s="1426"/>
      <c r="AB262" s="1426"/>
      <c r="AC262" s="1427"/>
      <c r="AD262" s="1426"/>
      <c r="AE262" s="1426"/>
      <c r="AF262" s="1426"/>
      <c r="AG262" s="1426"/>
      <c r="AH262" s="1428"/>
      <c r="AI262" s="1426"/>
      <c r="AJ262" s="1427"/>
      <c r="AK262" s="1426"/>
      <c r="AL262" s="1426"/>
      <c r="AM262" s="1427"/>
      <c r="AN262" s="1426"/>
      <c r="AO262" s="1257"/>
      <c r="AP262" s="1257"/>
      <c r="AQ262" s="1264"/>
    </row>
    <row r="263" spans="1:347" s="1254" customFormat="1" ht="36" customHeight="1" x14ac:dyDescent="0.2">
      <c r="A263" s="1265"/>
      <c r="B263" s="1266"/>
      <c r="C263" s="1267"/>
      <c r="D263" s="1268"/>
      <c r="E263" s="1268"/>
      <c r="F263" s="1269"/>
      <c r="G263" s="1299">
        <v>55</v>
      </c>
      <c r="H263" s="1271" t="s">
        <v>1760</v>
      </c>
      <c r="I263" s="1271"/>
      <c r="J263" s="1271"/>
      <c r="K263" s="1272"/>
      <c r="L263" s="1271"/>
      <c r="M263" s="1271"/>
      <c r="N263" s="1273"/>
      <c r="O263" s="1271"/>
      <c r="P263" s="1272"/>
      <c r="Q263" s="1271"/>
      <c r="R263" s="1271"/>
      <c r="S263" s="1271"/>
      <c r="T263" s="1272"/>
      <c r="U263" s="1272"/>
      <c r="V263" s="1300"/>
      <c r="W263" s="1301"/>
      <c r="X263" s="1429"/>
      <c r="Y263" s="1429"/>
      <c r="Z263" s="1429"/>
      <c r="AA263" s="1430"/>
      <c r="AB263" s="1430"/>
      <c r="AC263" s="1431"/>
      <c r="AD263" s="1430"/>
      <c r="AE263" s="1430"/>
      <c r="AF263" s="1430"/>
      <c r="AG263" s="1430"/>
      <c r="AH263" s="1432"/>
      <c r="AI263" s="1430"/>
      <c r="AJ263" s="1431"/>
      <c r="AK263" s="1430"/>
      <c r="AL263" s="1430"/>
      <c r="AM263" s="1431"/>
      <c r="AN263" s="1430"/>
      <c r="AO263" s="1271"/>
      <c r="AP263" s="1271"/>
      <c r="AQ263" s="1278"/>
    </row>
    <row r="264" spans="1:347" s="1433" customFormat="1" ht="93" customHeight="1" x14ac:dyDescent="0.2">
      <c r="A264" s="1304"/>
      <c r="B264" s="1305"/>
      <c r="C264" s="1306"/>
      <c r="D264" s="1305"/>
      <c r="E264" s="1305"/>
      <c r="F264" s="1306"/>
      <c r="G264" s="1308"/>
      <c r="H264" s="1308"/>
      <c r="I264" s="1309"/>
      <c r="J264" s="1353">
        <v>177</v>
      </c>
      <c r="K264" s="1329" t="s">
        <v>1761</v>
      </c>
      <c r="L264" s="1353" t="s">
        <v>1318</v>
      </c>
      <c r="M264" s="1353">
        <v>2</v>
      </c>
      <c r="N264" s="3244" t="s">
        <v>1762</v>
      </c>
      <c r="O264" s="3244">
        <v>160</v>
      </c>
      <c r="P264" s="3247" t="s">
        <v>1763</v>
      </c>
      <c r="Q264" s="1192">
        <v>0</v>
      </c>
      <c r="R264" s="3276">
        <f>SUM(V265:V269)</f>
        <v>157396240</v>
      </c>
      <c r="S264" s="3259" t="s">
        <v>1764</v>
      </c>
      <c r="T264" s="1412" t="s">
        <v>1765</v>
      </c>
      <c r="U264" s="1315" t="s">
        <v>1766</v>
      </c>
      <c r="V264" s="1042">
        <v>0</v>
      </c>
      <c r="W264" s="3383">
        <v>72</v>
      </c>
      <c r="X264" s="3244" t="s">
        <v>1657</v>
      </c>
      <c r="Y264" s="3244">
        <v>292684</v>
      </c>
      <c r="Z264" s="3244">
        <v>282326</v>
      </c>
      <c r="AA264" s="3253">
        <v>135912</v>
      </c>
      <c r="AB264" s="3253">
        <v>45122</v>
      </c>
      <c r="AC264" s="3253">
        <f>SUM(AC259)</f>
        <v>307101</v>
      </c>
      <c r="AD264" s="3253">
        <v>86875</v>
      </c>
      <c r="AE264" s="3253">
        <v>2145</v>
      </c>
      <c r="AF264" s="3253">
        <v>12718</v>
      </c>
      <c r="AG264" s="3253">
        <v>26</v>
      </c>
      <c r="AH264" s="3253">
        <v>37</v>
      </c>
      <c r="AI264" s="3253" t="s">
        <v>1325</v>
      </c>
      <c r="AJ264" s="3253" t="s">
        <v>1325</v>
      </c>
      <c r="AK264" s="3253">
        <v>53164</v>
      </c>
      <c r="AL264" s="3253">
        <v>16982</v>
      </c>
      <c r="AM264" s="3253">
        <v>60013</v>
      </c>
      <c r="AN264" s="3253">
        <v>575010</v>
      </c>
      <c r="AO264" s="3262">
        <v>43101</v>
      </c>
      <c r="AP264" s="3262">
        <v>43465</v>
      </c>
      <c r="AQ264" s="3265" t="s">
        <v>1326</v>
      </c>
    </row>
    <row r="265" spans="1:347" ht="45" x14ac:dyDescent="0.2">
      <c r="A265" s="1304"/>
      <c r="B265" s="1305"/>
      <c r="C265" s="1306"/>
      <c r="D265" s="1305"/>
      <c r="E265" s="1305"/>
      <c r="F265" s="1306"/>
      <c r="G265" s="1305"/>
      <c r="H265" s="1305"/>
      <c r="I265" s="1306"/>
      <c r="J265" s="3244">
        <v>178</v>
      </c>
      <c r="K265" s="3247" t="s">
        <v>1767</v>
      </c>
      <c r="L265" s="3244" t="s">
        <v>1318</v>
      </c>
      <c r="M265" s="3244">
        <v>3</v>
      </c>
      <c r="N265" s="3245"/>
      <c r="O265" s="3245"/>
      <c r="P265" s="3248"/>
      <c r="Q265" s="2622">
        <v>1</v>
      </c>
      <c r="R265" s="3277"/>
      <c r="S265" s="3260"/>
      <c r="T265" s="3315" t="s">
        <v>1768</v>
      </c>
      <c r="U265" s="1434" t="s">
        <v>1769</v>
      </c>
      <c r="V265" s="265">
        <v>68071048</v>
      </c>
      <c r="W265" s="3384"/>
      <c r="X265" s="3245"/>
      <c r="Y265" s="3245"/>
      <c r="Z265" s="3245"/>
      <c r="AA265" s="3254"/>
      <c r="AB265" s="3254"/>
      <c r="AC265" s="3254"/>
      <c r="AD265" s="3254"/>
      <c r="AE265" s="3254"/>
      <c r="AF265" s="3254"/>
      <c r="AG265" s="3254"/>
      <c r="AH265" s="3254"/>
      <c r="AI265" s="3254"/>
      <c r="AJ265" s="3254"/>
      <c r="AK265" s="3254"/>
      <c r="AL265" s="3254"/>
      <c r="AM265" s="3254"/>
      <c r="AN265" s="3254"/>
      <c r="AO265" s="3263"/>
      <c r="AP265" s="3263"/>
      <c r="AQ265" s="3266"/>
    </row>
    <row r="266" spans="1:347" ht="30" x14ac:dyDescent="0.2">
      <c r="A266" s="1304"/>
      <c r="B266" s="1305"/>
      <c r="C266" s="1306"/>
      <c r="D266" s="1305"/>
      <c r="E266" s="1305"/>
      <c r="F266" s="1306"/>
      <c r="G266" s="1305"/>
      <c r="H266" s="1305"/>
      <c r="I266" s="1306"/>
      <c r="J266" s="3245"/>
      <c r="K266" s="3248"/>
      <c r="L266" s="3245"/>
      <c r="M266" s="3245"/>
      <c r="N266" s="3245"/>
      <c r="O266" s="3245"/>
      <c r="P266" s="3248"/>
      <c r="Q266" s="2623"/>
      <c r="R266" s="3277"/>
      <c r="S266" s="3260"/>
      <c r="T266" s="3315"/>
      <c r="U266" s="1434" t="s">
        <v>1770</v>
      </c>
      <c r="V266" s="265">
        <v>40000000</v>
      </c>
      <c r="W266" s="3384"/>
      <c r="X266" s="3245"/>
      <c r="Y266" s="3245"/>
      <c r="Z266" s="3245"/>
      <c r="AA266" s="3254"/>
      <c r="AB266" s="3254"/>
      <c r="AC266" s="3254"/>
      <c r="AD266" s="3254"/>
      <c r="AE266" s="3254"/>
      <c r="AF266" s="3254"/>
      <c r="AG266" s="3254"/>
      <c r="AH266" s="3254"/>
      <c r="AI266" s="3254"/>
      <c r="AJ266" s="3254"/>
      <c r="AK266" s="3254"/>
      <c r="AL266" s="3254"/>
      <c r="AM266" s="3254"/>
      <c r="AN266" s="3254"/>
      <c r="AO266" s="3263"/>
      <c r="AP266" s="3263"/>
      <c r="AQ266" s="3266"/>
    </row>
    <row r="267" spans="1:347" ht="30" x14ac:dyDescent="0.2">
      <c r="A267" s="1304"/>
      <c r="B267" s="1305"/>
      <c r="C267" s="1306"/>
      <c r="D267" s="1305"/>
      <c r="E267" s="1305"/>
      <c r="F267" s="1306"/>
      <c r="G267" s="1305"/>
      <c r="H267" s="1305"/>
      <c r="I267" s="1306"/>
      <c r="J267" s="3245"/>
      <c r="K267" s="3248"/>
      <c r="L267" s="3245"/>
      <c r="M267" s="3245"/>
      <c r="N267" s="3245"/>
      <c r="O267" s="3245"/>
      <c r="P267" s="3248"/>
      <c r="Q267" s="2623"/>
      <c r="R267" s="3277"/>
      <c r="S267" s="3260"/>
      <c r="T267" s="3315"/>
      <c r="U267" s="1434" t="s">
        <v>1771</v>
      </c>
      <c r="V267" s="265">
        <v>20000000</v>
      </c>
      <c r="W267" s="3384"/>
      <c r="X267" s="3245"/>
      <c r="Y267" s="3245"/>
      <c r="Z267" s="3245"/>
      <c r="AA267" s="3254"/>
      <c r="AB267" s="3254"/>
      <c r="AC267" s="3254"/>
      <c r="AD267" s="3254"/>
      <c r="AE267" s="3254"/>
      <c r="AF267" s="3254"/>
      <c r="AG267" s="3254"/>
      <c r="AH267" s="3254"/>
      <c r="AI267" s="3254"/>
      <c r="AJ267" s="3254"/>
      <c r="AK267" s="3254"/>
      <c r="AL267" s="3254"/>
      <c r="AM267" s="3254"/>
      <c r="AN267" s="3254"/>
      <c r="AO267" s="3263"/>
      <c r="AP267" s="3263"/>
      <c r="AQ267" s="3266"/>
    </row>
    <row r="268" spans="1:347" ht="60" customHeight="1" x14ac:dyDescent="0.2">
      <c r="A268" s="1304"/>
      <c r="B268" s="1305"/>
      <c r="C268" s="1306"/>
      <c r="D268" s="1305"/>
      <c r="E268" s="1305"/>
      <c r="F268" s="1306"/>
      <c r="G268" s="1305"/>
      <c r="H268" s="1305"/>
      <c r="I268" s="1306"/>
      <c r="J268" s="3245"/>
      <c r="K268" s="3248"/>
      <c r="L268" s="3245"/>
      <c r="M268" s="3245"/>
      <c r="N268" s="3245"/>
      <c r="O268" s="3245"/>
      <c r="P268" s="3248"/>
      <c r="Q268" s="2623"/>
      <c r="R268" s="3277"/>
      <c r="S268" s="3260"/>
      <c r="T268" s="3315" t="s">
        <v>1772</v>
      </c>
      <c r="U268" s="1435" t="s">
        <v>1773</v>
      </c>
      <c r="V268" s="265">
        <v>15000000</v>
      </c>
      <c r="W268" s="3384"/>
      <c r="X268" s="3245"/>
      <c r="Y268" s="3245"/>
      <c r="Z268" s="3245"/>
      <c r="AA268" s="3254"/>
      <c r="AB268" s="3254"/>
      <c r="AC268" s="3254"/>
      <c r="AD268" s="3254"/>
      <c r="AE268" s="3254"/>
      <c r="AF268" s="3254"/>
      <c r="AG268" s="3254"/>
      <c r="AH268" s="3254"/>
      <c r="AI268" s="3254"/>
      <c r="AJ268" s="3254"/>
      <c r="AK268" s="3254"/>
      <c r="AL268" s="3254"/>
      <c r="AM268" s="3254"/>
      <c r="AN268" s="3254"/>
      <c r="AO268" s="3263"/>
      <c r="AP268" s="3263"/>
      <c r="AQ268" s="3266"/>
    </row>
    <row r="269" spans="1:347" ht="30" x14ac:dyDescent="0.2">
      <c r="A269" s="1304"/>
      <c r="B269" s="1305"/>
      <c r="C269" s="1306"/>
      <c r="D269" s="1305"/>
      <c r="E269" s="1305"/>
      <c r="F269" s="1306"/>
      <c r="G269" s="1305"/>
      <c r="H269" s="1305"/>
      <c r="I269" s="1306"/>
      <c r="J269" s="3246"/>
      <c r="K269" s="3249"/>
      <c r="L269" s="3246"/>
      <c r="M269" s="3246"/>
      <c r="N269" s="3245"/>
      <c r="O269" s="3245"/>
      <c r="P269" s="3248"/>
      <c r="Q269" s="2651"/>
      <c r="R269" s="3277"/>
      <c r="S269" s="3260"/>
      <c r="T269" s="3315"/>
      <c r="U269" s="1435" t="s">
        <v>1774</v>
      </c>
      <c r="V269" s="265">
        <v>14325192</v>
      </c>
      <c r="W269" s="3384"/>
      <c r="X269" s="3245"/>
      <c r="Y269" s="3245"/>
      <c r="Z269" s="3245"/>
      <c r="AA269" s="3254"/>
      <c r="AB269" s="3254"/>
      <c r="AC269" s="3254"/>
      <c r="AD269" s="3254"/>
      <c r="AE269" s="3254"/>
      <c r="AF269" s="3254"/>
      <c r="AG269" s="3254"/>
      <c r="AH269" s="3254"/>
      <c r="AI269" s="3254"/>
      <c r="AJ269" s="3254"/>
      <c r="AK269" s="3254"/>
      <c r="AL269" s="3254"/>
      <c r="AM269" s="3254"/>
      <c r="AN269" s="3254"/>
      <c r="AO269" s="3263"/>
      <c r="AP269" s="3263"/>
      <c r="AQ269" s="3266"/>
    </row>
    <row r="270" spans="1:347" s="1438" customFormat="1" ht="62.25" customHeight="1" thickBot="1" x14ac:dyDescent="0.25">
      <c r="A270" s="1304"/>
      <c r="B270" s="1305"/>
      <c r="C270" s="1306"/>
      <c r="D270" s="1305"/>
      <c r="E270" s="1305"/>
      <c r="F270" s="1306"/>
      <c r="G270" s="1305"/>
      <c r="H270" s="1305"/>
      <c r="I270" s="1306"/>
      <c r="J270" s="1345">
        <v>179</v>
      </c>
      <c r="K270" s="1386" t="s">
        <v>1775</v>
      </c>
      <c r="L270" s="1345" t="s">
        <v>1318</v>
      </c>
      <c r="M270" s="1345">
        <v>4</v>
      </c>
      <c r="N270" s="3245"/>
      <c r="O270" s="3245"/>
      <c r="P270" s="3248"/>
      <c r="Q270" s="1190">
        <v>0</v>
      </c>
      <c r="R270" s="3278"/>
      <c r="S270" s="3260"/>
      <c r="T270" s="1412" t="s">
        <v>1776</v>
      </c>
      <c r="U270" s="1436" t="s">
        <v>1777</v>
      </c>
      <c r="V270" s="1437">
        <v>0</v>
      </c>
      <c r="W270" s="3384"/>
      <c r="X270" s="3245"/>
      <c r="Y270" s="3245"/>
      <c r="Z270" s="3245"/>
      <c r="AA270" s="3254"/>
      <c r="AB270" s="3254"/>
      <c r="AC270" s="3254"/>
      <c r="AD270" s="3254"/>
      <c r="AE270" s="3254"/>
      <c r="AF270" s="3254"/>
      <c r="AG270" s="3254"/>
      <c r="AH270" s="3254"/>
      <c r="AI270" s="3254"/>
      <c r="AJ270" s="3254"/>
      <c r="AK270" s="3254"/>
      <c r="AL270" s="3254"/>
      <c r="AM270" s="3254"/>
      <c r="AN270" s="3254"/>
      <c r="AO270" s="3263"/>
      <c r="AP270" s="3263"/>
      <c r="AQ270" s="3266"/>
      <c r="AR270" s="1242"/>
      <c r="AS270" s="1243"/>
      <c r="AT270" s="1242"/>
      <c r="AU270" s="1243"/>
      <c r="AV270" s="1242"/>
      <c r="AW270" s="1243"/>
      <c r="AX270" s="1242"/>
      <c r="AY270" s="1243"/>
      <c r="AZ270" s="1242"/>
      <c r="BA270" s="1243"/>
      <c r="BB270" s="1242"/>
      <c r="BC270" s="1243"/>
      <c r="BD270" s="1242"/>
      <c r="BE270" s="1243"/>
      <c r="BF270" s="1242"/>
      <c r="BG270" s="1243"/>
      <c r="BH270" s="1242"/>
      <c r="BI270" s="1243"/>
      <c r="BJ270" s="1242"/>
      <c r="BK270" s="1243"/>
      <c r="BL270" s="1242"/>
      <c r="BM270" s="1243"/>
      <c r="BN270" s="1242"/>
      <c r="BO270" s="1243"/>
      <c r="BP270" s="1242"/>
      <c r="BQ270" s="1243"/>
      <c r="BR270" s="1242"/>
      <c r="BS270" s="1243"/>
      <c r="BT270" s="1242"/>
      <c r="BU270" s="1243"/>
      <c r="BV270" s="1242"/>
      <c r="BW270" s="1243"/>
      <c r="BX270" s="1243"/>
      <c r="BY270" s="1243"/>
      <c r="BZ270" s="1243"/>
      <c r="CA270" s="1243"/>
      <c r="CB270" s="1243"/>
      <c r="CC270" s="1243"/>
      <c r="CD270" s="1243"/>
      <c r="CE270" s="1243"/>
      <c r="CF270" s="1243"/>
      <c r="CG270" s="1243"/>
      <c r="CH270" s="1243"/>
      <c r="CI270" s="1243"/>
      <c r="CJ270" s="1243"/>
      <c r="CK270" s="1243"/>
      <c r="CL270" s="1243"/>
      <c r="CM270" s="1243"/>
      <c r="CN270" s="1243"/>
      <c r="CO270" s="1243"/>
      <c r="CP270" s="1243"/>
      <c r="CQ270" s="1243"/>
      <c r="CR270" s="1243"/>
      <c r="CS270" s="1243"/>
      <c r="CT270" s="1243"/>
      <c r="CU270" s="1243"/>
      <c r="CV270" s="1243"/>
      <c r="CW270" s="1243"/>
      <c r="CX270" s="1243"/>
      <c r="CY270" s="1243"/>
      <c r="CZ270" s="1243"/>
      <c r="DA270" s="1243"/>
      <c r="DB270" s="1243"/>
      <c r="DC270" s="1243"/>
      <c r="DD270" s="1243"/>
      <c r="DE270" s="1243"/>
      <c r="DF270" s="1243"/>
      <c r="DG270" s="1243"/>
      <c r="DH270" s="1243"/>
      <c r="DI270" s="1243"/>
      <c r="DJ270" s="1243"/>
      <c r="DK270" s="1243"/>
      <c r="DL270" s="1243"/>
      <c r="DM270" s="1243"/>
      <c r="DN270" s="1243"/>
      <c r="DO270" s="1243"/>
      <c r="DP270" s="1243"/>
      <c r="DQ270" s="1243"/>
      <c r="DR270" s="1243"/>
      <c r="DS270" s="1243"/>
      <c r="DT270" s="1243"/>
      <c r="DU270" s="1243"/>
      <c r="DV270" s="1243"/>
      <c r="DW270" s="1243"/>
      <c r="DX270" s="1243"/>
      <c r="DY270" s="1243"/>
      <c r="DZ270" s="1243"/>
      <c r="EA270" s="1243"/>
      <c r="EB270" s="1243"/>
      <c r="EC270" s="1243"/>
      <c r="ED270" s="1243"/>
      <c r="EE270" s="1243"/>
      <c r="EF270" s="1243"/>
      <c r="EG270" s="1243"/>
      <c r="EH270" s="1243"/>
      <c r="EI270" s="1243"/>
      <c r="EJ270" s="1243"/>
      <c r="EK270" s="1243"/>
      <c r="EL270" s="1243"/>
      <c r="EM270" s="1243"/>
      <c r="EN270" s="1243"/>
      <c r="EO270" s="1243"/>
      <c r="EP270" s="1243"/>
      <c r="EQ270" s="1243"/>
      <c r="ER270" s="1243"/>
      <c r="ES270" s="1243"/>
      <c r="ET270" s="1243"/>
      <c r="EU270" s="1243"/>
      <c r="EV270" s="1243"/>
      <c r="EW270" s="1243"/>
      <c r="EX270" s="1243"/>
      <c r="EY270" s="1243"/>
      <c r="EZ270" s="1243"/>
      <c r="FA270" s="1243"/>
      <c r="FB270" s="1243"/>
      <c r="FC270" s="1243"/>
      <c r="FD270" s="1243"/>
      <c r="FE270" s="1243"/>
      <c r="FF270" s="1243"/>
      <c r="FG270" s="1243"/>
      <c r="FH270" s="1243"/>
      <c r="FI270" s="1243"/>
      <c r="FJ270" s="1243"/>
      <c r="FK270" s="1243"/>
      <c r="FL270" s="1243"/>
      <c r="FM270" s="1243"/>
      <c r="FN270" s="1243"/>
      <c r="FO270" s="1243"/>
      <c r="FP270" s="1243"/>
      <c r="FQ270" s="1243"/>
      <c r="FR270" s="1243"/>
      <c r="FS270" s="1243"/>
      <c r="FT270" s="1243"/>
      <c r="FU270" s="1243"/>
      <c r="FV270" s="1243"/>
      <c r="FW270" s="1243"/>
      <c r="FX270" s="1243"/>
      <c r="FY270" s="1243"/>
      <c r="FZ270" s="1243"/>
      <c r="GA270" s="1243"/>
      <c r="GB270" s="1243"/>
      <c r="GC270" s="1243"/>
      <c r="GD270" s="1243"/>
      <c r="GE270" s="1243"/>
      <c r="GF270" s="1243"/>
      <c r="GG270" s="1243"/>
      <c r="GH270" s="1243"/>
      <c r="GI270" s="1243"/>
      <c r="GJ270" s="1243"/>
      <c r="GK270" s="1243"/>
      <c r="GL270" s="1243"/>
      <c r="GM270" s="1243"/>
      <c r="GN270" s="1243"/>
      <c r="GO270" s="1243"/>
      <c r="GP270" s="1243"/>
      <c r="GQ270" s="1243"/>
      <c r="GR270" s="1243"/>
      <c r="GS270" s="1243"/>
      <c r="GT270" s="1243"/>
      <c r="GU270" s="1243"/>
      <c r="GV270" s="1243"/>
      <c r="GW270" s="1243"/>
      <c r="GX270" s="1243"/>
      <c r="GY270" s="1243"/>
      <c r="GZ270" s="1243"/>
      <c r="HA270" s="1243"/>
      <c r="HB270" s="1243"/>
      <c r="HC270" s="1243"/>
      <c r="HD270" s="1243"/>
      <c r="HE270" s="1243"/>
      <c r="HF270" s="1243"/>
      <c r="HG270" s="1243"/>
      <c r="HH270" s="1243"/>
      <c r="HI270" s="1243"/>
      <c r="HJ270" s="1243"/>
      <c r="HK270" s="1243"/>
      <c r="HL270" s="1243"/>
      <c r="HM270" s="1243"/>
      <c r="HN270" s="1243"/>
      <c r="HO270" s="1243"/>
      <c r="HP270" s="1243"/>
      <c r="HQ270" s="1243"/>
      <c r="HR270" s="1243"/>
      <c r="HS270" s="1243"/>
      <c r="HT270" s="1243"/>
      <c r="HU270" s="1243"/>
      <c r="HV270" s="1243"/>
      <c r="HW270" s="1243"/>
      <c r="HX270" s="1243"/>
      <c r="HY270" s="1243"/>
      <c r="HZ270" s="1243"/>
      <c r="IA270" s="1243"/>
      <c r="IB270" s="1243"/>
      <c r="IC270" s="1243"/>
      <c r="ID270" s="1243"/>
      <c r="IE270" s="1243"/>
      <c r="IF270" s="1243"/>
      <c r="IG270" s="1243"/>
      <c r="IH270" s="1243"/>
      <c r="II270" s="1243"/>
      <c r="IJ270" s="1243"/>
      <c r="IK270" s="1243"/>
      <c r="IL270" s="1243"/>
      <c r="IM270" s="1243"/>
      <c r="IN270" s="1243"/>
      <c r="IO270" s="1243"/>
      <c r="IP270" s="1243"/>
      <c r="IQ270" s="1243"/>
      <c r="IR270" s="1243"/>
      <c r="IS270" s="1243"/>
      <c r="IT270" s="1243"/>
      <c r="IU270" s="1243"/>
      <c r="IV270" s="1243"/>
      <c r="IW270" s="1243"/>
      <c r="IX270" s="1243"/>
      <c r="IY270" s="1243"/>
      <c r="IZ270" s="1243"/>
      <c r="JA270" s="1243"/>
      <c r="JB270" s="1243"/>
      <c r="JC270" s="1243"/>
      <c r="JD270" s="1243"/>
      <c r="JE270" s="1243"/>
      <c r="JF270" s="1243"/>
      <c r="JG270" s="1243"/>
      <c r="JH270" s="1243"/>
      <c r="JI270" s="1243"/>
      <c r="JJ270" s="1243"/>
      <c r="JK270" s="1243"/>
      <c r="JL270" s="1243"/>
      <c r="JM270" s="1243"/>
      <c r="JN270" s="1243"/>
      <c r="JO270" s="1243"/>
      <c r="JP270" s="1243"/>
      <c r="JQ270" s="1243"/>
      <c r="JR270" s="1243"/>
      <c r="JS270" s="1243"/>
      <c r="JT270" s="1243"/>
      <c r="JU270" s="1243"/>
      <c r="JV270" s="1243"/>
      <c r="JW270" s="1243"/>
      <c r="JX270" s="1243"/>
      <c r="JY270" s="1243"/>
      <c r="JZ270" s="1243"/>
      <c r="KA270" s="1243"/>
      <c r="KB270" s="1243"/>
      <c r="KC270" s="1243"/>
      <c r="KD270" s="1243"/>
      <c r="KE270" s="1243"/>
      <c r="KF270" s="1243"/>
      <c r="KG270" s="1243"/>
      <c r="KH270" s="1243"/>
      <c r="KI270" s="1243"/>
      <c r="KJ270" s="1243"/>
      <c r="KK270" s="1243"/>
      <c r="KL270" s="1243"/>
      <c r="KM270" s="1243"/>
      <c r="KN270" s="1243"/>
      <c r="KO270" s="1243"/>
      <c r="KP270" s="1243"/>
      <c r="KQ270" s="1243"/>
      <c r="KR270" s="1243"/>
      <c r="KS270" s="1243"/>
      <c r="KT270" s="1243"/>
      <c r="KU270" s="1243"/>
      <c r="KV270" s="1243"/>
      <c r="KW270" s="1243"/>
      <c r="KX270" s="1243"/>
      <c r="KY270" s="1243"/>
      <c r="KZ270" s="1243"/>
      <c r="LA270" s="1243"/>
      <c r="LB270" s="1243"/>
      <c r="LC270" s="1243"/>
      <c r="LD270" s="1243"/>
      <c r="LE270" s="1243"/>
      <c r="LF270" s="1243"/>
      <c r="LG270" s="1243"/>
      <c r="LH270" s="1243"/>
      <c r="LI270" s="1243"/>
      <c r="LJ270" s="1243"/>
      <c r="LK270" s="1243"/>
      <c r="LL270" s="1243"/>
      <c r="LM270" s="1243"/>
      <c r="LN270" s="1243"/>
      <c r="LO270" s="1243"/>
      <c r="LP270" s="1243"/>
      <c r="LQ270" s="1243"/>
      <c r="LR270" s="1243"/>
      <c r="LS270" s="1243"/>
      <c r="LT270" s="1243"/>
      <c r="LU270" s="1243"/>
      <c r="LV270" s="1243"/>
      <c r="LW270" s="1243"/>
      <c r="LX270" s="1243"/>
      <c r="LY270" s="1243"/>
      <c r="LZ270" s="1243"/>
      <c r="MA270" s="1243"/>
      <c r="MB270" s="1243"/>
      <c r="MC270" s="1243"/>
      <c r="MD270" s="1243"/>
      <c r="ME270" s="1243"/>
      <c r="MF270" s="1243"/>
      <c r="MG270" s="1243"/>
      <c r="MH270" s="1243"/>
      <c r="MI270" s="1243"/>
    </row>
    <row r="271" spans="1:347" ht="30" customHeight="1" thickBot="1" x14ac:dyDescent="0.25">
      <c r="A271" s="3387" t="s">
        <v>30</v>
      </c>
      <c r="B271" s="3388"/>
      <c r="C271" s="3388"/>
      <c r="D271" s="3388"/>
      <c r="E271" s="3388"/>
      <c r="F271" s="3388"/>
      <c r="G271" s="3388"/>
      <c r="H271" s="3388"/>
      <c r="I271" s="3388"/>
      <c r="J271" s="3388"/>
      <c r="K271" s="3388"/>
      <c r="L271" s="3388"/>
      <c r="M271" s="3388"/>
      <c r="N271" s="3388"/>
      <c r="O271" s="3388"/>
      <c r="P271" s="3388"/>
      <c r="Q271" s="3389"/>
      <c r="R271" s="1439">
        <f>SUM(R17:R270)</f>
        <v>52699144486</v>
      </c>
      <c r="S271" s="1440"/>
      <c r="T271" s="1441"/>
      <c r="U271" s="1442"/>
      <c r="V271" s="1443">
        <f>SUM(V17:V270)</f>
        <v>52849144486</v>
      </c>
      <c r="W271" s="1444"/>
      <c r="X271" s="1445"/>
      <c r="Y271" s="1446"/>
      <c r="Z271" s="1446"/>
      <c r="AA271" s="1447"/>
      <c r="AB271" s="1446"/>
      <c r="AC271" s="1446"/>
      <c r="AD271" s="1446"/>
      <c r="AE271" s="1446"/>
      <c r="AF271" s="1448"/>
      <c r="AG271" s="1446"/>
      <c r="AH271" s="1447"/>
      <c r="AI271" s="1446"/>
      <c r="AJ271" s="1446"/>
      <c r="AK271" s="1447"/>
      <c r="AL271" s="1447"/>
      <c r="AM271" s="1447"/>
      <c r="AN271" s="1447"/>
      <c r="AO271" s="1449"/>
      <c r="AP271" s="1450"/>
      <c r="AQ271" s="1451"/>
    </row>
    <row r="272" spans="1:347" x14ac:dyDescent="0.2">
      <c r="V272" s="1456"/>
    </row>
    <row r="273" spans="11:22" x14ac:dyDescent="0.2">
      <c r="V273" s="1456"/>
    </row>
    <row r="280" spans="11:22" ht="15.75" x14ac:dyDescent="0.25">
      <c r="K280" s="1460" t="s">
        <v>1778</v>
      </c>
    </row>
    <row r="281" spans="11:22" x14ac:dyDescent="0.2">
      <c r="K281" s="1452" t="s">
        <v>1779</v>
      </c>
    </row>
  </sheetData>
  <sheetProtection password="CBEB" sheet="1" objects="1" scenarios="1"/>
  <mergeCells count="910">
    <mergeCell ref="AO264:AO270"/>
    <mergeCell ref="AP264:AP270"/>
    <mergeCell ref="AQ264:AQ270"/>
    <mergeCell ref="J265:J269"/>
    <mergeCell ref="K265:K269"/>
    <mergeCell ref="L265:L269"/>
    <mergeCell ref="M265:M269"/>
    <mergeCell ref="Q265:Q269"/>
    <mergeCell ref="AG264:AG270"/>
    <mergeCell ref="AH264:AH270"/>
    <mergeCell ref="AI264:AI270"/>
    <mergeCell ref="AJ264:AJ270"/>
    <mergeCell ref="AK264:AK270"/>
    <mergeCell ref="AL264:AL270"/>
    <mergeCell ref="AA264:AA270"/>
    <mergeCell ref="AB264:AB270"/>
    <mergeCell ref="AC264:AC270"/>
    <mergeCell ref="AD264:AD270"/>
    <mergeCell ref="AE264:AE270"/>
    <mergeCell ref="AH259:AH261"/>
    <mergeCell ref="AI259:AI261"/>
    <mergeCell ref="AJ259:AJ261"/>
    <mergeCell ref="Y259:Y261"/>
    <mergeCell ref="T265:T267"/>
    <mergeCell ref="T268:T269"/>
    <mergeCell ref="A271:Q271"/>
    <mergeCell ref="AM264:AM270"/>
    <mergeCell ref="AN264:AN270"/>
    <mergeCell ref="S259:S261"/>
    <mergeCell ref="T259:T260"/>
    <mergeCell ref="W259:W261"/>
    <mergeCell ref="X259:X261"/>
    <mergeCell ref="AF264:AF270"/>
    <mergeCell ref="J259:J260"/>
    <mergeCell ref="K259:K260"/>
    <mergeCell ref="L259:L260"/>
    <mergeCell ref="M259:M260"/>
    <mergeCell ref="AB259:AB261"/>
    <mergeCell ref="AC259:AC261"/>
    <mergeCell ref="AD259:AD261"/>
    <mergeCell ref="Q259:Q261"/>
    <mergeCell ref="R259:R261"/>
    <mergeCell ref="AQ259:AQ261"/>
    <mergeCell ref="N264:N270"/>
    <mergeCell ref="O264:O270"/>
    <mergeCell ref="P264:P270"/>
    <mergeCell ref="R264:R270"/>
    <mergeCell ref="S264:S270"/>
    <mergeCell ref="W264:W270"/>
    <mergeCell ref="X264:X270"/>
    <mergeCell ref="Y264:Y270"/>
    <mergeCell ref="Z264:Z270"/>
    <mergeCell ref="AK259:AK261"/>
    <mergeCell ref="AL259:AL261"/>
    <mergeCell ref="AM259:AM261"/>
    <mergeCell ref="AN259:AN261"/>
    <mergeCell ref="AO259:AO261"/>
    <mergeCell ref="AP259:AP261"/>
    <mergeCell ref="AE259:AE261"/>
    <mergeCell ref="AF259:AF261"/>
    <mergeCell ref="AG259:AG261"/>
    <mergeCell ref="N259:N261"/>
    <mergeCell ref="O259:O261"/>
    <mergeCell ref="P259:P261"/>
    <mergeCell ref="Z259:Z261"/>
    <mergeCell ref="AA259:AA261"/>
    <mergeCell ref="P249:P257"/>
    <mergeCell ref="Q249:Q256"/>
    <mergeCell ref="R249:R257"/>
    <mergeCell ref="S249:S257"/>
    <mergeCell ref="T249:T253"/>
    <mergeCell ref="W249:W257"/>
    <mergeCell ref="AP249:AP257"/>
    <mergeCell ref="AQ249:AQ257"/>
    <mergeCell ref="T254:T255"/>
    <mergeCell ref="AL249:AL257"/>
    <mergeCell ref="AM249:AM257"/>
    <mergeCell ref="AN249:AN257"/>
    <mergeCell ref="AO249:AO257"/>
    <mergeCell ref="AJ249:AJ257"/>
    <mergeCell ref="AK249:AK257"/>
    <mergeCell ref="AD249:AD257"/>
    <mergeCell ref="AE249:AE257"/>
    <mergeCell ref="AF249:AF257"/>
    <mergeCell ref="AG249:AG257"/>
    <mergeCell ref="AH249:AH257"/>
    <mergeCell ref="AI249:AI257"/>
    <mergeCell ref="X249:X257"/>
    <mergeCell ref="Y249:Y257"/>
    <mergeCell ref="AC249:AC257"/>
    <mergeCell ref="J249:J256"/>
    <mergeCell ref="K249:K256"/>
    <mergeCell ref="L249:L256"/>
    <mergeCell ref="M249:M256"/>
    <mergeCell ref="N249:N257"/>
    <mergeCell ref="O249:O257"/>
    <mergeCell ref="AL240:AL247"/>
    <mergeCell ref="AM240:AM247"/>
    <mergeCell ref="AN240:AN247"/>
    <mergeCell ref="Z240:Z247"/>
    <mergeCell ref="AA240:AA247"/>
    <mergeCell ref="AB240:AB247"/>
    <mergeCell ref="AC240:AC247"/>
    <mergeCell ref="AD240:AD247"/>
    <mergeCell ref="AE240:AE247"/>
    <mergeCell ref="P240:P247"/>
    <mergeCell ref="Q240:Q247"/>
    <mergeCell ref="R240:R247"/>
    <mergeCell ref="S240:S247"/>
    <mergeCell ref="T240:T246"/>
    <mergeCell ref="Y240:Y247"/>
    <mergeCell ref="Z249:Z257"/>
    <mergeCell ref="AA249:AA257"/>
    <mergeCell ref="AB249:AB257"/>
    <mergeCell ref="AO240:AO247"/>
    <mergeCell ref="AP240:AP247"/>
    <mergeCell ref="AQ240:AQ247"/>
    <mergeCell ref="AF240:AF247"/>
    <mergeCell ref="AG240:AG247"/>
    <mergeCell ref="AH240:AH247"/>
    <mergeCell ref="AI240:AI247"/>
    <mergeCell ref="AJ240:AJ247"/>
    <mergeCell ref="AK240:AK247"/>
    <mergeCell ref="AO234:AO239"/>
    <mergeCell ref="AP234:AP239"/>
    <mergeCell ref="AQ234:AQ239"/>
    <mergeCell ref="Q238:Q239"/>
    <mergeCell ref="T238:T239"/>
    <mergeCell ref="J240:J247"/>
    <mergeCell ref="K240:K247"/>
    <mergeCell ref="L240:L247"/>
    <mergeCell ref="M240:M247"/>
    <mergeCell ref="O240:O247"/>
    <mergeCell ref="AI234:AI239"/>
    <mergeCell ref="AJ234:AJ239"/>
    <mergeCell ref="AK234:AK239"/>
    <mergeCell ref="AL234:AL239"/>
    <mergeCell ref="AM234:AM239"/>
    <mergeCell ref="AN234:AN239"/>
    <mergeCell ref="AC234:AC239"/>
    <mergeCell ref="AD234:AD239"/>
    <mergeCell ref="AE234:AE239"/>
    <mergeCell ref="AF234:AF239"/>
    <mergeCell ref="AG234:AG239"/>
    <mergeCell ref="AH234:AH239"/>
    <mergeCell ref="W234:W239"/>
    <mergeCell ref="X234:X239"/>
    <mergeCell ref="Y234:Y239"/>
    <mergeCell ref="Z234:Z239"/>
    <mergeCell ref="AA234:AA239"/>
    <mergeCell ref="AB234:AB239"/>
    <mergeCell ref="O234:O239"/>
    <mergeCell ref="P234:P239"/>
    <mergeCell ref="Q234:Q237"/>
    <mergeCell ref="R234:R239"/>
    <mergeCell ref="S234:S239"/>
    <mergeCell ref="T234:T236"/>
    <mergeCell ref="AN230:AN232"/>
    <mergeCell ref="AO230:AO232"/>
    <mergeCell ref="AP230:AP232"/>
    <mergeCell ref="AQ230:AQ232"/>
    <mergeCell ref="AA233:AM233"/>
    <mergeCell ref="J234:J238"/>
    <mergeCell ref="K234:K238"/>
    <mergeCell ref="L234:L238"/>
    <mergeCell ref="M234:M238"/>
    <mergeCell ref="N234:N239"/>
    <mergeCell ref="AH230:AH232"/>
    <mergeCell ref="AI230:AI232"/>
    <mergeCell ref="AJ230:AJ232"/>
    <mergeCell ref="AK230:AK232"/>
    <mergeCell ref="AL230:AL232"/>
    <mergeCell ref="AM230:AM232"/>
    <mergeCell ref="AB230:AB232"/>
    <mergeCell ref="AC230:AC232"/>
    <mergeCell ref="AD230:AD232"/>
    <mergeCell ref="AE230:AE232"/>
    <mergeCell ref="AF230:AF232"/>
    <mergeCell ref="AG230:AG232"/>
    <mergeCell ref="S230:S232"/>
    <mergeCell ref="W230:W232"/>
    <mergeCell ref="X230:X232"/>
    <mergeCell ref="Y230:Y232"/>
    <mergeCell ref="Z230:Z232"/>
    <mergeCell ref="AA230:AA232"/>
    <mergeCell ref="AA229:AM229"/>
    <mergeCell ref="J230:J232"/>
    <mergeCell ref="K230:K232"/>
    <mergeCell ref="L230:L232"/>
    <mergeCell ref="M230:M232"/>
    <mergeCell ref="N230:N232"/>
    <mergeCell ref="O230:O232"/>
    <mergeCell ref="P230:P232"/>
    <mergeCell ref="Q230:Q232"/>
    <mergeCell ref="R230:R232"/>
    <mergeCell ref="J227:J228"/>
    <mergeCell ref="K227:K228"/>
    <mergeCell ref="L227:L228"/>
    <mergeCell ref="M227:M228"/>
    <mergeCell ref="Q227:Q228"/>
    <mergeCell ref="T227:T228"/>
    <mergeCell ref="AL225:AL228"/>
    <mergeCell ref="AM225:AM228"/>
    <mergeCell ref="AN225:AN228"/>
    <mergeCell ref="Z225:Z228"/>
    <mergeCell ref="AA225:AA228"/>
    <mergeCell ref="AB225:AB228"/>
    <mergeCell ref="AC225:AC228"/>
    <mergeCell ref="AD225:AD228"/>
    <mergeCell ref="AE225:AE228"/>
    <mergeCell ref="N225:N228"/>
    <mergeCell ref="O225:O228"/>
    <mergeCell ref="P225:P228"/>
    <mergeCell ref="R225:R228"/>
    <mergeCell ref="S225:S228"/>
    <mergeCell ref="Y225:Y228"/>
    <mergeCell ref="V227:V228"/>
    <mergeCell ref="AO225:AO228"/>
    <mergeCell ref="AP225:AP228"/>
    <mergeCell ref="AQ225:AQ228"/>
    <mergeCell ref="AF225:AF228"/>
    <mergeCell ref="AG225:AG228"/>
    <mergeCell ref="AH225:AH228"/>
    <mergeCell ref="AI225:AI228"/>
    <mergeCell ref="AJ225:AJ228"/>
    <mergeCell ref="AK225:AK228"/>
    <mergeCell ref="AN216:AN222"/>
    <mergeCell ref="AO216:AO222"/>
    <mergeCell ref="AP216:AP222"/>
    <mergeCell ref="AQ216:AQ222"/>
    <mergeCell ref="G221:I222"/>
    <mergeCell ref="J221:J222"/>
    <mergeCell ref="K221:K222"/>
    <mergeCell ref="L221:L222"/>
    <mergeCell ref="M221:M222"/>
    <mergeCell ref="N221:N222"/>
    <mergeCell ref="AH216:AH222"/>
    <mergeCell ref="AI216:AI222"/>
    <mergeCell ref="AJ216:AJ222"/>
    <mergeCell ref="AK216:AK222"/>
    <mergeCell ref="AL216:AL222"/>
    <mergeCell ref="AM216:AM222"/>
    <mergeCell ref="AB216:AB222"/>
    <mergeCell ref="AC216:AC222"/>
    <mergeCell ref="AD216:AD222"/>
    <mergeCell ref="AE216:AE222"/>
    <mergeCell ref="AF216:AF222"/>
    <mergeCell ref="AG216:AG222"/>
    <mergeCell ref="T216:T217"/>
    <mergeCell ref="W216:W217"/>
    <mergeCell ref="X216:X217"/>
    <mergeCell ref="Y216:Y222"/>
    <mergeCell ref="Z216:Z222"/>
    <mergeCell ref="AA216:AA222"/>
    <mergeCell ref="T221:T222"/>
    <mergeCell ref="W221:W222"/>
    <mergeCell ref="X221:X222"/>
    <mergeCell ref="N216:N217"/>
    <mergeCell ref="O216:O222"/>
    <mergeCell ref="P216:P222"/>
    <mergeCell ref="Q216:Q217"/>
    <mergeCell ref="R216:R222"/>
    <mergeCell ref="S216:S222"/>
    <mergeCell ref="Q221:Q222"/>
    <mergeCell ref="D215:F222"/>
    <mergeCell ref="G216:I217"/>
    <mergeCell ref="J216:J217"/>
    <mergeCell ref="K216:K217"/>
    <mergeCell ref="L216:L217"/>
    <mergeCell ref="M216:M217"/>
    <mergeCell ref="AP205:AP213"/>
    <mergeCell ref="AQ205:AQ213"/>
    <mergeCell ref="J209:J213"/>
    <mergeCell ref="K209:K213"/>
    <mergeCell ref="L209:L213"/>
    <mergeCell ref="M209:M213"/>
    <mergeCell ref="Q209:Q213"/>
    <mergeCell ref="T209:T213"/>
    <mergeCell ref="AJ205:AJ213"/>
    <mergeCell ref="AK205:AK213"/>
    <mergeCell ref="AL205:AL213"/>
    <mergeCell ref="AM205:AM213"/>
    <mergeCell ref="AN205:AN213"/>
    <mergeCell ref="AO205:AO213"/>
    <mergeCell ref="AD205:AD213"/>
    <mergeCell ref="AE205:AE213"/>
    <mergeCell ref="AF205:AF213"/>
    <mergeCell ref="AG205:AG213"/>
    <mergeCell ref="X205:X213"/>
    <mergeCell ref="Y205:Y213"/>
    <mergeCell ref="Z205:Z213"/>
    <mergeCell ref="AA205:AA213"/>
    <mergeCell ref="AB205:AB213"/>
    <mergeCell ref="AC205:AC213"/>
    <mergeCell ref="P205:P213"/>
    <mergeCell ref="Q205:Q208"/>
    <mergeCell ref="R205:R213"/>
    <mergeCell ref="S205:S213"/>
    <mergeCell ref="T205:T208"/>
    <mergeCell ref="W205:W213"/>
    <mergeCell ref="J205:J208"/>
    <mergeCell ref="K205:K208"/>
    <mergeCell ref="L205:L208"/>
    <mergeCell ref="M205:M208"/>
    <mergeCell ref="N205:N213"/>
    <mergeCell ref="O205:O213"/>
    <mergeCell ref="AL198:AL204"/>
    <mergeCell ref="AM198:AM204"/>
    <mergeCell ref="AN198:AN204"/>
    <mergeCell ref="Z198:Z204"/>
    <mergeCell ref="AA198:AA204"/>
    <mergeCell ref="AB198:AB204"/>
    <mergeCell ref="AC198:AC204"/>
    <mergeCell ref="AD198:AD204"/>
    <mergeCell ref="AE198:AE204"/>
    <mergeCell ref="R198:R204"/>
    <mergeCell ref="S198:S204"/>
    <mergeCell ref="T198:T201"/>
    <mergeCell ref="W198:W204"/>
    <mergeCell ref="X198:X204"/>
    <mergeCell ref="Y198:Y204"/>
    <mergeCell ref="T202:T203"/>
    <mergeCell ref="AH205:AH213"/>
    <mergeCell ref="AI205:AI213"/>
    <mergeCell ref="AO198:AO204"/>
    <mergeCell ref="AP198:AP204"/>
    <mergeCell ref="AQ198:AQ204"/>
    <mergeCell ref="AF198:AF204"/>
    <mergeCell ref="AG198:AG204"/>
    <mergeCell ref="AH198:AH204"/>
    <mergeCell ref="AI198:AI204"/>
    <mergeCell ref="AJ198:AJ204"/>
    <mergeCell ref="AK198:AK204"/>
    <mergeCell ref="AP192:AP196"/>
    <mergeCell ref="AQ192:AQ196"/>
    <mergeCell ref="J198:J204"/>
    <mergeCell ref="K198:K204"/>
    <mergeCell ref="L198:L204"/>
    <mergeCell ref="M198:M204"/>
    <mergeCell ref="N198:N204"/>
    <mergeCell ref="O198:O204"/>
    <mergeCell ref="P198:P204"/>
    <mergeCell ref="Q198:Q204"/>
    <mergeCell ref="AJ192:AJ196"/>
    <mergeCell ref="AK192:AK196"/>
    <mergeCell ref="AL192:AL196"/>
    <mergeCell ref="AM192:AM196"/>
    <mergeCell ref="AN192:AN196"/>
    <mergeCell ref="AO192:AO196"/>
    <mergeCell ref="AD192:AD196"/>
    <mergeCell ref="AE192:AE196"/>
    <mergeCell ref="AF192:AF196"/>
    <mergeCell ref="AG192:AG196"/>
    <mergeCell ref="AH192:AH196"/>
    <mergeCell ref="AI192:AI196"/>
    <mergeCell ref="X192:X196"/>
    <mergeCell ref="Y192:Y196"/>
    <mergeCell ref="Z192:Z196"/>
    <mergeCell ref="AA192:AA196"/>
    <mergeCell ref="AB192:AB196"/>
    <mergeCell ref="AC192:AC196"/>
    <mergeCell ref="P192:P196"/>
    <mergeCell ref="Q192:Q194"/>
    <mergeCell ref="R192:R196"/>
    <mergeCell ref="S192:S196"/>
    <mergeCell ref="T192:T195"/>
    <mergeCell ref="W192:W196"/>
    <mergeCell ref="J192:J194"/>
    <mergeCell ref="K192:K194"/>
    <mergeCell ref="L192:L194"/>
    <mergeCell ref="M192:M194"/>
    <mergeCell ref="N192:N196"/>
    <mergeCell ref="O192:O196"/>
    <mergeCell ref="J187:J190"/>
    <mergeCell ref="K187:K190"/>
    <mergeCell ref="L187:L190"/>
    <mergeCell ref="M187:M190"/>
    <mergeCell ref="AM167:AM190"/>
    <mergeCell ref="AN167:AN190"/>
    <mergeCell ref="AO167:AO190"/>
    <mergeCell ref="AP167:AP190"/>
    <mergeCell ref="AQ167:AQ190"/>
    <mergeCell ref="J174:J180"/>
    <mergeCell ref="K174:K180"/>
    <mergeCell ref="L174:L180"/>
    <mergeCell ref="M174:M180"/>
    <mergeCell ref="Q174:Q180"/>
    <mergeCell ref="AG167:AG190"/>
    <mergeCell ref="AH167:AH190"/>
    <mergeCell ref="AI167:AI190"/>
    <mergeCell ref="AJ167:AJ190"/>
    <mergeCell ref="AK167:AK190"/>
    <mergeCell ref="AL167:AL190"/>
    <mergeCell ref="AA167:AA190"/>
    <mergeCell ref="AB167:AB190"/>
    <mergeCell ref="AC167:AC190"/>
    <mergeCell ref="AD167:AD190"/>
    <mergeCell ref="AE167:AE190"/>
    <mergeCell ref="AF167:AF190"/>
    <mergeCell ref="Q167:Q173"/>
    <mergeCell ref="R167:R190"/>
    <mergeCell ref="S167:S190"/>
    <mergeCell ref="T167:T173"/>
    <mergeCell ref="Y167:Y190"/>
    <mergeCell ref="Z167:Z190"/>
    <mergeCell ref="T174:T180"/>
    <mergeCell ref="Q181:Q186"/>
    <mergeCell ref="T181:T186"/>
    <mergeCell ref="Q187:Q190"/>
    <mergeCell ref="T187:T190"/>
    <mergeCell ref="J167:J173"/>
    <mergeCell ref="K167:K173"/>
    <mergeCell ref="L167:L173"/>
    <mergeCell ref="M167:M173"/>
    <mergeCell ref="O167:O190"/>
    <mergeCell ref="P167:P190"/>
    <mergeCell ref="J181:J186"/>
    <mergeCell ref="K181:K186"/>
    <mergeCell ref="L181:L186"/>
    <mergeCell ref="M181:M186"/>
    <mergeCell ref="AM153:AM165"/>
    <mergeCell ref="AN153:AN165"/>
    <mergeCell ref="AO153:AO165"/>
    <mergeCell ref="AP153:AP165"/>
    <mergeCell ref="AQ153:AQ165"/>
    <mergeCell ref="J156:J158"/>
    <mergeCell ref="K156:K158"/>
    <mergeCell ref="L156:L158"/>
    <mergeCell ref="M156:M158"/>
    <mergeCell ref="Q156:Q158"/>
    <mergeCell ref="AG153:AG165"/>
    <mergeCell ref="AH153:AH165"/>
    <mergeCell ref="AI153:AI165"/>
    <mergeCell ref="AJ153:AJ165"/>
    <mergeCell ref="AK153:AK165"/>
    <mergeCell ref="AL153:AL165"/>
    <mergeCell ref="AA153:AA165"/>
    <mergeCell ref="AB153:AB165"/>
    <mergeCell ref="AC153:AC165"/>
    <mergeCell ref="AD153:AD165"/>
    <mergeCell ref="AE153:AE165"/>
    <mergeCell ref="AF153:AF165"/>
    <mergeCell ref="Q153:Q155"/>
    <mergeCell ref="R153:R165"/>
    <mergeCell ref="S153:S165"/>
    <mergeCell ref="T153:T155"/>
    <mergeCell ref="Y153:Y165"/>
    <mergeCell ref="Z153:Z165"/>
    <mergeCell ref="T156:T165"/>
    <mergeCell ref="Q159:Q165"/>
    <mergeCell ref="J153:J155"/>
    <mergeCell ref="K153:K155"/>
    <mergeCell ref="L153:L155"/>
    <mergeCell ref="M153:M155"/>
    <mergeCell ref="O153:O165"/>
    <mergeCell ref="P153:P165"/>
    <mergeCell ref="J159:J165"/>
    <mergeCell ref="K159:K165"/>
    <mergeCell ref="L159:L165"/>
    <mergeCell ref="M159:M165"/>
    <mergeCell ref="AP141:AP151"/>
    <mergeCell ref="AQ141:AQ151"/>
    <mergeCell ref="J147:J151"/>
    <mergeCell ref="K147:K151"/>
    <mergeCell ref="L147:L151"/>
    <mergeCell ref="M147:M151"/>
    <mergeCell ref="Q147:Q151"/>
    <mergeCell ref="T147:T151"/>
    <mergeCell ref="AJ141:AJ151"/>
    <mergeCell ref="AK141:AK151"/>
    <mergeCell ref="AL141:AL151"/>
    <mergeCell ref="AM141:AM151"/>
    <mergeCell ref="AN141:AN151"/>
    <mergeCell ref="AO141:AO151"/>
    <mergeCell ref="AD141:AD151"/>
    <mergeCell ref="AE141:AE151"/>
    <mergeCell ref="AF141:AF151"/>
    <mergeCell ref="AG141:AG151"/>
    <mergeCell ref="AH141:AH151"/>
    <mergeCell ref="AI141:AI151"/>
    <mergeCell ref="X141:X151"/>
    <mergeCell ref="Y141:Y151"/>
    <mergeCell ref="Z141:Z151"/>
    <mergeCell ref="AA141:AA151"/>
    <mergeCell ref="AB141:AB151"/>
    <mergeCell ref="AC141:AC151"/>
    <mergeCell ref="P141:P151"/>
    <mergeCell ref="Q141:Q146"/>
    <mergeCell ref="R141:R151"/>
    <mergeCell ref="S141:S151"/>
    <mergeCell ref="T141:T146"/>
    <mergeCell ref="W141:W151"/>
    <mergeCell ref="J141:J146"/>
    <mergeCell ref="K141:K146"/>
    <mergeCell ref="L141:L146"/>
    <mergeCell ref="M141:M146"/>
    <mergeCell ref="N141:N151"/>
    <mergeCell ref="O141:O151"/>
    <mergeCell ref="AP133:AP139"/>
    <mergeCell ref="AQ133:AQ139"/>
    <mergeCell ref="J136:J139"/>
    <mergeCell ref="K136:K139"/>
    <mergeCell ref="L136:L139"/>
    <mergeCell ref="M136:M139"/>
    <mergeCell ref="Q136:Q139"/>
    <mergeCell ref="T136:T139"/>
    <mergeCell ref="AJ133:AJ139"/>
    <mergeCell ref="AK133:AK139"/>
    <mergeCell ref="AL133:AL139"/>
    <mergeCell ref="AM133:AM139"/>
    <mergeCell ref="AN133:AN139"/>
    <mergeCell ref="AO133:AO139"/>
    <mergeCell ref="AD133:AD139"/>
    <mergeCell ref="AE133:AE139"/>
    <mergeCell ref="AF133:AF139"/>
    <mergeCell ref="AG133:AG139"/>
    <mergeCell ref="AH133:AH139"/>
    <mergeCell ref="AI133:AI139"/>
    <mergeCell ref="X133:X139"/>
    <mergeCell ref="Y133:Y139"/>
    <mergeCell ref="Z133:Z139"/>
    <mergeCell ref="AA133:AA139"/>
    <mergeCell ref="AB133:AB139"/>
    <mergeCell ref="AC133:AC139"/>
    <mergeCell ref="P133:P139"/>
    <mergeCell ref="Q133:Q135"/>
    <mergeCell ref="R133:R139"/>
    <mergeCell ref="S133:S139"/>
    <mergeCell ref="T133:T135"/>
    <mergeCell ref="W133:W139"/>
    <mergeCell ref="J133:J135"/>
    <mergeCell ref="K133:K135"/>
    <mergeCell ref="L133:L135"/>
    <mergeCell ref="M133:M135"/>
    <mergeCell ref="N133:N139"/>
    <mergeCell ref="O133:O139"/>
    <mergeCell ref="AM123:AM131"/>
    <mergeCell ref="AN123:AN131"/>
    <mergeCell ref="AO123:AO131"/>
    <mergeCell ref="AP123:AP131"/>
    <mergeCell ref="AQ123:AQ131"/>
    <mergeCell ref="T127:T129"/>
    <mergeCell ref="T130:T131"/>
    <mergeCell ref="AG123:AG131"/>
    <mergeCell ref="AH123:AH131"/>
    <mergeCell ref="AI123:AI131"/>
    <mergeCell ref="AJ123:AJ131"/>
    <mergeCell ref="AK123:AK131"/>
    <mergeCell ref="AL123:AL131"/>
    <mergeCell ref="AA123:AA131"/>
    <mergeCell ref="AB123:AB131"/>
    <mergeCell ref="AC123:AC131"/>
    <mergeCell ref="AD123:AD131"/>
    <mergeCell ref="AE123:AE131"/>
    <mergeCell ref="AF123:AF131"/>
    <mergeCell ref="Q123:Q131"/>
    <mergeCell ref="R123:R131"/>
    <mergeCell ref="S123:S131"/>
    <mergeCell ref="T123:T126"/>
    <mergeCell ref="Y123:Y131"/>
    <mergeCell ref="Z123:Z131"/>
    <mergeCell ref="J123:J131"/>
    <mergeCell ref="K123:K131"/>
    <mergeCell ref="L123:L131"/>
    <mergeCell ref="M123:M131"/>
    <mergeCell ref="O123:O131"/>
    <mergeCell ref="P123:P131"/>
    <mergeCell ref="AM113:AM122"/>
    <mergeCell ref="AN113:AN122"/>
    <mergeCell ref="AO113:AO122"/>
    <mergeCell ref="AP113:AP122"/>
    <mergeCell ref="AQ113:AQ122"/>
    <mergeCell ref="N118:N119"/>
    <mergeCell ref="Q119:Q122"/>
    <mergeCell ref="T119:T122"/>
    <mergeCell ref="AG113:AG122"/>
    <mergeCell ref="AH113:AH122"/>
    <mergeCell ref="AI113:AI122"/>
    <mergeCell ref="AJ113:AJ122"/>
    <mergeCell ref="AK113:AK122"/>
    <mergeCell ref="AL113:AL122"/>
    <mergeCell ref="AA113:AA122"/>
    <mergeCell ref="AB113:AB122"/>
    <mergeCell ref="AC113:AC122"/>
    <mergeCell ref="AD113:AD122"/>
    <mergeCell ref="AE113:AE122"/>
    <mergeCell ref="AF113:AF122"/>
    <mergeCell ref="Q113:Q118"/>
    <mergeCell ref="R113:R122"/>
    <mergeCell ref="S113:S122"/>
    <mergeCell ref="T113:T118"/>
    <mergeCell ref="Y113:Y122"/>
    <mergeCell ref="Z113:Z122"/>
    <mergeCell ref="J113:J118"/>
    <mergeCell ref="K113:K118"/>
    <mergeCell ref="L113:L118"/>
    <mergeCell ref="M113:M118"/>
    <mergeCell ref="O113:O122"/>
    <mergeCell ref="P113:P122"/>
    <mergeCell ref="J119:J122"/>
    <mergeCell ref="K119:K122"/>
    <mergeCell ref="L119:L122"/>
    <mergeCell ref="M119:M122"/>
    <mergeCell ref="AP105:AP112"/>
    <mergeCell ref="AQ105:AQ112"/>
    <mergeCell ref="J109:J112"/>
    <mergeCell ref="K109:K112"/>
    <mergeCell ref="L109:L112"/>
    <mergeCell ref="M109:M112"/>
    <mergeCell ref="Q109:Q112"/>
    <mergeCell ref="T109:T112"/>
    <mergeCell ref="AJ105:AJ112"/>
    <mergeCell ref="AK105:AK112"/>
    <mergeCell ref="AL105:AL112"/>
    <mergeCell ref="AM105:AM112"/>
    <mergeCell ref="AN105:AN112"/>
    <mergeCell ref="AO105:AO112"/>
    <mergeCell ref="AD105:AD112"/>
    <mergeCell ref="AE105:AE112"/>
    <mergeCell ref="AF105:AF112"/>
    <mergeCell ref="AG105:AG112"/>
    <mergeCell ref="AH105:AH112"/>
    <mergeCell ref="AI105:AI112"/>
    <mergeCell ref="X105:X112"/>
    <mergeCell ref="Y105:Y112"/>
    <mergeCell ref="Z105:Z112"/>
    <mergeCell ref="AA105:AA112"/>
    <mergeCell ref="AB105:AB112"/>
    <mergeCell ref="AC105:AC112"/>
    <mergeCell ref="P105:P112"/>
    <mergeCell ref="Q105:Q108"/>
    <mergeCell ref="R105:R112"/>
    <mergeCell ref="S105:S112"/>
    <mergeCell ref="T105:T108"/>
    <mergeCell ref="W105:W112"/>
    <mergeCell ref="J105:J108"/>
    <mergeCell ref="K105:K108"/>
    <mergeCell ref="L105:L108"/>
    <mergeCell ref="M105:M108"/>
    <mergeCell ref="N105:N112"/>
    <mergeCell ref="O105:O112"/>
    <mergeCell ref="T85:T89"/>
    <mergeCell ref="AC71:AC89"/>
    <mergeCell ref="AP91:AP103"/>
    <mergeCell ref="AQ91:AQ103"/>
    <mergeCell ref="J96:J100"/>
    <mergeCell ref="K96:K100"/>
    <mergeCell ref="L96:L100"/>
    <mergeCell ref="M96:M100"/>
    <mergeCell ref="Q96:Q100"/>
    <mergeCell ref="T96:T100"/>
    <mergeCell ref="J101:J103"/>
    <mergeCell ref="K101:K103"/>
    <mergeCell ref="AJ91:AJ103"/>
    <mergeCell ref="AK91:AK103"/>
    <mergeCell ref="AL91:AL103"/>
    <mergeCell ref="AM91:AM103"/>
    <mergeCell ref="AN91:AN103"/>
    <mergeCell ref="AO91:AO103"/>
    <mergeCell ref="AD91:AD103"/>
    <mergeCell ref="AE91:AE103"/>
    <mergeCell ref="AF91:AF103"/>
    <mergeCell ref="AG91:AG103"/>
    <mergeCell ref="AH91:AH103"/>
    <mergeCell ref="AI91:AI103"/>
    <mergeCell ref="Z91:Z103"/>
    <mergeCell ref="AA91:AA103"/>
    <mergeCell ref="AB91:AB103"/>
    <mergeCell ref="AC91:AC103"/>
    <mergeCell ref="P91:P103"/>
    <mergeCell ref="Q91:Q95"/>
    <mergeCell ref="R91:R103"/>
    <mergeCell ref="S91:S103"/>
    <mergeCell ref="T91:T95"/>
    <mergeCell ref="W91:W103"/>
    <mergeCell ref="Q101:Q103"/>
    <mergeCell ref="T101:T103"/>
    <mergeCell ref="X91:X103"/>
    <mergeCell ref="Y91:Y103"/>
    <mergeCell ref="J91:J95"/>
    <mergeCell ref="K91:K95"/>
    <mergeCell ref="L91:L95"/>
    <mergeCell ref="M91:M95"/>
    <mergeCell ref="N91:N103"/>
    <mergeCell ref="O91:O103"/>
    <mergeCell ref="L101:L103"/>
    <mergeCell ref="M101:M103"/>
    <mergeCell ref="J85:J89"/>
    <mergeCell ref="K85:K89"/>
    <mergeCell ref="L85:L89"/>
    <mergeCell ref="M85:M89"/>
    <mergeCell ref="N71:N89"/>
    <mergeCell ref="O71:O89"/>
    <mergeCell ref="AN71:AN89"/>
    <mergeCell ref="AO71:AO89"/>
    <mergeCell ref="AP71:AP89"/>
    <mergeCell ref="AQ71:AQ89"/>
    <mergeCell ref="AF71:AF89"/>
    <mergeCell ref="AG71:AG89"/>
    <mergeCell ref="AH71:AH89"/>
    <mergeCell ref="AI71:AI89"/>
    <mergeCell ref="AJ71:AJ89"/>
    <mergeCell ref="AK71:AK89"/>
    <mergeCell ref="AL71:AL89"/>
    <mergeCell ref="AM71:AM89"/>
    <mergeCell ref="AD71:AD89"/>
    <mergeCell ref="AE71:AE89"/>
    <mergeCell ref="R71:R89"/>
    <mergeCell ref="S71:S89"/>
    <mergeCell ref="T71:T79"/>
    <mergeCell ref="W71:W89"/>
    <mergeCell ref="X71:X89"/>
    <mergeCell ref="Y71:Y89"/>
    <mergeCell ref="J71:J79"/>
    <mergeCell ref="K71:K79"/>
    <mergeCell ref="J80:J84"/>
    <mergeCell ref="K80:K84"/>
    <mergeCell ref="L80:L84"/>
    <mergeCell ref="M80:M84"/>
    <mergeCell ref="Q80:Q84"/>
    <mergeCell ref="T80:T84"/>
    <mergeCell ref="Z71:Z89"/>
    <mergeCell ref="AA71:AA89"/>
    <mergeCell ref="AB71:AB89"/>
    <mergeCell ref="L71:L79"/>
    <mergeCell ref="M71:M79"/>
    <mergeCell ref="P71:P89"/>
    <mergeCell ref="Q71:Q79"/>
    <mergeCell ref="Q85:Q89"/>
    <mergeCell ref="AP42:AP69"/>
    <mergeCell ref="AQ42:AQ69"/>
    <mergeCell ref="J45:J51"/>
    <mergeCell ref="K45:K51"/>
    <mergeCell ref="L45:L51"/>
    <mergeCell ref="M45:M51"/>
    <mergeCell ref="Q45:Q51"/>
    <mergeCell ref="J52:J63"/>
    <mergeCell ref="K52:K63"/>
    <mergeCell ref="L52:L63"/>
    <mergeCell ref="AJ42:AJ69"/>
    <mergeCell ref="AK42:AK69"/>
    <mergeCell ref="AL42:AL69"/>
    <mergeCell ref="AM42:AM69"/>
    <mergeCell ref="AN42:AN69"/>
    <mergeCell ref="AO42:AO69"/>
    <mergeCell ref="AD42:AD69"/>
    <mergeCell ref="AE42:AE69"/>
    <mergeCell ref="AF42:AF69"/>
    <mergeCell ref="AG42:AG69"/>
    <mergeCell ref="AH42:AH69"/>
    <mergeCell ref="AI42:AI69"/>
    <mergeCell ref="X42:X69"/>
    <mergeCell ref="Y42:Y69"/>
    <mergeCell ref="Z42:Z69"/>
    <mergeCell ref="AA42:AA69"/>
    <mergeCell ref="AB42:AB69"/>
    <mergeCell ref="AC42:AC69"/>
    <mergeCell ref="P42:P69"/>
    <mergeCell ref="Q42:Q44"/>
    <mergeCell ref="R42:R69"/>
    <mergeCell ref="S42:S69"/>
    <mergeCell ref="T42:T51"/>
    <mergeCell ref="W42:W69"/>
    <mergeCell ref="Q52:Q63"/>
    <mergeCell ref="T52:T69"/>
    <mergeCell ref="Q64:Q69"/>
    <mergeCell ref="J42:J44"/>
    <mergeCell ref="K42:K44"/>
    <mergeCell ref="L42:L44"/>
    <mergeCell ref="M42:M44"/>
    <mergeCell ref="N42:N69"/>
    <mergeCell ref="O42:O69"/>
    <mergeCell ref="M52:M63"/>
    <mergeCell ref="J64:J69"/>
    <mergeCell ref="K64:K69"/>
    <mergeCell ref="L64:L69"/>
    <mergeCell ref="M64:M69"/>
    <mergeCell ref="AP36:AP40"/>
    <mergeCell ref="AQ36:AQ40"/>
    <mergeCell ref="J39:J40"/>
    <mergeCell ref="K39:K40"/>
    <mergeCell ref="L39:L40"/>
    <mergeCell ref="M39:M40"/>
    <mergeCell ref="Q39:Q40"/>
    <mergeCell ref="T39:T40"/>
    <mergeCell ref="AJ36:AJ40"/>
    <mergeCell ref="AK36:AK40"/>
    <mergeCell ref="AL36:AL40"/>
    <mergeCell ref="AM36:AM40"/>
    <mergeCell ref="AN36:AN40"/>
    <mergeCell ref="AO36:AO40"/>
    <mergeCell ref="AD36:AD40"/>
    <mergeCell ref="AE36:AE40"/>
    <mergeCell ref="AF36:AF40"/>
    <mergeCell ref="AG36:AG40"/>
    <mergeCell ref="AH36:AH40"/>
    <mergeCell ref="AI36:AI40"/>
    <mergeCell ref="X36:X40"/>
    <mergeCell ref="Y36:Y40"/>
    <mergeCell ref="Z36:Z40"/>
    <mergeCell ref="AA36:AA40"/>
    <mergeCell ref="AB36:AB40"/>
    <mergeCell ref="AC36:AC40"/>
    <mergeCell ref="P36:P40"/>
    <mergeCell ref="Q36:Q38"/>
    <mergeCell ref="R36:R40"/>
    <mergeCell ref="S36:S40"/>
    <mergeCell ref="T36:T38"/>
    <mergeCell ref="W36:W40"/>
    <mergeCell ref="J36:J38"/>
    <mergeCell ref="K36:K38"/>
    <mergeCell ref="L36:L38"/>
    <mergeCell ref="M36:M38"/>
    <mergeCell ref="N36:N40"/>
    <mergeCell ref="O36:O40"/>
    <mergeCell ref="AP17:AP33"/>
    <mergeCell ref="AQ17:AQ33"/>
    <mergeCell ref="J23:J27"/>
    <mergeCell ref="K23:K27"/>
    <mergeCell ref="L23:L27"/>
    <mergeCell ref="M23:M27"/>
    <mergeCell ref="Q23:Q27"/>
    <mergeCell ref="T23:T27"/>
    <mergeCell ref="J28:J33"/>
    <mergeCell ref="AI17:AI33"/>
    <mergeCell ref="AJ17:AJ33"/>
    <mergeCell ref="AK17:AK33"/>
    <mergeCell ref="AL17:AL33"/>
    <mergeCell ref="AM17:AM33"/>
    <mergeCell ref="AN17:AN33"/>
    <mergeCell ref="AC17:AC33"/>
    <mergeCell ref="AD17:AD33"/>
    <mergeCell ref="AE17:AE33"/>
    <mergeCell ref="AF17:AF33"/>
    <mergeCell ref="AG17:AG33"/>
    <mergeCell ref="AH17:AH33"/>
    <mergeCell ref="W17:W33"/>
    <mergeCell ref="X17:X33"/>
    <mergeCell ref="AN7:AN13"/>
    <mergeCell ref="AO7:AO13"/>
    <mergeCell ref="A15:C15"/>
    <mergeCell ref="J17:J22"/>
    <mergeCell ref="K17:K22"/>
    <mergeCell ref="L17:L22"/>
    <mergeCell ref="M17:M22"/>
    <mergeCell ref="N17:N33"/>
    <mergeCell ref="K28:K33"/>
    <mergeCell ref="L28:L33"/>
    <mergeCell ref="M28:M33"/>
    <mergeCell ref="Y17:Y33"/>
    <mergeCell ref="Z17:Z33"/>
    <mergeCell ref="AA17:AA33"/>
    <mergeCell ref="AB17:AB33"/>
    <mergeCell ref="O17:O33"/>
    <mergeCell ref="P17:P33"/>
    <mergeCell ref="Q17:Q22"/>
    <mergeCell ref="R17:R33"/>
    <mergeCell ref="S17:S33"/>
    <mergeCell ref="T17:T22"/>
    <mergeCell ref="Q28:Q33"/>
    <mergeCell ref="T28:T33"/>
    <mergeCell ref="AO17:AO33"/>
    <mergeCell ref="AP7:AP13"/>
    <mergeCell ref="AQ7:AQ13"/>
    <mergeCell ref="Y8:Y13"/>
    <mergeCell ref="Z8:Z13"/>
    <mergeCell ref="AA8:AA13"/>
    <mergeCell ref="AB8:AB13"/>
    <mergeCell ref="AC8:AC13"/>
    <mergeCell ref="V7:V13"/>
    <mergeCell ref="W7:W13"/>
    <mergeCell ref="X7:X13"/>
    <mergeCell ref="Y7:Z7"/>
    <mergeCell ref="AA7:AD7"/>
    <mergeCell ref="AE7:AJ7"/>
    <mergeCell ref="AD8:AD13"/>
    <mergeCell ref="AE8:AE13"/>
    <mergeCell ref="AF8:AF13"/>
    <mergeCell ref="AG8:AG13"/>
    <mergeCell ref="AH8:AH13"/>
    <mergeCell ref="AI8:AI13"/>
    <mergeCell ref="AJ8:AJ13"/>
    <mergeCell ref="AK8:AK13"/>
    <mergeCell ref="AL8:AL13"/>
    <mergeCell ref="AM8:AM13"/>
    <mergeCell ref="AK7:AM7"/>
    <mergeCell ref="A7:A13"/>
    <mergeCell ref="B7:C13"/>
    <mergeCell ref="D7:D13"/>
    <mergeCell ref="E7:F13"/>
    <mergeCell ref="G7:G13"/>
    <mergeCell ref="H7:I13"/>
    <mergeCell ref="A1:AO4"/>
    <mergeCell ref="A5:M6"/>
    <mergeCell ref="P5:AQ5"/>
    <mergeCell ref="P6:X6"/>
    <mergeCell ref="Y6:AN6"/>
    <mergeCell ref="AO6:AQ6"/>
    <mergeCell ref="P7:P13"/>
    <mergeCell ref="Q7:Q13"/>
    <mergeCell ref="R7:R13"/>
    <mergeCell ref="S7:S13"/>
    <mergeCell ref="T7:T13"/>
    <mergeCell ref="U7:U13"/>
    <mergeCell ref="J7:J13"/>
    <mergeCell ref="K7:K13"/>
    <mergeCell ref="L7:L13"/>
    <mergeCell ref="M7:M13"/>
    <mergeCell ref="N7:N13"/>
    <mergeCell ref="O7:O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Q63"/>
  <sheetViews>
    <sheetView showGridLines="0" topLeftCell="P8" zoomScale="70" zoomScaleNormal="70" workbookViewId="0">
      <selection activeCell="AF10" sqref="AF10"/>
    </sheetView>
  </sheetViews>
  <sheetFormatPr baseColWidth="10" defaultColWidth="11.42578125" defaultRowHeight="15" x14ac:dyDescent="0.2"/>
  <cols>
    <col min="1" max="1" width="12.85546875" style="787" customWidth="1"/>
    <col min="2" max="2" width="4" style="485" customWidth="1"/>
    <col min="3" max="3" width="15.42578125" style="485" customWidth="1"/>
    <col min="4" max="4" width="15.85546875" style="485" customWidth="1"/>
    <col min="5" max="5" width="6.42578125" style="485" customWidth="1"/>
    <col min="6" max="6" width="10.28515625" style="485" customWidth="1"/>
    <col min="7" max="7" width="12.42578125" style="485" customWidth="1"/>
    <col min="8" max="8" width="4.5703125" style="485" customWidth="1"/>
    <col min="9" max="9" width="19.42578125" style="485" customWidth="1"/>
    <col min="10" max="10" width="14.7109375" style="485" customWidth="1"/>
    <col min="11" max="11" width="27.140625" style="477" customWidth="1"/>
    <col min="12" max="12" width="16.85546875" style="467" customWidth="1"/>
    <col min="13" max="13" width="18.5703125" style="467" customWidth="1"/>
    <col min="14" max="14" width="32.28515625" style="467" customWidth="1"/>
    <col min="15" max="15" width="25.7109375" style="1991" customWidth="1"/>
    <col min="16" max="16" width="22.7109375" style="477" customWidth="1"/>
    <col min="17" max="17" width="15.5703125" style="1072" customWidth="1"/>
    <col min="18" max="18" width="24.5703125" style="1073" customWidth="1"/>
    <col min="19" max="19" width="29" style="477" customWidth="1"/>
    <col min="20" max="20" width="21.28515625" style="477" customWidth="1"/>
    <col min="21" max="21" width="36.42578125" style="477" customWidth="1"/>
    <col min="22" max="22" width="27" style="476" customWidth="1"/>
    <col min="23" max="23" width="11.7109375" style="480" customWidth="1"/>
    <col min="24" max="24" width="26.28515625" style="481" customWidth="1"/>
    <col min="25" max="25" width="10.140625" style="485" bestFit="1" customWidth="1"/>
    <col min="26" max="26" width="10.42578125" style="485" bestFit="1" customWidth="1"/>
    <col min="27" max="28" width="8.42578125" style="485" bestFit="1" customWidth="1"/>
    <col min="29" max="29" width="9.28515625" style="485" bestFit="1" customWidth="1"/>
    <col min="30" max="30" width="8.42578125" style="485" bestFit="1" customWidth="1"/>
    <col min="31" max="31" width="6.42578125" style="485" bestFit="1" customWidth="1"/>
    <col min="32" max="32" width="8.42578125" style="485" bestFit="1" customWidth="1"/>
    <col min="33" max="33" width="4.5703125" style="485" bestFit="1" customWidth="1"/>
    <col min="34" max="39" width="6.85546875" style="485" customWidth="1"/>
    <col min="40" max="40" width="14.140625" style="485" customWidth="1"/>
    <col min="41" max="41" width="19.85546875" style="785" customWidth="1"/>
    <col min="42" max="42" width="20.140625" style="786" customWidth="1"/>
    <col min="43" max="43" width="28.5703125" style="646" customWidth="1"/>
    <col min="44" max="255" width="11.42578125" style="485"/>
    <col min="256" max="256" width="13.140625" style="485" customWidth="1"/>
    <col min="257" max="257" width="4" style="485" customWidth="1"/>
    <col min="258" max="258" width="12.85546875" style="485" customWidth="1"/>
    <col min="259" max="259" width="14.7109375" style="485" customWidth="1"/>
    <col min="260" max="260" width="10" style="485" customWidth="1"/>
    <col min="261" max="261" width="6.28515625" style="485" customWidth="1"/>
    <col min="262" max="262" width="12.28515625" style="485" customWidth="1"/>
    <col min="263" max="263" width="8.5703125" style="485" customWidth="1"/>
    <col min="264" max="264" width="13.7109375" style="485" customWidth="1"/>
    <col min="265" max="265" width="11.5703125" style="485" customWidth="1"/>
    <col min="266" max="266" width="34.28515625" style="485" customWidth="1"/>
    <col min="267" max="267" width="24.28515625" style="485" customWidth="1"/>
    <col min="268" max="268" width="21.140625" style="485" customWidth="1"/>
    <col min="269" max="269" width="22.140625" style="485" customWidth="1"/>
    <col min="270" max="270" width="8" style="485" customWidth="1"/>
    <col min="271" max="271" width="17" style="485" customWidth="1"/>
    <col min="272" max="272" width="12.7109375" style="485" customWidth="1"/>
    <col min="273" max="273" width="24.5703125" style="485" customWidth="1"/>
    <col min="274" max="274" width="29" style="485" customWidth="1"/>
    <col min="275" max="275" width="17.7109375" style="485" customWidth="1"/>
    <col min="276" max="276" width="36.42578125" style="485" customWidth="1"/>
    <col min="277" max="277" width="21.85546875" style="485" customWidth="1"/>
    <col min="278" max="278" width="11.7109375" style="485" customWidth="1"/>
    <col min="279" max="279" width="26.28515625" style="485" customWidth="1"/>
    <col min="280" max="280" width="9" style="485" customWidth="1"/>
    <col min="281" max="281" width="6.28515625" style="485" customWidth="1"/>
    <col min="282" max="283" width="7.28515625" style="485" customWidth="1"/>
    <col min="284" max="284" width="8.42578125" style="485" customWidth="1"/>
    <col min="285" max="285" width="9.5703125" style="485" customWidth="1"/>
    <col min="286" max="286" width="6.28515625" style="485" customWidth="1"/>
    <col min="287" max="287" width="5.85546875" style="485" customWidth="1"/>
    <col min="288" max="289" width="4.42578125" style="485" customWidth="1"/>
    <col min="290" max="290" width="5" style="485" customWidth="1"/>
    <col min="291" max="291" width="5.85546875" style="485" customWidth="1"/>
    <col min="292" max="292" width="6.140625" style="485" customWidth="1"/>
    <col min="293" max="293" width="6.28515625" style="485" customWidth="1"/>
    <col min="294" max="294" width="11.140625" style="485" customWidth="1"/>
    <col min="295" max="295" width="14.140625" style="485" customWidth="1"/>
    <col min="296" max="296" width="19.85546875" style="485" customWidth="1"/>
    <col min="297" max="297" width="17" style="485" customWidth="1"/>
    <col min="298" max="298" width="20.85546875" style="485" customWidth="1"/>
    <col min="299" max="511" width="11.42578125" style="485"/>
    <col min="512" max="512" width="13.140625" style="485" customWidth="1"/>
    <col min="513" max="513" width="4" style="485" customWidth="1"/>
    <col min="514" max="514" width="12.85546875" style="485" customWidth="1"/>
    <col min="515" max="515" width="14.7109375" style="485" customWidth="1"/>
    <col min="516" max="516" width="10" style="485" customWidth="1"/>
    <col min="517" max="517" width="6.28515625" style="485" customWidth="1"/>
    <col min="518" max="518" width="12.28515625" style="485" customWidth="1"/>
    <col min="519" max="519" width="8.5703125" style="485" customWidth="1"/>
    <col min="520" max="520" width="13.7109375" style="485" customWidth="1"/>
    <col min="521" max="521" width="11.5703125" style="485" customWidth="1"/>
    <col min="522" max="522" width="34.28515625" style="485" customWidth="1"/>
    <col min="523" max="523" width="24.28515625" style="485" customWidth="1"/>
    <col min="524" max="524" width="21.140625" style="485" customWidth="1"/>
    <col min="525" max="525" width="22.140625" style="485" customWidth="1"/>
    <col min="526" max="526" width="8" style="485" customWidth="1"/>
    <col min="527" max="527" width="17" style="485" customWidth="1"/>
    <col min="528" max="528" width="12.7109375" style="485" customWidth="1"/>
    <col min="529" max="529" width="24.5703125" style="485" customWidth="1"/>
    <col min="530" max="530" width="29" style="485" customWidth="1"/>
    <col min="531" max="531" width="17.7109375" style="485" customWidth="1"/>
    <col min="532" max="532" width="36.42578125" style="485" customWidth="1"/>
    <col min="533" max="533" width="21.85546875" style="485" customWidth="1"/>
    <col min="534" max="534" width="11.7109375" style="485" customWidth="1"/>
    <col min="535" max="535" width="26.28515625" style="485" customWidth="1"/>
    <col min="536" max="536" width="9" style="485" customWidth="1"/>
    <col min="537" max="537" width="6.28515625" style="485" customWidth="1"/>
    <col min="538" max="539" width="7.28515625" style="485" customWidth="1"/>
    <col min="540" max="540" width="8.42578125" style="485" customWidth="1"/>
    <col min="541" max="541" width="9.5703125" style="485" customWidth="1"/>
    <col min="542" max="542" width="6.28515625" style="485" customWidth="1"/>
    <col min="543" max="543" width="5.85546875" style="485" customWidth="1"/>
    <col min="544" max="545" width="4.42578125" style="485" customWidth="1"/>
    <col min="546" max="546" width="5" style="485" customWidth="1"/>
    <col min="547" max="547" width="5.85546875" style="485" customWidth="1"/>
    <col min="548" max="548" width="6.140625" style="485" customWidth="1"/>
    <col min="549" max="549" width="6.28515625" style="485" customWidth="1"/>
    <col min="550" max="550" width="11.140625" style="485" customWidth="1"/>
    <col min="551" max="551" width="14.140625" style="485" customWidth="1"/>
    <col min="552" max="552" width="19.85546875" style="485" customWidth="1"/>
    <col min="553" max="553" width="17" style="485" customWidth="1"/>
    <col min="554" max="554" width="20.85546875" style="485" customWidth="1"/>
    <col min="555" max="767" width="11.42578125" style="485"/>
    <col min="768" max="768" width="13.140625" style="485" customWidth="1"/>
    <col min="769" max="769" width="4" style="485" customWidth="1"/>
    <col min="770" max="770" width="12.85546875" style="485" customWidth="1"/>
    <col min="771" max="771" width="14.7109375" style="485" customWidth="1"/>
    <col min="772" max="772" width="10" style="485" customWidth="1"/>
    <col min="773" max="773" width="6.28515625" style="485" customWidth="1"/>
    <col min="774" max="774" width="12.28515625" style="485" customWidth="1"/>
    <col min="775" max="775" width="8.5703125" style="485" customWidth="1"/>
    <col min="776" max="776" width="13.7109375" style="485" customWidth="1"/>
    <col min="777" max="777" width="11.5703125" style="485" customWidth="1"/>
    <col min="778" max="778" width="34.28515625" style="485" customWidth="1"/>
    <col min="779" max="779" width="24.28515625" style="485" customWidth="1"/>
    <col min="780" max="780" width="21.140625" style="485" customWidth="1"/>
    <col min="781" max="781" width="22.140625" style="485" customWidth="1"/>
    <col min="782" max="782" width="8" style="485" customWidth="1"/>
    <col min="783" max="783" width="17" style="485" customWidth="1"/>
    <col min="784" max="784" width="12.7109375" style="485" customWidth="1"/>
    <col min="785" max="785" width="24.5703125" style="485" customWidth="1"/>
    <col min="786" max="786" width="29" style="485" customWidth="1"/>
    <col min="787" max="787" width="17.7109375" style="485" customWidth="1"/>
    <col min="788" max="788" width="36.42578125" style="485" customWidth="1"/>
    <col min="789" max="789" width="21.85546875" style="485" customWidth="1"/>
    <col min="790" max="790" width="11.7109375" style="485" customWidth="1"/>
    <col min="791" max="791" width="26.28515625" style="485" customWidth="1"/>
    <col min="792" max="792" width="9" style="485" customWidth="1"/>
    <col min="793" max="793" width="6.28515625" style="485" customWidth="1"/>
    <col min="794" max="795" width="7.28515625" style="485" customWidth="1"/>
    <col min="796" max="796" width="8.42578125" style="485" customWidth="1"/>
    <col min="797" max="797" width="9.5703125" style="485" customWidth="1"/>
    <col min="798" max="798" width="6.28515625" style="485" customWidth="1"/>
    <col min="799" max="799" width="5.85546875" style="485" customWidth="1"/>
    <col min="800" max="801" width="4.42578125" style="485" customWidth="1"/>
    <col min="802" max="802" width="5" style="485" customWidth="1"/>
    <col min="803" max="803" width="5.85546875" style="485" customWidth="1"/>
    <col min="804" max="804" width="6.140625" style="485" customWidth="1"/>
    <col min="805" max="805" width="6.28515625" style="485" customWidth="1"/>
    <col min="806" max="806" width="11.140625" style="485" customWidth="1"/>
    <col min="807" max="807" width="14.140625" style="485" customWidth="1"/>
    <col min="808" max="808" width="19.85546875" style="485" customWidth="1"/>
    <col min="809" max="809" width="17" style="485" customWidth="1"/>
    <col min="810" max="810" width="20.85546875" style="485" customWidth="1"/>
    <col min="811" max="1023" width="11.42578125" style="485"/>
    <col min="1024" max="1024" width="13.140625" style="485" customWidth="1"/>
    <col min="1025" max="1025" width="4" style="485" customWidth="1"/>
    <col min="1026" max="1026" width="12.85546875" style="485" customWidth="1"/>
    <col min="1027" max="1027" width="14.7109375" style="485" customWidth="1"/>
    <col min="1028" max="1028" width="10" style="485" customWidth="1"/>
    <col min="1029" max="1029" width="6.28515625" style="485" customWidth="1"/>
    <col min="1030" max="1030" width="12.28515625" style="485" customWidth="1"/>
    <col min="1031" max="1031" width="8.5703125" style="485" customWidth="1"/>
    <col min="1032" max="1032" width="13.7109375" style="485" customWidth="1"/>
    <col min="1033" max="1033" width="11.5703125" style="485" customWidth="1"/>
    <col min="1034" max="1034" width="34.28515625" style="485" customWidth="1"/>
    <col min="1035" max="1035" width="24.28515625" style="485" customWidth="1"/>
    <col min="1036" max="1036" width="21.140625" style="485" customWidth="1"/>
    <col min="1037" max="1037" width="22.140625" style="485" customWidth="1"/>
    <col min="1038" max="1038" width="8" style="485" customWidth="1"/>
    <col min="1039" max="1039" width="17" style="485" customWidth="1"/>
    <col min="1040" max="1040" width="12.7109375" style="485" customWidth="1"/>
    <col min="1041" max="1041" width="24.5703125" style="485" customWidth="1"/>
    <col min="1042" max="1042" width="29" style="485" customWidth="1"/>
    <col min="1043" max="1043" width="17.7109375" style="485" customWidth="1"/>
    <col min="1044" max="1044" width="36.42578125" style="485" customWidth="1"/>
    <col min="1045" max="1045" width="21.85546875" style="485" customWidth="1"/>
    <col min="1046" max="1046" width="11.7109375" style="485" customWidth="1"/>
    <col min="1047" max="1047" width="26.28515625" style="485" customWidth="1"/>
    <col min="1048" max="1048" width="9" style="485" customWidth="1"/>
    <col min="1049" max="1049" width="6.28515625" style="485" customWidth="1"/>
    <col min="1050" max="1051" width="7.28515625" style="485" customWidth="1"/>
    <col min="1052" max="1052" width="8.42578125" style="485" customWidth="1"/>
    <col min="1053" max="1053" width="9.5703125" style="485" customWidth="1"/>
    <col min="1054" max="1054" width="6.28515625" style="485" customWidth="1"/>
    <col min="1055" max="1055" width="5.85546875" style="485" customWidth="1"/>
    <col min="1056" max="1057" width="4.42578125" style="485" customWidth="1"/>
    <col min="1058" max="1058" width="5" style="485" customWidth="1"/>
    <col min="1059" max="1059" width="5.85546875" style="485" customWidth="1"/>
    <col min="1060" max="1060" width="6.140625" style="485" customWidth="1"/>
    <col min="1061" max="1061" width="6.28515625" style="485" customWidth="1"/>
    <col min="1062" max="1062" width="11.140625" style="485" customWidth="1"/>
    <col min="1063" max="1063" width="14.140625" style="485" customWidth="1"/>
    <col min="1064" max="1064" width="19.85546875" style="485" customWidth="1"/>
    <col min="1065" max="1065" width="17" style="485" customWidth="1"/>
    <col min="1066" max="1066" width="20.85546875" style="485" customWidth="1"/>
    <col min="1067" max="1279" width="11.42578125" style="485"/>
    <col min="1280" max="1280" width="13.140625" style="485" customWidth="1"/>
    <col min="1281" max="1281" width="4" style="485" customWidth="1"/>
    <col min="1282" max="1282" width="12.85546875" style="485" customWidth="1"/>
    <col min="1283" max="1283" width="14.7109375" style="485" customWidth="1"/>
    <col min="1284" max="1284" width="10" style="485" customWidth="1"/>
    <col min="1285" max="1285" width="6.28515625" style="485" customWidth="1"/>
    <col min="1286" max="1286" width="12.28515625" style="485" customWidth="1"/>
    <col min="1287" max="1287" width="8.5703125" style="485" customWidth="1"/>
    <col min="1288" max="1288" width="13.7109375" style="485" customWidth="1"/>
    <col min="1289" max="1289" width="11.5703125" style="485" customWidth="1"/>
    <col min="1290" max="1290" width="34.28515625" style="485" customWidth="1"/>
    <col min="1291" max="1291" width="24.28515625" style="485" customWidth="1"/>
    <col min="1292" max="1292" width="21.140625" style="485" customWidth="1"/>
    <col min="1293" max="1293" width="22.140625" style="485" customWidth="1"/>
    <col min="1294" max="1294" width="8" style="485" customWidth="1"/>
    <col min="1295" max="1295" width="17" style="485" customWidth="1"/>
    <col min="1296" max="1296" width="12.7109375" style="485" customWidth="1"/>
    <col min="1297" max="1297" width="24.5703125" style="485" customWidth="1"/>
    <col min="1298" max="1298" width="29" style="485" customWidth="1"/>
    <col min="1299" max="1299" width="17.7109375" style="485" customWidth="1"/>
    <col min="1300" max="1300" width="36.42578125" style="485" customWidth="1"/>
    <col min="1301" max="1301" width="21.85546875" style="485" customWidth="1"/>
    <col min="1302" max="1302" width="11.7109375" style="485" customWidth="1"/>
    <col min="1303" max="1303" width="26.28515625" style="485" customWidth="1"/>
    <col min="1304" max="1304" width="9" style="485" customWidth="1"/>
    <col min="1305" max="1305" width="6.28515625" style="485" customWidth="1"/>
    <col min="1306" max="1307" width="7.28515625" style="485" customWidth="1"/>
    <col min="1308" max="1308" width="8.42578125" style="485" customWidth="1"/>
    <col min="1309" max="1309" width="9.5703125" style="485" customWidth="1"/>
    <col min="1310" max="1310" width="6.28515625" style="485" customWidth="1"/>
    <col min="1311" max="1311" width="5.85546875" style="485" customWidth="1"/>
    <col min="1312" max="1313" width="4.42578125" style="485" customWidth="1"/>
    <col min="1314" max="1314" width="5" style="485" customWidth="1"/>
    <col min="1315" max="1315" width="5.85546875" style="485" customWidth="1"/>
    <col min="1316" max="1316" width="6.140625" style="485" customWidth="1"/>
    <col min="1317" max="1317" width="6.28515625" style="485" customWidth="1"/>
    <col min="1318" max="1318" width="11.140625" style="485" customWidth="1"/>
    <col min="1319" max="1319" width="14.140625" style="485" customWidth="1"/>
    <col min="1320" max="1320" width="19.85546875" style="485" customWidth="1"/>
    <col min="1321" max="1321" width="17" style="485" customWidth="1"/>
    <col min="1322" max="1322" width="20.85546875" style="485" customWidth="1"/>
    <col min="1323" max="1535" width="11.42578125" style="485"/>
    <col min="1536" max="1536" width="13.140625" style="485" customWidth="1"/>
    <col min="1537" max="1537" width="4" style="485" customWidth="1"/>
    <col min="1538" max="1538" width="12.85546875" style="485" customWidth="1"/>
    <col min="1539" max="1539" width="14.7109375" style="485" customWidth="1"/>
    <col min="1540" max="1540" width="10" style="485" customWidth="1"/>
    <col min="1541" max="1541" width="6.28515625" style="485" customWidth="1"/>
    <col min="1542" max="1542" width="12.28515625" style="485" customWidth="1"/>
    <col min="1543" max="1543" width="8.5703125" style="485" customWidth="1"/>
    <col min="1544" max="1544" width="13.7109375" style="485" customWidth="1"/>
    <col min="1545" max="1545" width="11.5703125" style="485" customWidth="1"/>
    <col min="1546" max="1546" width="34.28515625" style="485" customWidth="1"/>
    <col min="1547" max="1547" width="24.28515625" style="485" customWidth="1"/>
    <col min="1548" max="1548" width="21.140625" style="485" customWidth="1"/>
    <col min="1549" max="1549" width="22.140625" style="485" customWidth="1"/>
    <col min="1550" max="1550" width="8" style="485" customWidth="1"/>
    <col min="1551" max="1551" width="17" style="485" customWidth="1"/>
    <col min="1552" max="1552" width="12.7109375" style="485" customWidth="1"/>
    <col min="1553" max="1553" width="24.5703125" style="485" customWidth="1"/>
    <col min="1554" max="1554" width="29" style="485" customWidth="1"/>
    <col min="1555" max="1555" width="17.7109375" style="485" customWidth="1"/>
    <col min="1556" max="1556" width="36.42578125" style="485" customWidth="1"/>
    <col min="1557" max="1557" width="21.85546875" style="485" customWidth="1"/>
    <col min="1558" max="1558" width="11.7109375" style="485" customWidth="1"/>
    <col min="1559" max="1559" width="26.28515625" style="485" customWidth="1"/>
    <col min="1560" max="1560" width="9" style="485" customWidth="1"/>
    <col min="1561" max="1561" width="6.28515625" style="485" customWidth="1"/>
    <col min="1562" max="1563" width="7.28515625" style="485" customWidth="1"/>
    <col min="1564" max="1564" width="8.42578125" style="485" customWidth="1"/>
    <col min="1565" max="1565" width="9.5703125" style="485" customWidth="1"/>
    <col min="1566" max="1566" width="6.28515625" style="485" customWidth="1"/>
    <col min="1567" max="1567" width="5.85546875" style="485" customWidth="1"/>
    <col min="1568" max="1569" width="4.42578125" style="485" customWidth="1"/>
    <col min="1570" max="1570" width="5" style="485" customWidth="1"/>
    <col min="1571" max="1571" width="5.85546875" style="485" customWidth="1"/>
    <col min="1572" max="1572" width="6.140625" style="485" customWidth="1"/>
    <col min="1573" max="1573" width="6.28515625" style="485" customWidth="1"/>
    <col min="1574" max="1574" width="11.140625" style="485" customWidth="1"/>
    <col min="1575" max="1575" width="14.140625" style="485" customWidth="1"/>
    <col min="1576" max="1576" width="19.85546875" style="485" customWidth="1"/>
    <col min="1577" max="1577" width="17" style="485" customWidth="1"/>
    <col min="1578" max="1578" width="20.85546875" style="485" customWidth="1"/>
    <col min="1579" max="1791" width="11.42578125" style="485"/>
    <col min="1792" max="1792" width="13.140625" style="485" customWidth="1"/>
    <col min="1793" max="1793" width="4" style="485" customWidth="1"/>
    <col min="1794" max="1794" width="12.85546875" style="485" customWidth="1"/>
    <col min="1795" max="1795" width="14.7109375" style="485" customWidth="1"/>
    <col min="1796" max="1796" width="10" style="485" customWidth="1"/>
    <col min="1797" max="1797" width="6.28515625" style="485" customWidth="1"/>
    <col min="1798" max="1798" width="12.28515625" style="485" customWidth="1"/>
    <col min="1799" max="1799" width="8.5703125" style="485" customWidth="1"/>
    <col min="1800" max="1800" width="13.7109375" style="485" customWidth="1"/>
    <col min="1801" max="1801" width="11.5703125" style="485" customWidth="1"/>
    <col min="1802" max="1802" width="34.28515625" style="485" customWidth="1"/>
    <col min="1803" max="1803" width="24.28515625" style="485" customWidth="1"/>
    <col min="1804" max="1804" width="21.140625" style="485" customWidth="1"/>
    <col min="1805" max="1805" width="22.140625" style="485" customWidth="1"/>
    <col min="1806" max="1806" width="8" style="485" customWidth="1"/>
    <col min="1807" max="1807" width="17" style="485" customWidth="1"/>
    <col min="1808" max="1808" width="12.7109375" style="485" customWidth="1"/>
    <col min="1809" max="1809" width="24.5703125" style="485" customWidth="1"/>
    <col min="1810" max="1810" width="29" style="485" customWidth="1"/>
    <col min="1811" max="1811" width="17.7109375" style="485" customWidth="1"/>
    <col min="1812" max="1812" width="36.42578125" style="485" customWidth="1"/>
    <col min="1813" max="1813" width="21.85546875" style="485" customWidth="1"/>
    <col min="1814" max="1814" width="11.7109375" style="485" customWidth="1"/>
    <col min="1815" max="1815" width="26.28515625" style="485" customWidth="1"/>
    <col min="1816" max="1816" width="9" style="485" customWidth="1"/>
    <col min="1817" max="1817" width="6.28515625" style="485" customWidth="1"/>
    <col min="1818" max="1819" width="7.28515625" style="485" customWidth="1"/>
    <col min="1820" max="1820" width="8.42578125" style="485" customWidth="1"/>
    <col min="1821" max="1821" width="9.5703125" style="485" customWidth="1"/>
    <col min="1822" max="1822" width="6.28515625" style="485" customWidth="1"/>
    <col min="1823" max="1823" width="5.85546875" style="485" customWidth="1"/>
    <col min="1824" max="1825" width="4.42578125" style="485" customWidth="1"/>
    <col min="1826" max="1826" width="5" style="485" customWidth="1"/>
    <col min="1827" max="1827" width="5.85546875" style="485" customWidth="1"/>
    <col min="1828" max="1828" width="6.140625" style="485" customWidth="1"/>
    <col min="1829" max="1829" width="6.28515625" style="485" customWidth="1"/>
    <col min="1830" max="1830" width="11.140625" style="485" customWidth="1"/>
    <col min="1831" max="1831" width="14.140625" style="485" customWidth="1"/>
    <col min="1832" max="1832" width="19.85546875" style="485" customWidth="1"/>
    <col min="1833" max="1833" width="17" style="485" customWidth="1"/>
    <col min="1834" max="1834" width="20.85546875" style="485" customWidth="1"/>
    <col min="1835" max="2047" width="11.42578125" style="485"/>
    <col min="2048" max="2048" width="13.140625" style="485" customWidth="1"/>
    <col min="2049" max="2049" width="4" style="485" customWidth="1"/>
    <col min="2050" max="2050" width="12.85546875" style="485" customWidth="1"/>
    <col min="2051" max="2051" width="14.7109375" style="485" customWidth="1"/>
    <col min="2052" max="2052" width="10" style="485" customWidth="1"/>
    <col min="2053" max="2053" width="6.28515625" style="485" customWidth="1"/>
    <col min="2054" max="2054" width="12.28515625" style="485" customWidth="1"/>
    <col min="2055" max="2055" width="8.5703125" style="485" customWidth="1"/>
    <col min="2056" max="2056" width="13.7109375" style="485" customWidth="1"/>
    <col min="2057" max="2057" width="11.5703125" style="485" customWidth="1"/>
    <col min="2058" max="2058" width="34.28515625" style="485" customWidth="1"/>
    <col min="2059" max="2059" width="24.28515625" style="485" customWidth="1"/>
    <col min="2060" max="2060" width="21.140625" style="485" customWidth="1"/>
    <col min="2061" max="2061" width="22.140625" style="485" customWidth="1"/>
    <col min="2062" max="2062" width="8" style="485" customWidth="1"/>
    <col min="2063" max="2063" width="17" style="485" customWidth="1"/>
    <col min="2064" max="2064" width="12.7109375" style="485" customWidth="1"/>
    <col min="2065" max="2065" width="24.5703125" style="485" customWidth="1"/>
    <col min="2066" max="2066" width="29" style="485" customWidth="1"/>
    <col min="2067" max="2067" width="17.7109375" style="485" customWidth="1"/>
    <col min="2068" max="2068" width="36.42578125" style="485" customWidth="1"/>
    <col min="2069" max="2069" width="21.85546875" style="485" customWidth="1"/>
    <col min="2070" max="2070" width="11.7109375" style="485" customWidth="1"/>
    <col min="2071" max="2071" width="26.28515625" style="485" customWidth="1"/>
    <col min="2072" max="2072" width="9" style="485" customWidth="1"/>
    <col min="2073" max="2073" width="6.28515625" style="485" customWidth="1"/>
    <col min="2074" max="2075" width="7.28515625" style="485" customWidth="1"/>
    <col min="2076" max="2076" width="8.42578125" style="485" customWidth="1"/>
    <col min="2077" max="2077" width="9.5703125" style="485" customWidth="1"/>
    <col min="2078" max="2078" width="6.28515625" style="485" customWidth="1"/>
    <col min="2079" max="2079" width="5.85546875" style="485" customWidth="1"/>
    <col min="2080" max="2081" width="4.42578125" style="485" customWidth="1"/>
    <col min="2082" max="2082" width="5" style="485" customWidth="1"/>
    <col min="2083" max="2083" width="5.85546875" style="485" customWidth="1"/>
    <col min="2084" max="2084" width="6.140625" style="485" customWidth="1"/>
    <col min="2085" max="2085" width="6.28515625" style="485" customWidth="1"/>
    <col min="2086" max="2086" width="11.140625" style="485" customWidth="1"/>
    <col min="2087" max="2087" width="14.140625" style="485" customWidth="1"/>
    <col min="2088" max="2088" width="19.85546875" style="485" customWidth="1"/>
    <col min="2089" max="2089" width="17" style="485" customWidth="1"/>
    <col min="2090" max="2090" width="20.85546875" style="485" customWidth="1"/>
    <col min="2091" max="2303" width="11.42578125" style="485"/>
    <col min="2304" max="2304" width="13.140625" style="485" customWidth="1"/>
    <col min="2305" max="2305" width="4" style="485" customWidth="1"/>
    <col min="2306" max="2306" width="12.85546875" style="485" customWidth="1"/>
    <col min="2307" max="2307" width="14.7109375" style="485" customWidth="1"/>
    <col min="2308" max="2308" width="10" style="485" customWidth="1"/>
    <col min="2309" max="2309" width="6.28515625" style="485" customWidth="1"/>
    <col min="2310" max="2310" width="12.28515625" style="485" customWidth="1"/>
    <col min="2311" max="2311" width="8.5703125" style="485" customWidth="1"/>
    <col min="2312" max="2312" width="13.7109375" style="485" customWidth="1"/>
    <col min="2313" max="2313" width="11.5703125" style="485" customWidth="1"/>
    <col min="2314" max="2314" width="34.28515625" style="485" customWidth="1"/>
    <col min="2315" max="2315" width="24.28515625" style="485" customWidth="1"/>
    <col min="2316" max="2316" width="21.140625" style="485" customWidth="1"/>
    <col min="2317" max="2317" width="22.140625" style="485" customWidth="1"/>
    <col min="2318" max="2318" width="8" style="485" customWidth="1"/>
    <col min="2319" max="2319" width="17" style="485" customWidth="1"/>
    <col min="2320" max="2320" width="12.7109375" style="485" customWidth="1"/>
    <col min="2321" max="2321" width="24.5703125" style="485" customWidth="1"/>
    <col min="2322" max="2322" width="29" style="485" customWidth="1"/>
    <col min="2323" max="2323" width="17.7109375" style="485" customWidth="1"/>
    <col min="2324" max="2324" width="36.42578125" style="485" customWidth="1"/>
    <col min="2325" max="2325" width="21.85546875" style="485" customWidth="1"/>
    <col min="2326" max="2326" width="11.7109375" style="485" customWidth="1"/>
    <col min="2327" max="2327" width="26.28515625" style="485" customWidth="1"/>
    <col min="2328" max="2328" width="9" style="485" customWidth="1"/>
    <col min="2329" max="2329" width="6.28515625" style="485" customWidth="1"/>
    <col min="2330" max="2331" width="7.28515625" style="485" customWidth="1"/>
    <col min="2332" max="2332" width="8.42578125" style="485" customWidth="1"/>
    <col min="2333" max="2333" width="9.5703125" style="485" customWidth="1"/>
    <col min="2334" max="2334" width="6.28515625" style="485" customWidth="1"/>
    <col min="2335" max="2335" width="5.85546875" style="485" customWidth="1"/>
    <col min="2336" max="2337" width="4.42578125" style="485" customWidth="1"/>
    <col min="2338" max="2338" width="5" style="485" customWidth="1"/>
    <col min="2339" max="2339" width="5.85546875" style="485" customWidth="1"/>
    <col min="2340" max="2340" width="6.140625" style="485" customWidth="1"/>
    <col min="2341" max="2341" width="6.28515625" style="485" customWidth="1"/>
    <col min="2342" max="2342" width="11.140625" style="485" customWidth="1"/>
    <col min="2343" max="2343" width="14.140625" style="485" customWidth="1"/>
    <col min="2344" max="2344" width="19.85546875" style="485" customWidth="1"/>
    <col min="2345" max="2345" width="17" style="485" customWidth="1"/>
    <col min="2346" max="2346" width="20.85546875" style="485" customWidth="1"/>
    <col min="2347" max="2559" width="11.42578125" style="485"/>
    <col min="2560" max="2560" width="13.140625" style="485" customWidth="1"/>
    <col min="2561" max="2561" width="4" style="485" customWidth="1"/>
    <col min="2562" max="2562" width="12.85546875" style="485" customWidth="1"/>
    <col min="2563" max="2563" width="14.7109375" style="485" customWidth="1"/>
    <col min="2564" max="2564" width="10" style="485" customWidth="1"/>
    <col min="2565" max="2565" width="6.28515625" style="485" customWidth="1"/>
    <col min="2566" max="2566" width="12.28515625" style="485" customWidth="1"/>
    <col min="2567" max="2567" width="8.5703125" style="485" customWidth="1"/>
    <col min="2568" max="2568" width="13.7109375" style="485" customWidth="1"/>
    <col min="2569" max="2569" width="11.5703125" style="485" customWidth="1"/>
    <col min="2570" max="2570" width="34.28515625" style="485" customWidth="1"/>
    <col min="2571" max="2571" width="24.28515625" style="485" customWidth="1"/>
    <col min="2572" max="2572" width="21.140625" style="485" customWidth="1"/>
    <col min="2573" max="2573" width="22.140625" style="485" customWidth="1"/>
    <col min="2574" max="2574" width="8" style="485" customWidth="1"/>
    <col min="2575" max="2575" width="17" style="485" customWidth="1"/>
    <col min="2576" max="2576" width="12.7109375" style="485" customWidth="1"/>
    <col min="2577" max="2577" width="24.5703125" style="485" customWidth="1"/>
    <col min="2578" max="2578" width="29" style="485" customWidth="1"/>
    <col min="2579" max="2579" width="17.7109375" style="485" customWidth="1"/>
    <col min="2580" max="2580" width="36.42578125" style="485" customWidth="1"/>
    <col min="2581" max="2581" width="21.85546875" style="485" customWidth="1"/>
    <col min="2582" max="2582" width="11.7109375" style="485" customWidth="1"/>
    <col min="2583" max="2583" width="26.28515625" style="485" customWidth="1"/>
    <col min="2584" max="2584" width="9" style="485" customWidth="1"/>
    <col min="2585" max="2585" width="6.28515625" style="485" customWidth="1"/>
    <col min="2586" max="2587" width="7.28515625" style="485" customWidth="1"/>
    <col min="2588" max="2588" width="8.42578125" style="485" customWidth="1"/>
    <col min="2589" max="2589" width="9.5703125" style="485" customWidth="1"/>
    <col min="2590" max="2590" width="6.28515625" style="485" customWidth="1"/>
    <col min="2591" max="2591" width="5.85546875" style="485" customWidth="1"/>
    <col min="2592" max="2593" width="4.42578125" style="485" customWidth="1"/>
    <col min="2594" max="2594" width="5" style="485" customWidth="1"/>
    <col min="2595" max="2595" width="5.85546875" style="485" customWidth="1"/>
    <col min="2596" max="2596" width="6.140625" style="485" customWidth="1"/>
    <col min="2597" max="2597" width="6.28515625" style="485" customWidth="1"/>
    <col min="2598" max="2598" width="11.140625" style="485" customWidth="1"/>
    <col min="2599" max="2599" width="14.140625" style="485" customWidth="1"/>
    <col min="2600" max="2600" width="19.85546875" style="485" customWidth="1"/>
    <col min="2601" max="2601" width="17" style="485" customWidth="1"/>
    <col min="2602" max="2602" width="20.85546875" style="485" customWidth="1"/>
    <col min="2603" max="2815" width="11.42578125" style="485"/>
    <col min="2816" max="2816" width="13.140625" style="485" customWidth="1"/>
    <col min="2817" max="2817" width="4" style="485" customWidth="1"/>
    <col min="2818" max="2818" width="12.85546875" style="485" customWidth="1"/>
    <col min="2819" max="2819" width="14.7109375" style="485" customWidth="1"/>
    <col min="2820" max="2820" width="10" style="485" customWidth="1"/>
    <col min="2821" max="2821" width="6.28515625" style="485" customWidth="1"/>
    <col min="2822" max="2822" width="12.28515625" style="485" customWidth="1"/>
    <col min="2823" max="2823" width="8.5703125" style="485" customWidth="1"/>
    <col min="2824" max="2824" width="13.7109375" style="485" customWidth="1"/>
    <col min="2825" max="2825" width="11.5703125" style="485" customWidth="1"/>
    <col min="2826" max="2826" width="34.28515625" style="485" customWidth="1"/>
    <col min="2827" max="2827" width="24.28515625" style="485" customWidth="1"/>
    <col min="2828" max="2828" width="21.140625" style="485" customWidth="1"/>
    <col min="2829" max="2829" width="22.140625" style="485" customWidth="1"/>
    <col min="2830" max="2830" width="8" style="485" customWidth="1"/>
    <col min="2831" max="2831" width="17" style="485" customWidth="1"/>
    <col min="2832" max="2832" width="12.7109375" style="485" customWidth="1"/>
    <col min="2833" max="2833" width="24.5703125" style="485" customWidth="1"/>
    <col min="2834" max="2834" width="29" style="485" customWidth="1"/>
    <col min="2835" max="2835" width="17.7109375" style="485" customWidth="1"/>
    <col min="2836" max="2836" width="36.42578125" style="485" customWidth="1"/>
    <col min="2837" max="2837" width="21.85546875" style="485" customWidth="1"/>
    <col min="2838" max="2838" width="11.7109375" style="485" customWidth="1"/>
    <col min="2839" max="2839" width="26.28515625" style="485" customWidth="1"/>
    <col min="2840" max="2840" width="9" style="485" customWidth="1"/>
    <col min="2841" max="2841" width="6.28515625" style="485" customWidth="1"/>
    <col min="2842" max="2843" width="7.28515625" style="485" customWidth="1"/>
    <col min="2844" max="2844" width="8.42578125" style="485" customWidth="1"/>
    <col min="2845" max="2845" width="9.5703125" style="485" customWidth="1"/>
    <col min="2846" max="2846" width="6.28515625" style="485" customWidth="1"/>
    <col min="2847" max="2847" width="5.85546875" style="485" customWidth="1"/>
    <col min="2848" max="2849" width="4.42578125" style="485" customWidth="1"/>
    <col min="2850" max="2850" width="5" style="485" customWidth="1"/>
    <col min="2851" max="2851" width="5.85546875" style="485" customWidth="1"/>
    <col min="2852" max="2852" width="6.140625" style="485" customWidth="1"/>
    <col min="2853" max="2853" width="6.28515625" style="485" customWidth="1"/>
    <col min="2854" max="2854" width="11.140625" style="485" customWidth="1"/>
    <col min="2855" max="2855" width="14.140625" style="485" customWidth="1"/>
    <col min="2856" max="2856" width="19.85546875" style="485" customWidth="1"/>
    <col min="2857" max="2857" width="17" style="485" customWidth="1"/>
    <col min="2858" max="2858" width="20.85546875" style="485" customWidth="1"/>
    <col min="2859" max="3071" width="11.42578125" style="485"/>
    <col min="3072" max="3072" width="13.140625" style="485" customWidth="1"/>
    <col min="3073" max="3073" width="4" style="485" customWidth="1"/>
    <col min="3074" max="3074" width="12.85546875" style="485" customWidth="1"/>
    <col min="3075" max="3075" width="14.7109375" style="485" customWidth="1"/>
    <col min="3076" max="3076" width="10" style="485" customWidth="1"/>
    <col min="3077" max="3077" width="6.28515625" style="485" customWidth="1"/>
    <col min="3078" max="3078" width="12.28515625" style="485" customWidth="1"/>
    <col min="3079" max="3079" width="8.5703125" style="485" customWidth="1"/>
    <col min="3080" max="3080" width="13.7109375" style="485" customWidth="1"/>
    <col min="3081" max="3081" width="11.5703125" style="485" customWidth="1"/>
    <col min="3082" max="3082" width="34.28515625" style="485" customWidth="1"/>
    <col min="3083" max="3083" width="24.28515625" style="485" customWidth="1"/>
    <col min="3084" max="3084" width="21.140625" style="485" customWidth="1"/>
    <col min="3085" max="3085" width="22.140625" style="485" customWidth="1"/>
    <col min="3086" max="3086" width="8" style="485" customWidth="1"/>
    <col min="3087" max="3087" width="17" style="485" customWidth="1"/>
    <col min="3088" max="3088" width="12.7109375" style="485" customWidth="1"/>
    <col min="3089" max="3089" width="24.5703125" style="485" customWidth="1"/>
    <col min="3090" max="3090" width="29" style="485" customWidth="1"/>
    <col min="3091" max="3091" width="17.7109375" style="485" customWidth="1"/>
    <col min="3092" max="3092" width="36.42578125" style="485" customWidth="1"/>
    <col min="3093" max="3093" width="21.85546875" style="485" customWidth="1"/>
    <col min="3094" max="3094" width="11.7109375" style="485" customWidth="1"/>
    <col min="3095" max="3095" width="26.28515625" style="485" customWidth="1"/>
    <col min="3096" max="3096" width="9" style="485" customWidth="1"/>
    <col min="3097" max="3097" width="6.28515625" style="485" customWidth="1"/>
    <col min="3098" max="3099" width="7.28515625" style="485" customWidth="1"/>
    <col min="3100" max="3100" width="8.42578125" style="485" customWidth="1"/>
    <col min="3101" max="3101" width="9.5703125" style="485" customWidth="1"/>
    <col min="3102" max="3102" width="6.28515625" style="485" customWidth="1"/>
    <col min="3103" max="3103" width="5.85546875" style="485" customWidth="1"/>
    <col min="3104" max="3105" width="4.42578125" style="485" customWidth="1"/>
    <col min="3106" max="3106" width="5" style="485" customWidth="1"/>
    <col min="3107" max="3107" width="5.85546875" style="485" customWidth="1"/>
    <col min="3108" max="3108" width="6.140625" style="485" customWidth="1"/>
    <col min="3109" max="3109" width="6.28515625" style="485" customWidth="1"/>
    <col min="3110" max="3110" width="11.140625" style="485" customWidth="1"/>
    <col min="3111" max="3111" width="14.140625" style="485" customWidth="1"/>
    <col min="3112" max="3112" width="19.85546875" style="485" customWidth="1"/>
    <col min="3113" max="3113" width="17" style="485" customWidth="1"/>
    <col min="3114" max="3114" width="20.85546875" style="485" customWidth="1"/>
    <col min="3115" max="3327" width="11.42578125" style="485"/>
    <col min="3328" max="3328" width="13.140625" style="485" customWidth="1"/>
    <col min="3329" max="3329" width="4" style="485" customWidth="1"/>
    <col min="3330" max="3330" width="12.85546875" style="485" customWidth="1"/>
    <col min="3331" max="3331" width="14.7109375" style="485" customWidth="1"/>
    <col min="3332" max="3332" width="10" style="485" customWidth="1"/>
    <col min="3333" max="3333" width="6.28515625" style="485" customWidth="1"/>
    <col min="3334" max="3334" width="12.28515625" style="485" customWidth="1"/>
    <col min="3335" max="3335" width="8.5703125" style="485" customWidth="1"/>
    <col min="3336" max="3336" width="13.7109375" style="485" customWidth="1"/>
    <col min="3337" max="3337" width="11.5703125" style="485" customWidth="1"/>
    <col min="3338" max="3338" width="34.28515625" style="485" customWidth="1"/>
    <col min="3339" max="3339" width="24.28515625" style="485" customWidth="1"/>
    <col min="3340" max="3340" width="21.140625" style="485" customWidth="1"/>
    <col min="3341" max="3341" width="22.140625" style="485" customWidth="1"/>
    <col min="3342" max="3342" width="8" style="485" customWidth="1"/>
    <col min="3343" max="3343" width="17" style="485" customWidth="1"/>
    <col min="3344" max="3344" width="12.7109375" style="485" customWidth="1"/>
    <col min="3345" max="3345" width="24.5703125" style="485" customWidth="1"/>
    <col min="3346" max="3346" width="29" style="485" customWidth="1"/>
    <col min="3347" max="3347" width="17.7109375" style="485" customWidth="1"/>
    <col min="3348" max="3348" width="36.42578125" style="485" customWidth="1"/>
    <col min="3349" max="3349" width="21.85546875" style="485" customWidth="1"/>
    <col min="3350" max="3350" width="11.7109375" style="485" customWidth="1"/>
    <col min="3351" max="3351" width="26.28515625" style="485" customWidth="1"/>
    <col min="3352" max="3352" width="9" style="485" customWidth="1"/>
    <col min="3353" max="3353" width="6.28515625" style="485" customWidth="1"/>
    <col min="3354" max="3355" width="7.28515625" style="485" customWidth="1"/>
    <col min="3356" max="3356" width="8.42578125" style="485" customWidth="1"/>
    <col min="3357" max="3357" width="9.5703125" style="485" customWidth="1"/>
    <col min="3358" max="3358" width="6.28515625" style="485" customWidth="1"/>
    <col min="3359" max="3359" width="5.85546875" style="485" customWidth="1"/>
    <col min="3360" max="3361" width="4.42578125" style="485" customWidth="1"/>
    <col min="3362" max="3362" width="5" style="485" customWidth="1"/>
    <col min="3363" max="3363" width="5.85546875" style="485" customWidth="1"/>
    <col min="3364" max="3364" width="6.140625" style="485" customWidth="1"/>
    <col min="3365" max="3365" width="6.28515625" style="485" customWidth="1"/>
    <col min="3366" max="3366" width="11.140625" style="485" customWidth="1"/>
    <col min="3367" max="3367" width="14.140625" style="485" customWidth="1"/>
    <col min="3368" max="3368" width="19.85546875" style="485" customWidth="1"/>
    <col min="3369" max="3369" width="17" style="485" customWidth="1"/>
    <col min="3370" max="3370" width="20.85546875" style="485" customWidth="1"/>
    <col min="3371" max="3583" width="11.42578125" style="485"/>
    <col min="3584" max="3584" width="13.140625" style="485" customWidth="1"/>
    <col min="3585" max="3585" width="4" style="485" customWidth="1"/>
    <col min="3586" max="3586" width="12.85546875" style="485" customWidth="1"/>
    <col min="3587" max="3587" width="14.7109375" style="485" customWidth="1"/>
    <col min="3588" max="3588" width="10" style="485" customWidth="1"/>
    <col min="3589" max="3589" width="6.28515625" style="485" customWidth="1"/>
    <col min="3590" max="3590" width="12.28515625" style="485" customWidth="1"/>
    <col min="3591" max="3591" width="8.5703125" style="485" customWidth="1"/>
    <col min="3592" max="3592" width="13.7109375" style="485" customWidth="1"/>
    <col min="3593" max="3593" width="11.5703125" style="485" customWidth="1"/>
    <col min="3594" max="3594" width="34.28515625" style="485" customWidth="1"/>
    <col min="3595" max="3595" width="24.28515625" style="485" customWidth="1"/>
    <col min="3596" max="3596" width="21.140625" style="485" customWidth="1"/>
    <col min="3597" max="3597" width="22.140625" style="485" customWidth="1"/>
    <col min="3598" max="3598" width="8" style="485" customWidth="1"/>
    <col min="3599" max="3599" width="17" style="485" customWidth="1"/>
    <col min="3600" max="3600" width="12.7109375" style="485" customWidth="1"/>
    <col min="3601" max="3601" width="24.5703125" style="485" customWidth="1"/>
    <col min="3602" max="3602" width="29" style="485" customWidth="1"/>
    <col min="3603" max="3603" width="17.7109375" style="485" customWidth="1"/>
    <col min="3604" max="3604" width="36.42578125" style="485" customWidth="1"/>
    <col min="3605" max="3605" width="21.85546875" style="485" customWidth="1"/>
    <col min="3606" max="3606" width="11.7109375" style="485" customWidth="1"/>
    <col min="3607" max="3607" width="26.28515625" style="485" customWidth="1"/>
    <col min="3608" max="3608" width="9" style="485" customWidth="1"/>
    <col min="3609" max="3609" width="6.28515625" style="485" customWidth="1"/>
    <col min="3610" max="3611" width="7.28515625" style="485" customWidth="1"/>
    <col min="3612" max="3612" width="8.42578125" style="485" customWidth="1"/>
    <col min="3613" max="3613" width="9.5703125" style="485" customWidth="1"/>
    <col min="3614" max="3614" width="6.28515625" style="485" customWidth="1"/>
    <col min="3615" max="3615" width="5.85546875" style="485" customWidth="1"/>
    <col min="3616" max="3617" width="4.42578125" style="485" customWidth="1"/>
    <col min="3618" max="3618" width="5" style="485" customWidth="1"/>
    <col min="3619" max="3619" width="5.85546875" style="485" customWidth="1"/>
    <col min="3620" max="3620" width="6.140625" style="485" customWidth="1"/>
    <col min="3621" max="3621" width="6.28515625" style="485" customWidth="1"/>
    <col min="3622" max="3622" width="11.140625" style="485" customWidth="1"/>
    <col min="3623" max="3623" width="14.140625" style="485" customWidth="1"/>
    <col min="3624" max="3624" width="19.85546875" style="485" customWidth="1"/>
    <col min="3625" max="3625" width="17" style="485" customWidth="1"/>
    <col min="3626" max="3626" width="20.85546875" style="485" customWidth="1"/>
    <col min="3627" max="3839" width="11.42578125" style="485"/>
    <col min="3840" max="3840" width="13.140625" style="485" customWidth="1"/>
    <col min="3841" max="3841" width="4" style="485" customWidth="1"/>
    <col min="3842" max="3842" width="12.85546875" style="485" customWidth="1"/>
    <col min="3843" max="3843" width="14.7109375" style="485" customWidth="1"/>
    <col min="3844" max="3844" width="10" style="485" customWidth="1"/>
    <col min="3845" max="3845" width="6.28515625" style="485" customWidth="1"/>
    <col min="3846" max="3846" width="12.28515625" style="485" customWidth="1"/>
    <col min="3847" max="3847" width="8.5703125" style="485" customWidth="1"/>
    <col min="3848" max="3848" width="13.7109375" style="485" customWidth="1"/>
    <col min="3849" max="3849" width="11.5703125" style="485" customWidth="1"/>
    <col min="3850" max="3850" width="34.28515625" style="485" customWidth="1"/>
    <col min="3851" max="3851" width="24.28515625" style="485" customWidth="1"/>
    <col min="3852" max="3852" width="21.140625" style="485" customWidth="1"/>
    <col min="3853" max="3853" width="22.140625" style="485" customWidth="1"/>
    <col min="3854" max="3854" width="8" style="485" customWidth="1"/>
    <col min="3855" max="3855" width="17" style="485" customWidth="1"/>
    <col min="3856" max="3856" width="12.7109375" style="485" customWidth="1"/>
    <col min="3857" max="3857" width="24.5703125" style="485" customWidth="1"/>
    <col min="3858" max="3858" width="29" style="485" customWidth="1"/>
    <col min="3859" max="3859" width="17.7109375" style="485" customWidth="1"/>
    <col min="3860" max="3860" width="36.42578125" style="485" customWidth="1"/>
    <col min="3861" max="3861" width="21.85546875" style="485" customWidth="1"/>
    <col min="3862" max="3862" width="11.7109375" style="485" customWidth="1"/>
    <col min="3863" max="3863" width="26.28515625" style="485" customWidth="1"/>
    <col min="3864" max="3864" width="9" style="485" customWidth="1"/>
    <col min="3865" max="3865" width="6.28515625" style="485" customWidth="1"/>
    <col min="3866" max="3867" width="7.28515625" style="485" customWidth="1"/>
    <col min="3868" max="3868" width="8.42578125" style="485" customWidth="1"/>
    <col min="3869" max="3869" width="9.5703125" style="485" customWidth="1"/>
    <col min="3870" max="3870" width="6.28515625" style="485" customWidth="1"/>
    <col min="3871" max="3871" width="5.85546875" style="485" customWidth="1"/>
    <col min="3872" max="3873" width="4.42578125" style="485" customWidth="1"/>
    <col min="3874" max="3874" width="5" style="485" customWidth="1"/>
    <col min="3875" max="3875" width="5.85546875" style="485" customWidth="1"/>
    <col min="3876" max="3876" width="6.140625" style="485" customWidth="1"/>
    <col min="3877" max="3877" width="6.28515625" style="485" customWidth="1"/>
    <col min="3878" max="3878" width="11.140625" style="485" customWidth="1"/>
    <col min="3879" max="3879" width="14.140625" style="485" customWidth="1"/>
    <col min="3880" max="3880" width="19.85546875" style="485" customWidth="1"/>
    <col min="3881" max="3881" width="17" style="485" customWidth="1"/>
    <col min="3882" max="3882" width="20.85546875" style="485" customWidth="1"/>
    <col min="3883" max="4095" width="11.42578125" style="485"/>
    <col min="4096" max="4096" width="13.140625" style="485" customWidth="1"/>
    <col min="4097" max="4097" width="4" style="485" customWidth="1"/>
    <col min="4098" max="4098" width="12.85546875" style="485" customWidth="1"/>
    <col min="4099" max="4099" width="14.7109375" style="485" customWidth="1"/>
    <col min="4100" max="4100" width="10" style="485" customWidth="1"/>
    <col min="4101" max="4101" width="6.28515625" style="485" customWidth="1"/>
    <col min="4102" max="4102" width="12.28515625" style="485" customWidth="1"/>
    <col min="4103" max="4103" width="8.5703125" style="485" customWidth="1"/>
    <col min="4104" max="4104" width="13.7109375" style="485" customWidth="1"/>
    <col min="4105" max="4105" width="11.5703125" style="485" customWidth="1"/>
    <col min="4106" max="4106" width="34.28515625" style="485" customWidth="1"/>
    <col min="4107" max="4107" width="24.28515625" style="485" customWidth="1"/>
    <col min="4108" max="4108" width="21.140625" style="485" customWidth="1"/>
    <col min="4109" max="4109" width="22.140625" style="485" customWidth="1"/>
    <col min="4110" max="4110" width="8" style="485" customWidth="1"/>
    <col min="4111" max="4111" width="17" style="485" customWidth="1"/>
    <col min="4112" max="4112" width="12.7109375" style="485" customWidth="1"/>
    <col min="4113" max="4113" width="24.5703125" style="485" customWidth="1"/>
    <col min="4114" max="4114" width="29" style="485" customWidth="1"/>
    <col min="4115" max="4115" width="17.7109375" style="485" customWidth="1"/>
    <col min="4116" max="4116" width="36.42578125" style="485" customWidth="1"/>
    <col min="4117" max="4117" width="21.85546875" style="485" customWidth="1"/>
    <col min="4118" max="4118" width="11.7109375" style="485" customWidth="1"/>
    <col min="4119" max="4119" width="26.28515625" style="485" customWidth="1"/>
    <col min="4120" max="4120" width="9" style="485" customWidth="1"/>
    <col min="4121" max="4121" width="6.28515625" style="485" customWidth="1"/>
    <col min="4122" max="4123" width="7.28515625" style="485" customWidth="1"/>
    <col min="4124" max="4124" width="8.42578125" style="485" customWidth="1"/>
    <col min="4125" max="4125" width="9.5703125" style="485" customWidth="1"/>
    <col min="4126" max="4126" width="6.28515625" style="485" customWidth="1"/>
    <col min="4127" max="4127" width="5.85546875" style="485" customWidth="1"/>
    <col min="4128" max="4129" width="4.42578125" style="485" customWidth="1"/>
    <col min="4130" max="4130" width="5" style="485" customWidth="1"/>
    <col min="4131" max="4131" width="5.85546875" style="485" customWidth="1"/>
    <col min="4132" max="4132" width="6.140625" style="485" customWidth="1"/>
    <col min="4133" max="4133" width="6.28515625" style="485" customWidth="1"/>
    <col min="4134" max="4134" width="11.140625" style="485" customWidth="1"/>
    <col min="4135" max="4135" width="14.140625" style="485" customWidth="1"/>
    <col min="4136" max="4136" width="19.85546875" style="485" customWidth="1"/>
    <col min="4137" max="4137" width="17" style="485" customWidth="1"/>
    <col min="4138" max="4138" width="20.85546875" style="485" customWidth="1"/>
    <col min="4139" max="4351" width="11.42578125" style="485"/>
    <col min="4352" max="4352" width="13.140625" style="485" customWidth="1"/>
    <col min="4353" max="4353" width="4" style="485" customWidth="1"/>
    <col min="4354" max="4354" width="12.85546875" style="485" customWidth="1"/>
    <col min="4355" max="4355" width="14.7109375" style="485" customWidth="1"/>
    <col min="4356" max="4356" width="10" style="485" customWidth="1"/>
    <col min="4357" max="4357" width="6.28515625" style="485" customWidth="1"/>
    <col min="4358" max="4358" width="12.28515625" style="485" customWidth="1"/>
    <col min="4359" max="4359" width="8.5703125" style="485" customWidth="1"/>
    <col min="4360" max="4360" width="13.7109375" style="485" customWidth="1"/>
    <col min="4361" max="4361" width="11.5703125" style="485" customWidth="1"/>
    <col min="4362" max="4362" width="34.28515625" style="485" customWidth="1"/>
    <col min="4363" max="4363" width="24.28515625" style="485" customWidth="1"/>
    <col min="4364" max="4364" width="21.140625" style="485" customWidth="1"/>
    <col min="4365" max="4365" width="22.140625" style="485" customWidth="1"/>
    <col min="4366" max="4366" width="8" style="485" customWidth="1"/>
    <col min="4367" max="4367" width="17" style="485" customWidth="1"/>
    <col min="4368" max="4368" width="12.7109375" style="485" customWidth="1"/>
    <col min="4369" max="4369" width="24.5703125" style="485" customWidth="1"/>
    <col min="4370" max="4370" width="29" style="485" customWidth="1"/>
    <col min="4371" max="4371" width="17.7109375" style="485" customWidth="1"/>
    <col min="4372" max="4372" width="36.42578125" style="485" customWidth="1"/>
    <col min="4373" max="4373" width="21.85546875" style="485" customWidth="1"/>
    <col min="4374" max="4374" width="11.7109375" style="485" customWidth="1"/>
    <col min="4375" max="4375" width="26.28515625" style="485" customWidth="1"/>
    <col min="4376" max="4376" width="9" style="485" customWidth="1"/>
    <col min="4377" max="4377" width="6.28515625" style="485" customWidth="1"/>
    <col min="4378" max="4379" width="7.28515625" style="485" customWidth="1"/>
    <col min="4380" max="4380" width="8.42578125" style="485" customWidth="1"/>
    <col min="4381" max="4381" width="9.5703125" style="485" customWidth="1"/>
    <col min="4382" max="4382" width="6.28515625" style="485" customWidth="1"/>
    <col min="4383" max="4383" width="5.85546875" style="485" customWidth="1"/>
    <col min="4384" max="4385" width="4.42578125" style="485" customWidth="1"/>
    <col min="4386" max="4386" width="5" style="485" customWidth="1"/>
    <col min="4387" max="4387" width="5.85546875" style="485" customWidth="1"/>
    <col min="4388" max="4388" width="6.140625" style="485" customWidth="1"/>
    <col min="4389" max="4389" width="6.28515625" style="485" customWidth="1"/>
    <col min="4390" max="4390" width="11.140625" style="485" customWidth="1"/>
    <col min="4391" max="4391" width="14.140625" style="485" customWidth="1"/>
    <col min="4392" max="4392" width="19.85546875" style="485" customWidth="1"/>
    <col min="4393" max="4393" width="17" style="485" customWidth="1"/>
    <col min="4394" max="4394" width="20.85546875" style="485" customWidth="1"/>
    <col min="4395" max="4607" width="11.42578125" style="485"/>
    <col min="4608" max="4608" width="13.140625" style="485" customWidth="1"/>
    <col min="4609" max="4609" width="4" style="485" customWidth="1"/>
    <col min="4610" max="4610" width="12.85546875" style="485" customWidth="1"/>
    <col min="4611" max="4611" width="14.7109375" style="485" customWidth="1"/>
    <col min="4612" max="4612" width="10" style="485" customWidth="1"/>
    <col min="4613" max="4613" width="6.28515625" style="485" customWidth="1"/>
    <col min="4614" max="4614" width="12.28515625" style="485" customWidth="1"/>
    <col min="4615" max="4615" width="8.5703125" style="485" customWidth="1"/>
    <col min="4616" max="4616" width="13.7109375" style="485" customWidth="1"/>
    <col min="4617" max="4617" width="11.5703125" style="485" customWidth="1"/>
    <col min="4618" max="4618" width="34.28515625" style="485" customWidth="1"/>
    <col min="4619" max="4619" width="24.28515625" style="485" customWidth="1"/>
    <col min="4620" max="4620" width="21.140625" style="485" customWidth="1"/>
    <col min="4621" max="4621" width="22.140625" style="485" customWidth="1"/>
    <col min="4622" max="4622" width="8" style="485" customWidth="1"/>
    <col min="4623" max="4623" width="17" style="485" customWidth="1"/>
    <col min="4624" max="4624" width="12.7109375" style="485" customWidth="1"/>
    <col min="4625" max="4625" width="24.5703125" style="485" customWidth="1"/>
    <col min="4626" max="4626" width="29" style="485" customWidth="1"/>
    <col min="4627" max="4627" width="17.7109375" style="485" customWidth="1"/>
    <col min="4628" max="4628" width="36.42578125" style="485" customWidth="1"/>
    <col min="4629" max="4629" width="21.85546875" style="485" customWidth="1"/>
    <col min="4630" max="4630" width="11.7109375" style="485" customWidth="1"/>
    <col min="4631" max="4631" width="26.28515625" style="485" customWidth="1"/>
    <col min="4632" max="4632" width="9" style="485" customWidth="1"/>
    <col min="4633" max="4633" width="6.28515625" style="485" customWidth="1"/>
    <col min="4634" max="4635" width="7.28515625" style="485" customWidth="1"/>
    <col min="4636" max="4636" width="8.42578125" style="485" customWidth="1"/>
    <col min="4637" max="4637" width="9.5703125" style="485" customWidth="1"/>
    <col min="4638" max="4638" width="6.28515625" style="485" customWidth="1"/>
    <col min="4639" max="4639" width="5.85546875" style="485" customWidth="1"/>
    <col min="4640" max="4641" width="4.42578125" style="485" customWidth="1"/>
    <col min="4642" max="4642" width="5" style="485" customWidth="1"/>
    <col min="4643" max="4643" width="5.85546875" style="485" customWidth="1"/>
    <col min="4644" max="4644" width="6.140625" style="485" customWidth="1"/>
    <col min="4645" max="4645" width="6.28515625" style="485" customWidth="1"/>
    <col min="4646" max="4646" width="11.140625" style="485" customWidth="1"/>
    <col min="4647" max="4647" width="14.140625" style="485" customWidth="1"/>
    <col min="4648" max="4648" width="19.85546875" style="485" customWidth="1"/>
    <col min="4649" max="4649" width="17" style="485" customWidth="1"/>
    <col min="4650" max="4650" width="20.85546875" style="485" customWidth="1"/>
    <col min="4651" max="4863" width="11.42578125" style="485"/>
    <col min="4864" max="4864" width="13.140625" style="485" customWidth="1"/>
    <col min="4865" max="4865" width="4" style="485" customWidth="1"/>
    <col min="4866" max="4866" width="12.85546875" style="485" customWidth="1"/>
    <col min="4867" max="4867" width="14.7109375" style="485" customWidth="1"/>
    <col min="4868" max="4868" width="10" style="485" customWidth="1"/>
    <col min="4869" max="4869" width="6.28515625" style="485" customWidth="1"/>
    <col min="4870" max="4870" width="12.28515625" style="485" customWidth="1"/>
    <col min="4871" max="4871" width="8.5703125" style="485" customWidth="1"/>
    <col min="4872" max="4872" width="13.7109375" style="485" customWidth="1"/>
    <col min="4873" max="4873" width="11.5703125" style="485" customWidth="1"/>
    <col min="4874" max="4874" width="34.28515625" style="485" customWidth="1"/>
    <col min="4875" max="4875" width="24.28515625" style="485" customWidth="1"/>
    <col min="4876" max="4876" width="21.140625" style="485" customWidth="1"/>
    <col min="4877" max="4877" width="22.140625" style="485" customWidth="1"/>
    <col min="4878" max="4878" width="8" style="485" customWidth="1"/>
    <col min="4879" max="4879" width="17" style="485" customWidth="1"/>
    <col min="4880" max="4880" width="12.7109375" style="485" customWidth="1"/>
    <col min="4881" max="4881" width="24.5703125" style="485" customWidth="1"/>
    <col min="4882" max="4882" width="29" style="485" customWidth="1"/>
    <col min="4883" max="4883" width="17.7109375" style="485" customWidth="1"/>
    <col min="4884" max="4884" width="36.42578125" style="485" customWidth="1"/>
    <col min="4885" max="4885" width="21.85546875" style="485" customWidth="1"/>
    <col min="4886" max="4886" width="11.7109375" style="485" customWidth="1"/>
    <col min="4887" max="4887" width="26.28515625" style="485" customWidth="1"/>
    <col min="4888" max="4888" width="9" style="485" customWidth="1"/>
    <col min="4889" max="4889" width="6.28515625" style="485" customWidth="1"/>
    <col min="4890" max="4891" width="7.28515625" style="485" customWidth="1"/>
    <col min="4892" max="4892" width="8.42578125" style="485" customWidth="1"/>
    <col min="4893" max="4893" width="9.5703125" style="485" customWidth="1"/>
    <col min="4894" max="4894" width="6.28515625" style="485" customWidth="1"/>
    <col min="4895" max="4895" width="5.85546875" style="485" customWidth="1"/>
    <col min="4896" max="4897" width="4.42578125" style="485" customWidth="1"/>
    <col min="4898" max="4898" width="5" style="485" customWidth="1"/>
    <col min="4899" max="4899" width="5.85546875" style="485" customWidth="1"/>
    <col min="4900" max="4900" width="6.140625" style="485" customWidth="1"/>
    <col min="4901" max="4901" width="6.28515625" style="485" customWidth="1"/>
    <col min="4902" max="4902" width="11.140625" style="485" customWidth="1"/>
    <col min="4903" max="4903" width="14.140625" style="485" customWidth="1"/>
    <col min="4904" max="4904" width="19.85546875" style="485" customWidth="1"/>
    <col min="4905" max="4905" width="17" style="485" customWidth="1"/>
    <col min="4906" max="4906" width="20.85546875" style="485" customWidth="1"/>
    <col min="4907" max="5119" width="11.42578125" style="485"/>
    <col min="5120" max="5120" width="13.140625" style="485" customWidth="1"/>
    <col min="5121" max="5121" width="4" style="485" customWidth="1"/>
    <col min="5122" max="5122" width="12.85546875" style="485" customWidth="1"/>
    <col min="5123" max="5123" width="14.7109375" style="485" customWidth="1"/>
    <col min="5124" max="5124" width="10" style="485" customWidth="1"/>
    <col min="5125" max="5125" width="6.28515625" style="485" customWidth="1"/>
    <col min="5126" max="5126" width="12.28515625" style="485" customWidth="1"/>
    <col min="5127" max="5127" width="8.5703125" style="485" customWidth="1"/>
    <col min="5128" max="5128" width="13.7109375" style="485" customWidth="1"/>
    <col min="5129" max="5129" width="11.5703125" style="485" customWidth="1"/>
    <col min="5130" max="5130" width="34.28515625" style="485" customWidth="1"/>
    <col min="5131" max="5131" width="24.28515625" style="485" customWidth="1"/>
    <col min="5132" max="5132" width="21.140625" style="485" customWidth="1"/>
    <col min="5133" max="5133" width="22.140625" style="485" customWidth="1"/>
    <col min="5134" max="5134" width="8" style="485" customWidth="1"/>
    <col min="5135" max="5135" width="17" style="485" customWidth="1"/>
    <col min="5136" max="5136" width="12.7109375" style="485" customWidth="1"/>
    <col min="5137" max="5137" width="24.5703125" style="485" customWidth="1"/>
    <col min="5138" max="5138" width="29" style="485" customWidth="1"/>
    <col min="5139" max="5139" width="17.7109375" style="485" customWidth="1"/>
    <col min="5140" max="5140" width="36.42578125" style="485" customWidth="1"/>
    <col min="5141" max="5141" width="21.85546875" style="485" customWidth="1"/>
    <col min="5142" max="5142" width="11.7109375" style="485" customWidth="1"/>
    <col min="5143" max="5143" width="26.28515625" style="485" customWidth="1"/>
    <col min="5144" max="5144" width="9" style="485" customWidth="1"/>
    <col min="5145" max="5145" width="6.28515625" style="485" customWidth="1"/>
    <col min="5146" max="5147" width="7.28515625" style="485" customWidth="1"/>
    <col min="5148" max="5148" width="8.42578125" style="485" customWidth="1"/>
    <col min="5149" max="5149" width="9.5703125" style="485" customWidth="1"/>
    <col min="5150" max="5150" width="6.28515625" style="485" customWidth="1"/>
    <col min="5151" max="5151" width="5.85546875" style="485" customWidth="1"/>
    <col min="5152" max="5153" width="4.42578125" style="485" customWidth="1"/>
    <col min="5154" max="5154" width="5" style="485" customWidth="1"/>
    <col min="5155" max="5155" width="5.85546875" style="485" customWidth="1"/>
    <col min="5156" max="5156" width="6.140625" style="485" customWidth="1"/>
    <col min="5157" max="5157" width="6.28515625" style="485" customWidth="1"/>
    <col min="5158" max="5158" width="11.140625" style="485" customWidth="1"/>
    <col min="5159" max="5159" width="14.140625" style="485" customWidth="1"/>
    <col min="5160" max="5160" width="19.85546875" style="485" customWidth="1"/>
    <col min="5161" max="5161" width="17" style="485" customWidth="1"/>
    <col min="5162" max="5162" width="20.85546875" style="485" customWidth="1"/>
    <col min="5163" max="5375" width="11.42578125" style="485"/>
    <col min="5376" max="5376" width="13.140625" style="485" customWidth="1"/>
    <col min="5377" max="5377" width="4" style="485" customWidth="1"/>
    <col min="5378" max="5378" width="12.85546875" style="485" customWidth="1"/>
    <col min="5379" max="5379" width="14.7109375" style="485" customWidth="1"/>
    <col min="5380" max="5380" width="10" style="485" customWidth="1"/>
    <col min="5381" max="5381" width="6.28515625" style="485" customWidth="1"/>
    <col min="5382" max="5382" width="12.28515625" style="485" customWidth="1"/>
    <col min="5383" max="5383" width="8.5703125" style="485" customWidth="1"/>
    <col min="5384" max="5384" width="13.7109375" style="485" customWidth="1"/>
    <col min="5385" max="5385" width="11.5703125" style="485" customWidth="1"/>
    <col min="5386" max="5386" width="34.28515625" style="485" customWidth="1"/>
    <col min="5387" max="5387" width="24.28515625" style="485" customWidth="1"/>
    <col min="5388" max="5388" width="21.140625" style="485" customWidth="1"/>
    <col min="5389" max="5389" width="22.140625" style="485" customWidth="1"/>
    <col min="5390" max="5390" width="8" style="485" customWidth="1"/>
    <col min="5391" max="5391" width="17" style="485" customWidth="1"/>
    <col min="5392" max="5392" width="12.7109375" style="485" customWidth="1"/>
    <col min="5393" max="5393" width="24.5703125" style="485" customWidth="1"/>
    <col min="5394" max="5394" width="29" style="485" customWidth="1"/>
    <col min="5395" max="5395" width="17.7109375" style="485" customWidth="1"/>
    <col min="5396" max="5396" width="36.42578125" style="485" customWidth="1"/>
    <col min="5397" max="5397" width="21.85546875" style="485" customWidth="1"/>
    <col min="5398" max="5398" width="11.7109375" style="485" customWidth="1"/>
    <col min="5399" max="5399" width="26.28515625" style="485" customWidth="1"/>
    <col min="5400" max="5400" width="9" style="485" customWidth="1"/>
    <col min="5401" max="5401" width="6.28515625" style="485" customWidth="1"/>
    <col min="5402" max="5403" width="7.28515625" style="485" customWidth="1"/>
    <col min="5404" max="5404" width="8.42578125" style="485" customWidth="1"/>
    <col min="5405" max="5405" width="9.5703125" style="485" customWidth="1"/>
    <col min="5406" max="5406" width="6.28515625" style="485" customWidth="1"/>
    <col min="5407" max="5407" width="5.85546875" style="485" customWidth="1"/>
    <col min="5408" max="5409" width="4.42578125" style="485" customWidth="1"/>
    <col min="5410" max="5410" width="5" style="485" customWidth="1"/>
    <col min="5411" max="5411" width="5.85546875" style="485" customWidth="1"/>
    <col min="5412" max="5412" width="6.140625" style="485" customWidth="1"/>
    <col min="5413" max="5413" width="6.28515625" style="485" customWidth="1"/>
    <col min="5414" max="5414" width="11.140625" style="485" customWidth="1"/>
    <col min="5415" max="5415" width="14.140625" style="485" customWidth="1"/>
    <col min="5416" max="5416" width="19.85546875" style="485" customWidth="1"/>
    <col min="5417" max="5417" width="17" style="485" customWidth="1"/>
    <col min="5418" max="5418" width="20.85546875" style="485" customWidth="1"/>
    <col min="5419" max="5631" width="11.42578125" style="485"/>
    <col min="5632" max="5632" width="13.140625" style="485" customWidth="1"/>
    <col min="5633" max="5633" width="4" style="485" customWidth="1"/>
    <col min="5634" max="5634" width="12.85546875" style="485" customWidth="1"/>
    <col min="5635" max="5635" width="14.7109375" style="485" customWidth="1"/>
    <col min="5636" max="5636" width="10" style="485" customWidth="1"/>
    <col min="5637" max="5637" width="6.28515625" style="485" customWidth="1"/>
    <col min="5638" max="5638" width="12.28515625" style="485" customWidth="1"/>
    <col min="5639" max="5639" width="8.5703125" style="485" customWidth="1"/>
    <col min="5640" max="5640" width="13.7109375" style="485" customWidth="1"/>
    <col min="5641" max="5641" width="11.5703125" style="485" customWidth="1"/>
    <col min="5642" max="5642" width="34.28515625" style="485" customWidth="1"/>
    <col min="5643" max="5643" width="24.28515625" style="485" customWidth="1"/>
    <col min="5644" max="5644" width="21.140625" style="485" customWidth="1"/>
    <col min="5645" max="5645" width="22.140625" style="485" customWidth="1"/>
    <col min="5646" max="5646" width="8" style="485" customWidth="1"/>
    <col min="5647" max="5647" width="17" style="485" customWidth="1"/>
    <col min="5648" max="5648" width="12.7109375" style="485" customWidth="1"/>
    <col min="5649" max="5649" width="24.5703125" style="485" customWidth="1"/>
    <col min="5650" max="5650" width="29" style="485" customWidth="1"/>
    <col min="5651" max="5651" width="17.7109375" style="485" customWidth="1"/>
    <col min="5652" max="5652" width="36.42578125" style="485" customWidth="1"/>
    <col min="5653" max="5653" width="21.85546875" style="485" customWidth="1"/>
    <col min="5654" max="5654" width="11.7109375" style="485" customWidth="1"/>
    <col min="5655" max="5655" width="26.28515625" style="485" customWidth="1"/>
    <col min="5656" max="5656" width="9" style="485" customWidth="1"/>
    <col min="5657" max="5657" width="6.28515625" style="485" customWidth="1"/>
    <col min="5658" max="5659" width="7.28515625" style="485" customWidth="1"/>
    <col min="5660" max="5660" width="8.42578125" style="485" customWidth="1"/>
    <col min="5661" max="5661" width="9.5703125" style="485" customWidth="1"/>
    <col min="5662" max="5662" width="6.28515625" style="485" customWidth="1"/>
    <col min="5663" max="5663" width="5.85546875" style="485" customWidth="1"/>
    <col min="5664" max="5665" width="4.42578125" style="485" customWidth="1"/>
    <col min="5666" max="5666" width="5" style="485" customWidth="1"/>
    <col min="5667" max="5667" width="5.85546875" style="485" customWidth="1"/>
    <col min="5668" max="5668" width="6.140625" style="485" customWidth="1"/>
    <col min="5669" max="5669" width="6.28515625" style="485" customWidth="1"/>
    <col min="5670" max="5670" width="11.140625" style="485" customWidth="1"/>
    <col min="5671" max="5671" width="14.140625" style="485" customWidth="1"/>
    <col min="5672" max="5672" width="19.85546875" style="485" customWidth="1"/>
    <col min="5673" max="5673" width="17" style="485" customWidth="1"/>
    <col min="5674" max="5674" width="20.85546875" style="485" customWidth="1"/>
    <col min="5675" max="5887" width="11.42578125" style="485"/>
    <col min="5888" max="5888" width="13.140625" style="485" customWidth="1"/>
    <col min="5889" max="5889" width="4" style="485" customWidth="1"/>
    <col min="5890" max="5890" width="12.85546875" style="485" customWidth="1"/>
    <col min="5891" max="5891" width="14.7109375" style="485" customWidth="1"/>
    <col min="5892" max="5892" width="10" style="485" customWidth="1"/>
    <col min="5893" max="5893" width="6.28515625" style="485" customWidth="1"/>
    <col min="5894" max="5894" width="12.28515625" style="485" customWidth="1"/>
    <col min="5895" max="5895" width="8.5703125" style="485" customWidth="1"/>
    <col min="5896" max="5896" width="13.7109375" style="485" customWidth="1"/>
    <col min="5897" max="5897" width="11.5703125" style="485" customWidth="1"/>
    <col min="5898" max="5898" width="34.28515625" style="485" customWidth="1"/>
    <col min="5899" max="5899" width="24.28515625" style="485" customWidth="1"/>
    <col min="5900" max="5900" width="21.140625" style="485" customWidth="1"/>
    <col min="5901" max="5901" width="22.140625" style="485" customWidth="1"/>
    <col min="5902" max="5902" width="8" style="485" customWidth="1"/>
    <col min="5903" max="5903" width="17" style="485" customWidth="1"/>
    <col min="5904" max="5904" width="12.7109375" style="485" customWidth="1"/>
    <col min="5905" max="5905" width="24.5703125" style="485" customWidth="1"/>
    <col min="5906" max="5906" width="29" style="485" customWidth="1"/>
    <col min="5907" max="5907" width="17.7109375" style="485" customWidth="1"/>
    <col min="5908" max="5908" width="36.42578125" style="485" customWidth="1"/>
    <col min="5909" max="5909" width="21.85546875" style="485" customWidth="1"/>
    <col min="5910" max="5910" width="11.7109375" style="485" customWidth="1"/>
    <col min="5911" max="5911" width="26.28515625" style="485" customWidth="1"/>
    <col min="5912" max="5912" width="9" style="485" customWidth="1"/>
    <col min="5913" max="5913" width="6.28515625" style="485" customWidth="1"/>
    <col min="5914" max="5915" width="7.28515625" style="485" customWidth="1"/>
    <col min="5916" max="5916" width="8.42578125" style="485" customWidth="1"/>
    <col min="5917" max="5917" width="9.5703125" style="485" customWidth="1"/>
    <col min="5918" max="5918" width="6.28515625" style="485" customWidth="1"/>
    <col min="5919" max="5919" width="5.85546875" style="485" customWidth="1"/>
    <col min="5920" max="5921" width="4.42578125" style="485" customWidth="1"/>
    <col min="5922" max="5922" width="5" style="485" customWidth="1"/>
    <col min="5923" max="5923" width="5.85546875" style="485" customWidth="1"/>
    <col min="5924" max="5924" width="6.140625" style="485" customWidth="1"/>
    <col min="5925" max="5925" width="6.28515625" style="485" customWidth="1"/>
    <col min="5926" max="5926" width="11.140625" style="485" customWidth="1"/>
    <col min="5927" max="5927" width="14.140625" style="485" customWidth="1"/>
    <col min="5928" max="5928" width="19.85546875" style="485" customWidth="1"/>
    <col min="5929" max="5929" width="17" style="485" customWidth="1"/>
    <col min="5930" max="5930" width="20.85546875" style="485" customWidth="1"/>
    <col min="5931" max="6143" width="11.42578125" style="485"/>
    <col min="6144" max="6144" width="13.140625" style="485" customWidth="1"/>
    <col min="6145" max="6145" width="4" style="485" customWidth="1"/>
    <col min="6146" max="6146" width="12.85546875" style="485" customWidth="1"/>
    <col min="6147" max="6147" width="14.7109375" style="485" customWidth="1"/>
    <col min="6148" max="6148" width="10" style="485" customWidth="1"/>
    <col min="6149" max="6149" width="6.28515625" style="485" customWidth="1"/>
    <col min="6150" max="6150" width="12.28515625" style="485" customWidth="1"/>
    <col min="6151" max="6151" width="8.5703125" style="485" customWidth="1"/>
    <col min="6152" max="6152" width="13.7109375" style="485" customWidth="1"/>
    <col min="6153" max="6153" width="11.5703125" style="485" customWidth="1"/>
    <col min="6154" max="6154" width="34.28515625" style="485" customWidth="1"/>
    <col min="6155" max="6155" width="24.28515625" style="485" customWidth="1"/>
    <col min="6156" max="6156" width="21.140625" style="485" customWidth="1"/>
    <col min="6157" max="6157" width="22.140625" style="485" customWidth="1"/>
    <col min="6158" max="6158" width="8" style="485" customWidth="1"/>
    <col min="6159" max="6159" width="17" style="485" customWidth="1"/>
    <col min="6160" max="6160" width="12.7109375" style="485" customWidth="1"/>
    <col min="6161" max="6161" width="24.5703125" style="485" customWidth="1"/>
    <col min="6162" max="6162" width="29" style="485" customWidth="1"/>
    <col min="6163" max="6163" width="17.7109375" style="485" customWidth="1"/>
    <col min="6164" max="6164" width="36.42578125" style="485" customWidth="1"/>
    <col min="6165" max="6165" width="21.85546875" style="485" customWidth="1"/>
    <col min="6166" max="6166" width="11.7109375" style="485" customWidth="1"/>
    <col min="6167" max="6167" width="26.28515625" style="485" customWidth="1"/>
    <col min="6168" max="6168" width="9" style="485" customWidth="1"/>
    <col min="6169" max="6169" width="6.28515625" style="485" customWidth="1"/>
    <col min="6170" max="6171" width="7.28515625" style="485" customWidth="1"/>
    <col min="6172" max="6172" width="8.42578125" style="485" customWidth="1"/>
    <col min="6173" max="6173" width="9.5703125" style="485" customWidth="1"/>
    <col min="6174" max="6174" width="6.28515625" style="485" customWidth="1"/>
    <col min="6175" max="6175" width="5.85546875" style="485" customWidth="1"/>
    <col min="6176" max="6177" width="4.42578125" style="485" customWidth="1"/>
    <col min="6178" max="6178" width="5" style="485" customWidth="1"/>
    <col min="6179" max="6179" width="5.85546875" style="485" customWidth="1"/>
    <col min="6180" max="6180" width="6.140625" style="485" customWidth="1"/>
    <col min="6181" max="6181" width="6.28515625" style="485" customWidth="1"/>
    <col min="6182" max="6182" width="11.140625" style="485" customWidth="1"/>
    <col min="6183" max="6183" width="14.140625" style="485" customWidth="1"/>
    <col min="6184" max="6184" width="19.85546875" style="485" customWidth="1"/>
    <col min="6185" max="6185" width="17" style="485" customWidth="1"/>
    <col min="6186" max="6186" width="20.85546875" style="485" customWidth="1"/>
    <col min="6187" max="6399" width="11.42578125" style="485"/>
    <col min="6400" max="6400" width="13.140625" style="485" customWidth="1"/>
    <col min="6401" max="6401" width="4" style="485" customWidth="1"/>
    <col min="6402" max="6402" width="12.85546875" style="485" customWidth="1"/>
    <col min="6403" max="6403" width="14.7109375" style="485" customWidth="1"/>
    <col min="6404" max="6404" width="10" style="485" customWidth="1"/>
    <col min="6405" max="6405" width="6.28515625" style="485" customWidth="1"/>
    <col min="6406" max="6406" width="12.28515625" style="485" customWidth="1"/>
    <col min="6407" max="6407" width="8.5703125" style="485" customWidth="1"/>
    <col min="6408" max="6408" width="13.7109375" style="485" customWidth="1"/>
    <col min="6409" max="6409" width="11.5703125" style="485" customWidth="1"/>
    <col min="6410" max="6410" width="34.28515625" style="485" customWidth="1"/>
    <col min="6411" max="6411" width="24.28515625" style="485" customWidth="1"/>
    <col min="6412" max="6412" width="21.140625" style="485" customWidth="1"/>
    <col min="6413" max="6413" width="22.140625" style="485" customWidth="1"/>
    <col min="6414" max="6414" width="8" style="485" customWidth="1"/>
    <col min="6415" max="6415" width="17" style="485" customWidth="1"/>
    <col min="6416" max="6416" width="12.7109375" style="485" customWidth="1"/>
    <col min="6417" max="6417" width="24.5703125" style="485" customWidth="1"/>
    <col min="6418" max="6418" width="29" style="485" customWidth="1"/>
    <col min="6419" max="6419" width="17.7109375" style="485" customWidth="1"/>
    <col min="6420" max="6420" width="36.42578125" style="485" customWidth="1"/>
    <col min="6421" max="6421" width="21.85546875" style="485" customWidth="1"/>
    <col min="6422" max="6422" width="11.7109375" style="485" customWidth="1"/>
    <col min="6423" max="6423" width="26.28515625" style="485" customWidth="1"/>
    <col min="6424" max="6424" width="9" style="485" customWidth="1"/>
    <col min="6425" max="6425" width="6.28515625" style="485" customWidth="1"/>
    <col min="6426" max="6427" width="7.28515625" style="485" customWidth="1"/>
    <col min="6428" max="6428" width="8.42578125" style="485" customWidth="1"/>
    <col min="6429" max="6429" width="9.5703125" style="485" customWidth="1"/>
    <col min="6430" max="6430" width="6.28515625" style="485" customWidth="1"/>
    <col min="6431" max="6431" width="5.85546875" style="485" customWidth="1"/>
    <col min="6432" max="6433" width="4.42578125" style="485" customWidth="1"/>
    <col min="6434" max="6434" width="5" style="485" customWidth="1"/>
    <col min="6435" max="6435" width="5.85546875" style="485" customWidth="1"/>
    <col min="6436" max="6436" width="6.140625" style="485" customWidth="1"/>
    <col min="6437" max="6437" width="6.28515625" style="485" customWidth="1"/>
    <col min="6438" max="6438" width="11.140625" style="485" customWidth="1"/>
    <col min="6439" max="6439" width="14.140625" style="485" customWidth="1"/>
    <col min="6440" max="6440" width="19.85546875" style="485" customWidth="1"/>
    <col min="6441" max="6441" width="17" style="485" customWidth="1"/>
    <col min="6442" max="6442" width="20.85546875" style="485" customWidth="1"/>
    <col min="6443" max="6655" width="11.42578125" style="485"/>
    <col min="6656" max="6656" width="13.140625" style="485" customWidth="1"/>
    <col min="6657" max="6657" width="4" style="485" customWidth="1"/>
    <col min="6658" max="6658" width="12.85546875" style="485" customWidth="1"/>
    <col min="6659" max="6659" width="14.7109375" style="485" customWidth="1"/>
    <col min="6660" max="6660" width="10" style="485" customWidth="1"/>
    <col min="6661" max="6661" width="6.28515625" style="485" customWidth="1"/>
    <col min="6662" max="6662" width="12.28515625" style="485" customWidth="1"/>
    <col min="6663" max="6663" width="8.5703125" style="485" customWidth="1"/>
    <col min="6664" max="6664" width="13.7109375" style="485" customWidth="1"/>
    <col min="6665" max="6665" width="11.5703125" style="485" customWidth="1"/>
    <col min="6666" max="6666" width="34.28515625" style="485" customWidth="1"/>
    <col min="6667" max="6667" width="24.28515625" style="485" customWidth="1"/>
    <col min="6668" max="6668" width="21.140625" style="485" customWidth="1"/>
    <col min="6669" max="6669" width="22.140625" style="485" customWidth="1"/>
    <col min="6670" max="6670" width="8" style="485" customWidth="1"/>
    <col min="6671" max="6671" width="17" style="485" customWidth="1"/>
    <col min="6672" max="6672" width="12.7109375" style="485" customWidth="1"/>
    <col min="6673" max="6673" width="24.5703125" style="485" customWidth="1"/>
    <col min="6674" max="6674" width="29" style="485" customWidth="1"/>
    <col min="6675" max="6675" width="17.7109375" style="485" customWidth="1"/>
    <col min="6676" max="6676" width="36.42578125" style="485" customWidth="1"/>
    <col min="6677" max="6677" width="21.85546875" style="485" customWidth="1"/>
    <col min="6678" max="6678" width="11.7109375" style="485" customWidth="1"/>
    <col min="6679" max="6679" width="26.28515625" style="485" customWidth="1"/>
    <col min="6680" max="6680" width="9" style="485" customWidth="1"/>
    <col min="6681" max="6681" width="6.28515625" style="485" customWidth="1"/>
    <col min="6682" max="6683" width="7.28515625" style="485" customWidth="1"/>
    <col min="6684" max="6684" width="8.42578125" style="485" customWidth="1"/>
    <col min="6685" max="6685" width="9.5703125" style="485" customWidth="1"/>
    <col min="6686" max="6686" width="6.28515625" style="485" customWidth="1"/>
    <col min="6687" max="6687" width="5.85546875" style="485" customWidth="1"/>
    <col min="6688" max="6689" width="4.42578125" style="485" customWidth="1"/>
    <col min="6690" max="6690" width="5" style="485" customWidth="1"/>
    <col min="6691" max="6691" width="5.85546875" style="485" customWidth="1"/>
    <col min="6692" max="6692" width="6.140625" style="485" customWidth="1"/>
    <col min="6693" max="6693" width="6.28515625" style="485" customWidth="1"/>
    <col min="6694" max="6694" width="11.140625" style="485" customWidth="1"/>
    <col min="6695" max="6695" width="14.140625" style="485" customWidth="1"/>
    <col min="6696" max="6696" width="19.85546875" style="485" customWidth="1"/>
    <col min="6697" max="6697" width="17" style="485" customWidth="1"/>
    <col min="6698" max="6698" width="20.85546875" style="485" customWidth="1"/>
    <col min="6699" max="6911" width="11.42578125" style="485"/>
    <col min="6912" max="6912" width="13.140625" style="485" customWidth="1"/>
    <col min="6913" max="6913" width="4" style="485" customWidth="1"/>
    <col min="6914" max="6914" width="12.85546875" style="485" customWidth="1"/>
    <col min="6915" max="6915" width="14.7109375" style="485" customWidth="1"/>
    <col min="6916" max="6916" width="10" style="485" customWidth="1"/>
    <col min="6917" max="6917" width="6.28515625" style="485" customWidth="1"/>
    <col min="6918" max="6918" width="12.28515625" style="485" customWidth="1"/>
    <col min="6919" max="6919" width="8.5703125" style="485" customWidth="1"/>
    <col min="6920" max="6920" width="13.7109375" style="485" customWidth="1"/>
    <col min="6921" max="6921" width="11.5703125" style="485" customWidth="1"/>
    <col min="6922" max="6922" width="34.28515625" style="485" customWidth="1"/>
    <col min="6923" max="6923" width="24.28515625" style="485" customWidth="1"/>
    <col min="6924" max="6924" width="21.140625" style="485" customWidth="1"/>
    <col min="6925" max="6925" width="22.140625" style="485" customWidth="1"/>
    <col min="6926" max="6926" width="8" style="485" customWidth="1"/>
    <col min="6927" max="6927" width="17" style="485" customWidth="1"/>
    <col min="6928" max="6928" width="12.7109375" style="485" customWidth="1"/>
    <col min="6929" max="6929" width="24.5703125" style="485" customWidth="1"/>
    <col min="6930" max="6930" width="29" style="485" customWidth="1"/>
    <col min="6931" max="6931" width="17.7109375" style="485" customWidth="1"/>
    <col min="6932" max="6932" width="36.42578125" style="485" customWidth="1"/>
    <col min="6933" max="6933" width="21.85546875" style="485" customWidth="1"/>
    <col min="6934" max="6934" width="11.7109375" style="485" customWidth="1"/>
    <col min="6935" max="6935" width="26.28515625" style="485" customWidth="1"/>
    <col min="6936" max="6936" width="9" style="485" customWidth="1"/>
    <col min="6937" max="6937" width="6.28515625" style="485" customWidth="1"/>
    <col min="6938" max="6939" width="7.28515625" style="485" customWidth="1"/>
    <col min="6940" max="6940" width="8.42578125" style="485" customWidth="1"/>
    <col min="6941" max="6941" width="9.5703125" style="485" customWidth="1"/>
    <col min="6942" max="6942" width="6.28515625" style="485" customWidth="1"/>
    <col min="6943" max="6943" width="5.85546875" style="485" customWidth="1"/>
    <col min="6944" max="6945" width="4.42578125" style="485" customWidth="1"/>
    <col min="6946" max="6946" width="5" style="485" customWidth="1"/>
    <col min="6947" max="6947" width="5.85546875" style="485" customWidth="1"/>
    <col min="6948" max="6948" width="6.140625" style="485" customWidth="1"/>
    <col min="6949" max="6949" width="6.28515625" style="485" customWidth="1"/>
    <col min="6950" max="6950" width="11.140625" style="485" customWidth="1"/>
    <col min="6951" max="6951" width="14.140625" style="485" customWidth="1"/>
    <col min="6952" max="6952" width="19.85546875" style="485" customWidth="1"/>
    <col min="6953" max="6953" width="17" style="485" customWidth="1"/>
    <col min="6954" max="6954" width="20.85546875" style="485" customWidth="1"/>
    <col min="6955" max="7167" width="11.42578125" style="485"/>
    <col min="7168" max="7168" width="13.140625" style="485" customWidth="1"/>
    <col min="7169" max="7169" width="4" style="485" customWidth="1"/>
    <col min="7170" max="7170" width="12.85546875" style="485" customWidth="1"/>
    <col min="7171" max="7171" width="14.7109375" style="485" customWidth="1"/>
    <col min="7172" max="7172" width="10" style="485" customWidth="1"/>
    <col min="7173" max="7173" width="6.28515625" style="485" customWidth="1"/>
    <col min="7174" max="7174" width="12.28515625" style="485" customWidth="1"/>
    <col min="7175" max="7175" width="8.5703125" style="485" customWidth="1"/>
    <col min="7176" max="7176" width="13.7109375" style="485" customWidth="1"/>
    <col min="7177" max="7177" width="11.5703125" style="485" customWidth="1"/>
    <col min="7178" max="7178" width="34.28515625" style="485" customWidth="1"/>
    <col min="7179" max="7179" width="24.28515625" style="485" customWidth="1"/>
    <col min="7180" max="7180" width="21.140625" style="485" customWidth="1"/>
    <col min="7181" max="7181" width="22.140625" style="485" customWidth="1"/>
    <col min="7182" max="7182" width="8" style="485" customWidth="1"/>
    <col min="7183" max="7183" width="17" style="485" customWidth="1"/>
    <col min="7184" max="7184" width="12.7109375" style="485" customWidth="1"/>
    <col min="7185" max="7185" width="24.5703125" style="485" customWidth="1"/>
    <col min="7186" max="7186" width="29" style="485" customWidth="1"/>
    <col min="7187" max="7187" width="17.7109375" style="485" customWidth="1"/>
    <col min="7188" max="7188" width="36.42578125" style="485" customWidth="1"/>
    <col min="7189" max="7189" width="21.85546875" style="485" customWidth="1"/>
    <col min="7190" max="7190" width="11.7109375" style="485" customWidth="1"/>
    <col min="7191" max="7191" width="26.28515625" style="485" customWidth="1"/>
    <col min="7192" max="7192" width="9" style="485" customWidth="1"/>
    <col min="7193" max="7193" width="6.28515625" style="485" customWidth="1"/>
    <col min="7194" max="7195" width="7.28515625" style="485" customWidth="1"/>
    <col min="7196" max="7196" width="8.42578125" style="485" customWidth="1"/>
    <col min="7197" max="7197" width="9.5703125" style="485" customWidth="1"/>
    <col min="7198" max="7198" width="6.28515625" style="485" customWidth="1"/>
    <col min="7199" max="7199" width="5.85546875" style="485" customWidth="1"/>
    <col min="7200" max="7201" width="4.42578125" style="485" customWidth="1"/>
    <col min="7202" max="7202" width="5" style="485" customWidth="1"/>
    <col min="7203" max="7203" width="5.85546875" style="485" customWidth="1"/>
    <col min="7204" max="7204" width="6.140625" style="485" customWidth="1"/>
    <col min="7205" max="7205" width="6.28515625" style="485" customWidth="1"/>
    <col min="7206" max="7206" width="11.140625" style="485" customWidth="1"/>
    <col min="7207" max="7207" width="14.140625" style="485" customWidth="1"/>
    <col min="7208" max="7208" width="19.85546875" style="485" customWidth="1"/>
    <col min="7209" max="7209" width="17" style="485" customWidth="1"/>
    <col min="7210" max="7210" width="20.85546875" style="485" customWidth="1"/>
    <col min="7211" max="7423" width="11.42578125" style="485"/>
    <col min="7424" max="7424" width="13.140625" style="485" customWidth="1"/>
    <col min="7425" max="7425" width="4" style="485" customWidth="1"/>
    <col min="7426" max="7426" width="12.85546875" style="485" customWidth="1"/>
    <col min="7427" max="7427" width="14.7109375" style="485" customWidth="1"/>
    <col min="7428" max="7428" width="10" style="485" customWidth="1"/>
    <col min="7429" max="7429" width="6.28515625" style="485" customWidth="1"/>
    <col min="7430" max="7430" width="12.28515625" style="485" customWidth="1"/>
    <col min="7431" max="7431" width="8.5703125" style="485" customWidth="1"/>
    <col min="7432" max="7432" width="13.7109375" style="485" customWidth="1"/>
    <col min="7433" max="7433" width="11.5703125" style="485" customWidth="1"/>
    <col min="7434" max="7434" width="34.28515625" style="485" customWidth="1"/>
    <col min="7435" max="7435" width="24.28515625" style="485" customWidth="1"/>
    <col min="7436" max="7436" width="21.140625" style="485" customWidth="1"/>
    <col min="7437" max="7437" width="22.140625" style="485" customWidth="1"/>
    <col min="7438" max="7438" width="8" style="485" customWidth="1"/>
    <col min="7439" max="7439" width="17" style="485" customWidth="1"/>
    <col min="7440" max="7440" width="12.7109375" style="485" customWidth="1"/>
    <col min="7441" max="7441" width="24.5703125" style="485" customWidth="1"/>
    <col min="7442" max="7442" width="29" style="485" customWidth="1"/>
    <col min="7443" max="7443" width="17.7109375" style="485" customWidth="1"/>
    <col min="7444" max="7444" width="36.42578125" style="485" customWidth="1"/>
    <col min="7445" max="7445" width="21.85546875" style="485" customWidth="1"/>
    <col min="7446" max="7446" width="11.7109375" style="485" customWidth="1"/>
    <col min="7447" max="7447" width="26.28515625" style="485" customWidth="1"/>
    <col min="7448" max="7448" width="9" style="485" customWidth="1"/>
    <col min="7449" max="7449" width="6.28515625" style="485" customWidth="1"/>
    <col min="7450" max="7451" width="7.28515625" style="485" customWidth="1"/>
    <col min="7452" max="7452" width="8.42578125" style="485" customWidth="1"/>
    <col min="7453" max="7453" width="9.5703125" style="485" customWidth="1"/>
    <col min="7454" max="7454" width="6.28515625" style="485" customWidth="1"/>
    <col min="7455" max="7455" width="5.85546875" style="485" customWidth="1"/>
    <col min="7456" max="7457" width="4.42578125" style="485" customWidth="1"/>
    <col min="7458" max="7458" width="5" style="485" customWidth="1"/>
    <col min="7459" max="7459" width="5.85546875" style="485" customWidth="1"/>
    <col min="7460" max="7460" width="6.140625" style="485" customWidth="1"/>
    <col min="7461" max="7461" width="6.28515625" style="485" customWidth="1"/>
    <col min="7462" max="7462" width="11.140625" style="485" customWidth="1"/>
    <col min="7463" max="7463" width="14.140625" style="485" customWidth="1"/>
    <col min="7464" max="7464" width="19.85546875" style="485" customWidth="1"/>
    <col min="7465" max="7465" width="17" style="485" customWidth="1"/>
    <col min="7466" max="7466" width="20.85546875" style="485" customWidth="1"/>
    <col min="7467" max="7679" width="11.42578125" style="485"/>
    <col min="7680" max="7680" width="13.140625" style="485" customWidth="1"/>
    <col min="7681" max="7681" width="4" style="485" customWidth="1"/>
    <col min="7682" max="7682" width="12.85546875" style="485" customWidth="1"/>
    <col min="7683" max="7683" width="14.7109375" style="485" customWidth="1"/>
    <col min="7684" max="7684" width="10" style="485" customWidth="1"/>
    <col min="7685" max="7685" width="6.28515625" style="485" customWidth="1"/>
    <col min="7686" max="7686" width="12.28515625" style="485" customWidth="1"/>
    <col min="7687" max="7687" width="8.5703125" style="485" customWidth="1"/>
    <col min="7688" max="7688" width="13.7109375" style="485" customWidth="1"/>
    <col min="7689" max="7689" width="11.5703125" style="485" customWidth="1"/>
    <col min="7690" max="7690" width="34.28515625" style="485" customWidth="1"/>
    <col min="7691" max="7691" width="24.28515625" style="485" customWidth="1"/>
    <col min="7692" max="7692" width="21.140625" style="485" customWidth="1"/>
    <col min="7693" max="7693" width="22.140625" style="485" customWidth="1"/>
    <col min="7694" max="7694" width="8" style="485" customWidth="1"/>
    <col min="7695" max="7695" width="17" style="485" customWidth="1"/>
    <col min="7696" max="7696" width="12.7109375" style="485" customWidth="1"/>
    <col min="7697" max="7697" width="24.5703125" style="485" customWidth="1"/>
    <col min="7698" max="7698" width="29" style="485" customWidth="1"/>
    <col min="7699" max="7699" width="17.7109375" style="485" customWidth="1"/>
    <col min="7700" max="7700" width="36.42578125" style="485" customWidth="1"/>
    <col min="7701" max="7701" width="21.85546875" style="485" customWidth="1"/>
    <col min="7702" max="7702" width="11.7109375" style="485" customWidth="1"/>
    <col min="7703" max="7703" width="26.28515625" style="485" customWidth="1"/>
    <col min="7704" max="7704" width="9" style="485" customWidth="1"/>
    <col min="7705" max="7705" width="6.28515625" style="485" customWidth="1"/>
    <col min="7706" max="7707" width="7.28515625" style="485" customWidth="1"/>
    <col min="7708" max="7708" width="8.42578125" style="485" customWidth="1"/>
    <col min="7709" max="7709" width="9.5703125" style="485" customWidth="1"/>
    <col min="7710" max="7710" width="6.28515625" style="485" customWidth="1"/>
    <col min="7711" max="7711" width="5.85546875" style="485" customWidth="1"/>
    <col min="7712" max="7713" width="4.42578125" style="485" customWidth="1"/>
    <col min="7714" max="7714" width="5" style="485" customWidth="1"/>
    <col min="7715" max="7715" width="5.85546875" style="485" customWidth="1"/>
    <col min="7716" max="7716" width="6.140625" style="485" customWidth="1"/>
    <col min="7717" max="7717" width="6.28515625" style="485" customWidth="1"/>
    <col min="7718" max="7718" width="11.140625" style="485" customWidth="1"/>
    <col min="7719" max="7719" width="14.140625" style="485" customWidth="1"/>
    <col min="7720" max="7720" width="19.85546875" style="485" customWidth="1"/>
    <col min="7721" max="7721" width="17" style="485" customWidth="1"/>
    <col min="7722" max="7722" width="20.85546875" style="485" customWidth="1"/>
    <col min="7723" max="7935" width="11.42578125" style="485"/>
    <col min="7936" max="7936" width="13.140625" style="485" customWidth="1"/>
    <col min="7937" max="7937" width="4" style="485" customWidth="1"/>
    <col min="7938" max="7938" width="12.85546875" style="485" customWidth="1"/>
    <col min="7939" max="7939" width="14.7109375" style="485" customWidth="1"/>
    <col min="7940" max="7940" width="10" style="485" customWidth="1"/>
    <col min="7941" max="7941" width="6.28515625" style="485" customWidth="1"/>
    <col min="7942" max="7942" width="12.28515625" style="485" customWidth="1"/>
    <col min="7943" max="7943" width="8.5703125" style="485" customWidth="1"/>
    <col min="7944" max="7944" width="13.7109375" style="485" customWidth="1"/>
    <col min="7945" max="7945" width="11.5703125" style="485" customWidth="1"/>
    <col min="7946" max="7946" width="34.28515625" style="485" customWidth="1"/>
    <col min="7947" max="7947" width="24.28515625" style="485" customWidth="1"/>
    <col min="7948" max="7948" width="21.140625" style="485" customWidth="1"/>
    <col min="7949" max="7949" width="22.140625" style="485" customWidth="1"/>
    <col min="7950" max="7950" width="8" style="485" customWidth="1"/>
    <col min="7951" max="7951" width="17" style="485" customWidth="1"/>
    <col min="7952" max="7952" width="12.7109375" style="485" customWidth="1"/>
    <col min="7953" max="7953" width="24.5703125" style="485" customWidth="1"/>
    <col min="7954" max="7954" width="29" style="485" customWidth="1"/>
    <col min="7955" max="7955" width="17.7109375" style="485" customWidth="1"/>
    <col min="7956" max="7956" width="36.42578125" style="485" customWidth="1"/>
    <col min="7957" max="7957" width="21.85546875" style="485" customWidth="1"/>
    <col min="7958" max="7958" width="11.7109375" style="485" customWidth="1"/>
    <col min="7959" max="7959" width="26.28515625" style="485" customWidth="1"/>
    <col min="7960" max="7960" width="9" style="485" customWidth="1"/>
    <col min="7961" max="7961" width="6.28515625" style="485" customWidth="1"/>
    <col min="7962" max="7963" width="7.28515625" style="485" customWidth="1"/>
    <col min="7964" max="7964" width="8.42578125" style="485" customWidth="1"/>
    <col min="7965" max="7965" width="9.5703125" style="485" customWidth="1"/>
    <col min="7966" max="7966" width="6.28515625" style="485" customWidth="1"/>
    <col min="7967" max="7967" width="5.85546875" style="485" customWidth="1"/>
    <col min="7968" max="7969" width="4.42578125" style="485" customWidth="1"/>
    <col min="7970" max="7970" width="5" style="485" customWidth="1"/>
    <col min="7971" max="7971" width="5.85546875" style="485" customWidth="1"/>
    <col min="7972" max="7972" width="6.140625" style="485" customWidth="1"/>
    <col min="7973" max="7973" width="6.28515625" style="485" customWidth="1"/>
    <col min="7974" max="7974" width="11.140625" style="485" customWidth="1"/>
    <col min="7975" max="7975" width="14.140625" style="485" customWidth="1"/>
    <col min="7976" max="7976" width="19.85546875" style="485" customWidth="1"/>
    <col min="7977" max="7977" width="17" style="485" customWidth="1"/>
    <col min="7978" max="7978" width="20.85546875" style="485" customWidth="1"/>
    <col min="7979" max="8191" width="11.42578125" style="485"/>
    <col min="8192" max="8192" width="13.140625" style="485" customWidth="1"/>
    <col min="8193" max="8193" width="4" style="485" customWidth="1"/>
    <col min="8194" max="8194" width="12.85546875" style="485" customWidth="1"/>
    <col min="8195" max="8195" width="14.7109375" style="485" customWidth="1"/>
    <col min="8196" max="8196" width="10" style="485" customWidth="1"/>
    <col min="8197" max="8197" width="6.28515625" style="485" customWidth="1"/>
    <col min="8198" max="8198" width="12.28515625" style="485" customWidth="1"/>
    <col min="8199" max="8199" width="8.5703125" style="485" customWidth="1"/>
    <col min="8200" max="8200" width="13.7109375" style="485" customWidth="1"/>
    <col min="8201" max="8201" width="11.5703125" style="485" customWidth="1"/>
    <col min="8202" max="8202" width="34.28515625" style="485" customWidth="1"/>
    <col min="8203" max="8203" width="24.28515625" style="485" customWidth="1"/>
    <col min="8204" max="8204" width="21.140625" style="485" customWidth="1"/>
    <col min="8205" max="8205" width="22.140625" style="485" customWidth="1"/>
    <col min="8206" max="8206" width="8" style="485" customWidth="1"/>
    <col min="8207" max="8207" width="17" style="485" customWidth="1"/>
    <col min="8208" max="8208" width="12.7109375" style="485" customWidth="1"/>
    <col min="8209" max="8209" width="24.5703125" style="485" customWidth="1"/>
    <col min="8210" max="8210" width="29" style="485" customWidth="1"/>
    <col min="8211" max="8211" width="17.7109375" style="485" customWidth="1"/>
    <col min="8212" max="8212" width="36.42578125" style="485" customWidth="1"/>
    <col min="8213" max="8213" width="21.85546875" style="485" customWidth="1"/>
    <col min="8214" max="8214" width="11.7109375" style="485" customWidth="1"/>
    <col min="8215" max="8215" width="26.28515625" style="485" customWidth="1"/>
    <col min="8216" max="8216" width="9" style="485" customWidth="1"/>
    <col min="8217" max="8217" width="6.28515625" style="485" customWidth="1"/>
    <col min="8218" max="8219" width="7.28515625" style="485" customWidth="1"/>
    <col min="8220" max="8220" width="8.42578125" style="485" customWidth="1"/>
    <col min="8221" max="8221" width="9.5703125" style="485" customWidth="1"/>
    <col min="8222" max="8222" width="6.28515625" style="485" customWidth="1"/>
    <col min="8223" max="8223" width="5.85546875" style="485" customWidth="1"/>
    <col min="8224" max="8225" width="4.42578125" style="485" customWidth="1"/>
    <col min="8226" max="8226" width="5" style="485" customWidth="1"/>
    <col min="8227" max="8227" width="5.85546875" style="485" customWidth="1"/>
    <col min="8228" max="8228" width="6.140625" style="485" customWidth="1"/>
    <col min="8229" max="8229" width="6.28515625" style="485" customWidth="1"/>
    <col min="8230" max="8230" width="11.140625" style="485" customWidth="1"/>
    <col min="8231" max="8231" width="14.140625" style="485" customWidth="1"/>
    <col min="8232" max="8232" width="19.85546875" style="485" customWidth="1"/>
    <col min="8233" max="8233" width="17" style="485" customWidth="1"/>
    <col min="8234" max="8234" width="20.85546875" style="485" customWidth="1"/>
    <col min="8235" max="8447" width="11.42578125" style="485"/>
    <col min="8448" max="8448" width="13.140625" style="485" customWidth="1"/>
    <col min="8449" max="8449" width="4" style="485" customWidth="1"/>
    <col min="8450" max="8450" width="12.85546875" style="485" customWidth="1"/>
    <col min="8451" max="8451" width="14.7109375" style="485" customWidth="1"/>
    <col min="8452" max="8452" width="10" style="485" customWidth="1"/>
    <col min="8453" max="8453" width="6.28515625" style="485" customWidth="1"/>
    <col min="8454" max="8454" width="12.28515625" style="485" customWidth="1"/>
    <col min="8455" max="8455" width="8.5703125" style="485" customWidth="1"/>
    <col min="8456" max="8456" width="13.7109375" style="485" customWidth="1"/>
    <col min="8457" max="8457" width="11.5703125" style="485" customWidth="1"/>
    <col min="8458" max="8458" width="34.28515625" style="485" customWidth="1"/>
    <col min="8459" max="8459" width="24.28515625" style="485" customWidth="1"/>
    <col min="8460" max="8460" width="21.140625" style="485" customWidth="1"/>
    <col min="8461" max="8461" width="22.140625" style="485" customWidth="1"/>
    <col min="8462" max="8462" width="8" style="485" customWidth="1"/>
    <col min="8463" max="8463" width="17" style="485" customWidth="1"/>
    <col min="8464" max="8464" width="12.7109375" style="485" customWidth="1"/>
    <col min="8465" max="8465" width="24.5703125" style="485" customWidth="1"/>
    <col min="8466" max="8466" width="29" style="485" customWidth="1"/>
    <col min="8467" max="8467" width="17.7109375" style="485" customWidth="1"/>
    <col min="8468" max="8468" width="36.42578125" style="485" customWidth="1"/>
    <col min="8469" max="8469" width="21.85546875" style="485" customWidth="1"/>
    <col min="8470" max="8470" width="11.7109375" style="485" customWidth="1"/>
    <col min="8471" max="8471" width="26.28515625" style="485" customWidth="1"/>
    <col min="8472" max="8472" width="9" style="485" customWidth="1"/>
    <col min="8473" max="8473" width="6.28515625" style="485" customWidth="1"/>
    <col min="8474" max="8475" width="7.28515625" style="485" customWidth="1"/>
    <col min="8476" max="8476" width="8.42578125" style="485" customWidth="1"/>
    <col min="8477" max="8477" width="9.5703125" style="485" customWidth="1"/>
    <col min="8478" max="8478" width="6.28515625" style="485" customWidth="1"/>
    <col min="8479" max="8479" width="5.85546875" style="485" customWidth="1"/>
    <col min="8480" max="8481" width="4.42578125" style="485" customWidth="1"/>
    <col min="8482" max="8482" width="5" style="485" customWidth="1"/>
    <col min="8483" max="8483" width="5.85546875" style="485" customWidth="1"/>
    <col min="8484" max="8484" width="6.140625" style="485" customWidth="1"/>
    <col min="8485" max="8485" width="6.28515625" style="485" customWidth="1"/>
    <col min="8486" max="8486" width="11.140625" style="485" customWidth="1"/>
    <col min="8487" max="8487" width="14.140625" style="485" customWidth="1"/>
    <col min="8488" max="8488" width="19.85546875" style="485" customWidth="1"/>
    <col min="8489" max="8489" width="17" style="485" customWidth="1"/>
    <col min="8490" max="8490" width="20.85546875" style="485" customWidth="1"/>
    <col min="8491" max="8703" width="11.42578125" style="485"/>
    <col min="8704" max="8704" width="13.140625" style="485" customWidth="1"/>
    <col min="8705" max="8705" width="4" style="485" customWidth="1"/>
    <col min="8706" max="8706" width="12.85546875" style="485" customWidth="1"/>
    <col min="8707" max="8707" width="14.7109375" style="485" customWidth="1"/>
    <col min="8708" max="8708" width="10" style="485" customWidth="1"/>
    <col min="8709" max="8709" width="6.28515625" style="485" customWidth="1"/>
    <col min="8710" max="8710" width="12.28515625" style="485" customWidth="1"/>
    <col min="8711" max="8711" width="8.5703125" style="485" customWidth="1"/>
    <col min="8712" max="8712" width="13.7109375" style="485" customWidth="1"/>
    <col min="8713" max="8713" width="11.5703125" style="485" customWidth="1"/>
    <col min="8714" max="8714" width="34.28515625" style="485" customWidth="1"/>
    <col min="8715" max="8715" width="24.28515625" style="485" customWidth="1"/>
    <col min="8716" max="8716" width="21.140625" style="485" customWidth="1"/>
    <col min="8717" max="8717" width="22.140625" style="485" customWidth="1"/>
    <col min="8718" max="8718" width="8" style="485" customWidth="1"/>
    <col min="8719" max="8719" width="17" style="485" customWidth="1"/>
    <col min="8720" max="8720" width="12.7109375" style="485" customWidth="1"/>
    <col min="8721" max="8721" width="24.5703125" style="485" customWidth="1"/>
    <col min="8722" max="8722" width="29" style="485" customWidth="1"/>
    <col min="8723" max="8723" width="17.7109375" style="485" customWidth="1"/>
    <col min="8724" max="8724" width="36.42578125" style="485" customWidth="1"/>
    <col min="8725" max="8725" width="21.85546875" style="485" customWidth="1"/>
    <col min="8726" max="8726" width="11.7109375" style="485" customWidth="1"/>
    <col min="8727" max="8727" width="26.28515625" style="485" customWidth="1"/>
    <col min="8728" max="8728" width="9" style="485" customWidth="1"/>
    <col min="8729" max="8729" width="6.28515625" style="485" customWidth="1"/>
    <col min="8730" max="8731" width="7.28515625" style="485" customWidth="1"/>
    <col min="8732" max="8732" width="8.42578125" style="485" customWidth="1"/>
    <col min="8733" max="8733" width="9.5703125" style="485" customWidth="1"/>
    <col min="8734" max="8734" width="6.28515625" style="485" customWidth="1"/>
    <col min="8735" max="8735" width="5.85546875" style="485" customWidth="1"/>
    <col min="8736" max="8737" width="4.42578125" style="485" customWidth="1"/>
    <col min="8738" max="8738" width="5" style="485" customWidth="1"/>
    <col min="8739" max="8739" width="5.85546875" style="485" customWidth="1"/>
    <col min="8740" max="8740" width="6.140625" style="485" customWidth="1"/>
    <col min="8741" max="8741" width="6.28515625" style="485" customWidth="1"/>
    <col min="8742" max="8742" width="11.140625" style="485" customWidth="1"/>
    <col min="8743" max="8743" width="14.140625" style="485" customWidth="1"/>
    <col min="8744" max="8744" width="19.85546875" style="485" customWidth="1"/>
    <col min="8745" max="8745" width="17" style="485" customWidth="1"/>
    <col min="8746" max="8746" width="20.85546875" style="485" customWidth="1"/>
    <col min="8747" max="8959" width="11.42578125" style="485"/>
    <col min="8960" max="8960" width="13.140625" style="485" customWidth="1"/>
    <col min="8961" max="8961" width="4" style="485" customWidth="1"/>
    <col min="8962" max="8962" width="12.85546875" style="485" customWidth="1"/>
    <col min="8963" max="8963" width="14.7109375" style="485" customWidth="1"/>
    <col min="8964" max="8964" width="10" style="485" customWidth="1"/>
    <col min="8965" max="8965" width="6.28515625" style="485" customWidth="1"/>
    <col min="8966" max="8966" width="12.28515625" style="485" customWidth="1"/>
    <col min="8967" max="8967" width="8.5703125" style="485" customWidth="1"/>
    <col min="8968" max="8968" width="13.7109375" style="485" customWidth="1"/>
    <col min="8969" max="8969" width="11.5703125" style="485" customWidth="1"/>
    <col min="8970" max="8970" width="34.28515625" style="485" customWidth="1"/>
    <col min="8971" max="8971" width="24.28515625" style="485" customWidth="1"/>
    <col min="8972" max="8972" width="21.140625" style="485" customWidth="1"/>
    <col min="8973" max="8973" width="22.140625" style="485" customWidth="1"/>
    <col min="8974" max="8974" width="8" style="485" customWidth="1"/>
    <col min="8975" max="8975" width="17" style="485" customWidth="1"/>
    <col min="8976" max="8976" width="12.7109375" style="485" customWidth="1"/>
    <col min="8977" max="8977" width="24.5703125" style="485" customWidth="1"/>
    <col min="8978" max="8978" width="29" style="485" customWidth="1"/>
    <col min="8979" max="8979" width="17.7109375" style="485" customWidth="1"/>
    <col min="8980" max="8980" width="36.42578125" style="485" customWidth="1"/>
    <col min="8981" max="8981" width="21.85546875" style="485" customWidth="1"/>
    <col min="8982" max="8982" width="11.7109375" style="485" customWidth="1"/>
    <col min="8983" max="8983" width="26.28515625" style="485" customWidth="1"/>
    <col min="8984" max="8984" width="9" style="485" customWidth="1"/>
    <col min="8985" max="8985" width="6.28515625" style="485" customWidth="1"/>
    <col min="8986" max="8987" width="7.28515625" style="485" customWidth="1"/>
    <col min="8988" max="8988" width="8.42578125" style="485" customWidth="1"/>
    <col min="8989" max="8989" width="9.5703125" style="485" customWidth="1"/>
    <col min="8990" max="8990" width="6.28515625" style="485" customWidth="1"/>
    <col min="8991" max="8991" width="5.85546875" style="485" customWidth="1"/>
    <col min="8992" max="8993" width="4.42578125" style="485" customWidth="1"/>
    <col min="8994" max="8994" width="5" style="485" customWidth="1"/>
    <col min="8995" max="8995" width="5.85546875" style="485" customWidth="1"/>
    <col min="8996" max="8996" width="6.140625" style="485" customWidth="1"/>
    <col min="8997" max="8997" width="6.28515625" style="485" customWidth="1"/>
    <col min="8998" max="8998" width="11.140625" style="485" customWidth="1"/>
    <col min="8999" max="8999" width="14.140625" style="485" customWidth="1"/>
    <col min="9000" max="9000" width="19.85546875" style="485" customWidth="1"/>
    <col min="9001" max="9001" width="17" style="485" customWidth="1"/>
    <col min="9002" max="9002" width="20.85546875" style="485" customWidth="1"/>
    <col min="9003" max="9215" width="11.42578125" style="485"/>
    <col min="9216" max="9216" width="13.140625" style="485" customWidth="1"/>
    <col min="9217" max="9217" width="4" style="485" customWidth="1"/>
    <col min="9218" max="9218" width="12.85546875" style="485" customWidth="1"/>
    <col min="9219" max="9219" width="14.7109375" style="485" customWidth="1"/>
    <col min="9220" max="9220" width="10" style="485" customWidth="1"/>
    <col min="9221" max="9221" width="6.28515625" style="485" customWidth="1"/>
    <col min="9222" max="9222" width="12.28515625" style="485" customWidth="1"/>
    <col min="9223" max="9223" width="8.5703125" style="485" customWidth="1"/>
    <col min="9224" max="9224" width="13.7109375" style="485" customWidth="1"/>
    <col min="9225" max="9225" width="11.5703125" style="485" customWidth="1"/>
    <col min="9226" max="9226" width="34.28515625" style="485" customWidth="1"/>
    <col min="9227" max="9227" width="24.28515625" style="485" customWidth="1"/>
    <col min="9228" max="9228" width="21.140625" style="485" customWidth="1"/>
    <col min="9229" max="9229" width="22.140625" style="485" customWidth="1"/>
    <col min="9230" max="9230" width="8" style="485" customWidth="1"/>
    <col min="9231" max="9231" width="17" style="485" customWidth="1"/>
    <col min="9232" max="9232" width="12.7109375" style="485" customWidth="1"/>
    <col min="9233" max="9233" width="24.5703125" style="485" customWidth="1"/>
    <col min="9234" max="9234" width="29" style="485" customWidth="1"/>
    <col min="9235" max="9235" width="17.7109375" style="485" customWidth="1"/>
    <col min="9236" max="9236" width="36.42578125" style="485" customWidth="1"/>
    <col min="9237" max="9237" width="21.85546875" style="485" customWidth="1"/>
    <col min="9238" max="9238" width="11.7109375" style="485" customWidth="1"/>
    <col min="9239" max="9239" width="26.28515625" style="485" customWidth="1"/>
    <col min="9240" max="9240" width="9" style="485" customWidth="1"/>
    <col min="9241" max="9241" width="6.28515625" style="485" customWidth="1"/>
    <col min="9242" max="9243" width="7.28515625" style="485" customWidth="1"/>
    <col min="9244" max="9244" width="8.42578125" style="485" customWidth="1"/>
    <col min="9245" max="9245" width="9.5703125" style="485" customWidth="1"/>
    <col min="9246" max="9246" width="6.28515625" style="485" customWidth="1"/>
    <col min="9247" max="9247" width="5.85546875" style="485" customWidth="1"/>
    <col min="9248" max="9249" width="4.42578125" style="485" customWidth="1"/>
    <col min="9250" max="9250" width="5" style="485" customWidth="1"/>
    <col min="9251" max="9251" width="5.85546875" style="485" customWidth="1"/>
    <col min="9252" max="9252" width="6.140625" style="485" customWidth="1"/>
    <col min="9253" max="9253" width="6.28515625" style="485" customWidth="1"/>
    <col min="9254" max="9254" width="11.140625" style="485" customWidth="1"/>
    <col min="9255" max="9255" width="14.140625" style="485" customWidth="1"/>
    <col min="9256" max="9256" width="19.85546875" style="485" customWidth="1"/>
    <col min="9257" max="9257" width="17" style="485" customWidth="1"/>
    <col min="9258" max="9258" width="20.85546875" style="485" customWidth="1"/>
    <col min="9259" max="9471" width="11.42578125" style="485"/>
    <col min="9472" max="9472" width="13.140625" style="485" customWidth="1"/>
    <col min="9473" max="9473" width="4" style="485" customWidth="1"/>
    <col min="9474" max="9474" width="12.85546875" style="485" customWidth="1"/>
    <col min="9475" max="9475" width="14.7109375" style="485" customWidth="1"/>
    <col min="9476" max="9476" width="10" style="485" customWidth="1"/>
    <col min="9477" max="9477" width="6.28515625" style="485" customWidth="1"/>
    <col min="9478" max="9478" width="12.28515625" style="485" customWidth="1"/>
    <col min="9479" max="9479" width="8.5703125" style="485" customWidth="1"/>
    <col min="9480" max="9480" width="13.7109375" style="485" customWidth="1"/>
    <col min="9481" max="9481" width="11.5703125" style="485" customWidth="1"/>
    <col min="9482" max="9482" width="34.28515625" style="485" customWidth="1"/>
    <col min="9483" max="9483" width="24.28515625" style="485" customWidth="1"/>
    <col min="9484" max="9484" width="21.140625" style="485" customWidth="1"/>
    <col min="9485" max="9485" width="22.140625" style="485" customWidth="1"/>
    <col min="9486" max="9486" width="8" style="485" customWidth="1"/>
    <col min="9487" max="9487" width="17" style="485" customWidth="1"/>
    <col min="9488" max="9488" width="12.7109375" style="485" customWidth="1"/>
    <col min="9489" max="9489" width="24.5703125" style="485" customWidth="1"/>
    <col min="9490" max="9490" width="29" style="485" customWidth="1"/>
    <col min="9491" max="9491" width="17.7109375" style="485" customWidth="1"/>
    <col min="9492" max="9492" width="36.42578125" style="485" customWidth="1"/>
    <col min="9493" max="9493" width="21.85546875" style="485" customWidth="1"/>
    <col min="9494" max="9494" width="11.7109375" style="485" customWidth="1"/>
    <col min="9495" max="9495" width="26.28515625" style="485" customWidth="1"/>
    <col min="9496" max="9496" width="9" style="485" customWidth="1"/>
    <col min="9497" max="9497" width="6.28515625" style="485" customWidth="1"/>
    <col min="9498" max="9499" width="7.28515625" style="485" customWidth="1"/>
    <col min="9500" max="9500" width="8.42578125" style="485" customWidth="1"/>
    <col min="9501" max="9501" width="9.5703125" style="485" customWidth="1"/>
    <col min="9502" max="9502" width="6.28515625" style="485" customWidth="1"/>
    <col min="9503" max="9503" width="5.85546875" style="485" customWidth="1"/>
    <col min="9504" max="9505" width="4.42578125" style="485" customWidth="1"/>
    <col min="9506" max="9506" width="5" style="485" customWidth="1"/>
    <col min="9507" max="9507" width="5.85546875" style="485" customWidth="1"/>
    <col min="9508" max="9508" width="6.140625" style="485" customWidth="1"/>
    <col min="9509" max="9509" width="6.28515625" style="485" customWidth="1"/>
    <col min="9510" max="9510" width="11.140625" style="485" customWidth="1"/>
    <col min="9511" max="9511" width="14.140625" style="485" customWidth="1"/>
    <col min="9512" max="9512" width="19.85546875" style="485" customWidth="1"/>
    <col min="9513" max="9513" width="17" style="485" customWidth="1"/>
    <col min="9514" max="9514" width="20.85546875" style="485" customWidth="1"/>
    <col min="9515" max="9727" width="11.42578125" style="485"/>
    <col min="9728" max="9728" width="13.140625" style="485" customWidth="1"/>
    <col min="9729" max="9729" width="4" style="485" customWidth="1"/>
    <col min="9730" max="9730" width="12.85546875" style="485" customWidth="1"/>
    <col min="9731" max="9731" width="14.7109375" style="485" customWidth="1"/>
    <col min="9732" max="9732" width="10" style="485" customWidth="1"/>
    <col min="9733" max="9733" width="6.28515625" style="485" customWidth="1"/>
    <col min="9734" max="9734" width="12.28515625" style="485" customWidth="1"/>
    <col min="9735" max="9735" width="8.5703125" style="485" customWidth="1"/>
    <col min="9736" max="9736" width="13.7109375" style="485" customWidth="1"/>
    <col min="9737" max="9737" width="11.5703125" style="485" customWidth="1"/>
    <col min="9738" max="9738" width="34.28515625" style="485" customWidth="1"/>
    <col min="9739" max="9739" width="24.28515625" style="485" customWidth="1"/>
    <col min="9740" max="9740" width="21.140625" style="485" customWidth="1"/>
    <col min="9741" max="9741" width="22.140625" style="485" customWidth="1"/>
    <col min="9742" max="9742" width="8" style="485" customWidth="1"/>
    <col min="9743" max="9743" width="17" style="485" customWidth="1"/>
    <col min="9744" max="9744" width="12.7109375" style="485" customWidth="1"/>
    <col min="9745" max="9745" width="24.5703125" style="485" customWidth="1"/>
    <col min="9746" max="9746" width="29" style="485" customWidth="1"/>
    <col min="9747" max="9747" width="17.7109375" style="485" customWidth="1"/>
    <col min="9748" max="9748" width="36.42578125" style="485" customWidth="1"/>
    <col min="9749" max="9749" width="21.85546875" style="485" customWidth="1"/>
    <col min="9750" max="9750" width="11.7109375" style="485" customWidth="1"/>
    <col min="9751" max="9751" width="26.28515625" style="485" customWidth="1"/>
    <col min="9752" max="9752" width="9" style="485" customWidth="1"/>
    <col min="9753" max="9753" width="6.28515625" style="485" customWidth="1"/>
    <col min="9754" max="9755" width="7.28515625" style="485" customWidth="1"/>
    <col min="9756" max="9756" width="8.42578125" style="485" customWidth="1"/>
    <col min="9757" max="9757" width="9.5703125" style="485" customWidth="1"/>
    <col min="9758" max="9758" width="6.28515625" style="485" customWidth="1"/>
    <col min="9759" max="9759" width="5.85546875" style="485" customWidth="1"/>
    <col min="9760" max="9761" width="4.42578125" style="485" customWidth="1"/>
    <col min="9762" max="9762" width="5" style="485" customWidth="1"/>
    <col min="9763" max="9763" width="5.85546875" style="485" customWidth="1"/>
    <col min="9764" max="9764" width="6.140625" style="485" customWidth="1"/>
    <col min="9765" max="9765" width="6.28515625" style="485" customWidth="1"/>
    <col min="9766" max="9766" width="11.140625" style="485" customWidth="1"/>
    <col min="9767" max="9767" width="14.140625" style="485" customWidth="1"/>
    <col min="9768" max="9768" width="19.85546875" style="485" customWidth="1"/>
    <col min="9769" max="9769" width="17" style="485" customWidth="1"/>
    <col min="9770" max="9770" width="20.85546875" style="485" customWidth="1"/>
    <col min="9771" max="9983" width="11.42578125" style="485"/>
    <col min="9984" max="9984" width="13.140625" style="485" customWidth="1"/>
    <col min="9985" max="9985" width="4" style="485" customWidth="1"/>
    <col min="9986" max="9986" width="12.85546875" style="485" customWidth="1"/>
    <col min="9987" max="9987" width="14.7109375" style="485" customWidth="1"/>
    <col min="9988" max="9988" width="10" style="485" customWidth="1"/>
    <col min="9989" max="9989" width="6.28515625" style="485" customWidth="1"/>
    <col min="9990" max="9990" width="12.28515625" style="485" customWidth="1"/>
    <col min="9991" max="9991" width="8.5703125" style="485" customWidth="1"/>
    <col min="9992" max="9992" width="13.7109375" style="485" customWidth="1"/>
    <col min="9993" max="9993" width="11.5703125" style="485" customWidth="1"/>
    <col min="9994" max="9994" width="34.28515625" style="485" customWidth="1"/>
    <col min="9995" max="9995" width="24.28515625" style="485" customWidth="1"/>
    <col min="9996" max="9996" width="21.140625" style="485" customWidth="1"/>
    <col min="9997" max="9997" width="22.140625" style="485" customWidth="1"/>
    <col min="9998" max="9998" width="8" style="485" customWidth="1"/>
    <col min="9999" max="9999" width="17" style="485" customWidth="1"/>
    <col min="10000" max="10000" width="12.7109375" style="485" customWidth="1"/>
    <col min="10001" max="10001" width="24.5703125" style="485" customWidth="1"/>
    <col min="10002" max="10002" width="29" style="485" customWidth="1"/>
    <col min="10003" max="10003" width="17.7109375" style="485" customWidth="1"/>
    <col min="10004" max="10004" width="36.42578125" style="485" customWidth="1"/>
    <col min="10005" max="10005" width="21.85546875" style="485" customWidth="1"/>
    <col min="10006" max="10006" width="11.7109375" style="485" customWidth="1"/>
    <col min="10007" max="10007" width="26.28515625" style="485" customWidth="1"/>
    <col min="10008" max="10008" width="9" style="485" customWidth="1"/>
    <col min="10009" max="10009" width="6.28515625" style="485" customWidth="1"/>
    <col min="10010" max="10011" width="7.28515625" style="485" customWidth="1"/>
    <col min="10012" max="10012" width="8.42578125" style="485" customWidth="1"/>
    <col min="10013" max="10013" width="9.5703125" style="485" customWidth="1"/>
    <col min="10014" max="10014" width="6.28515625" style="485" customWidth="1"/>
    <col min="10015" max="10015" width="5.85546875" style="485" customWidth="1"/>
    <col min="10016" max="10017" width="4.42578125" style="485" customWidth="1"/>
    <col min="10018" max="10018" width="5" style="485" customWidth="1"/>
    <col min="10019" max="10019" width="5.85546875" style="485" customWidth="1"/>
    <col min="10020" max="10020" width="6.140625" style="485" customWidth="1"/>
    <col min="10021" max="10021" width="6.28515625" style="485" customWidth="1"/>
    <col min="10022" max="10022" width="11.140625" style="485" customWidth="1"/>
    <col min="10023" max="10023" width="14.140625" style="485" customWidth="1"/>
    <col min="10024" max="10024" width="19.85546875" style="485" customWidth="1"/>
    <col min="10025" max="10025" width="17" style="485" customWidth="1"/>
    <col min="10026" max="10026" width="20.85546875" style="485" customWidth="1"/>
    <col min="10027" max="10239" width="11.42578125" style="485"/>
    <col min="10240" max="10240" width="13.140625" style="485" customWidth="1"/>
    <col min="10241" max="10241" width="4" style="485" customWidth="1"/>
    <col min="10242" max="10242" width="12.85546875" style="485" customWidth="1"/>
    <col min="10243" max="10243" width="14.7109375" style="485" customWidth="1"/>
    <col min="10244" max="10244" width="10" style="485" customWidth="1"/>
    <col min="10245" max="10245" width="6.28515625" style="485" customWidth="1"/>
    <col min="10246" max="10246" width="12.28515625" style="485" customWidth="1"/>
    <col min="10247" max="10247" width="8.5703125" style="485" customWidth="1"/>
    <col min="10248" max="10248" width="13.7109375" style="485" customWidth="1"/>
    <col min="10249" max="10249" width="11.5703125" style="485" customWidth="1"/>
    <col min="10250" max="10250" width="34.28515625" style="485" customWidth="1"/>
    <col min="10251" max="10251" width="24.28515625" style="485" customWidth="1"/>
    <col min="10252" max="10252" width="21.140625" style="485" customWidth="1"/>
    <col min="10253" max="10253" width="22.140625" style="485" customWidth="1"/>
    <col min="10254" max="10254" width="8" style="485" customWidth="1"/>
    <col min="10255" max="10255" width="17" style="485" customWidth="1"/>
    <col min="10256" max="10256" width="12.7109375" style="485" customWidth="1"/>
    <col min="10257" max="10257" width="24.5703125" style="485" customWidth="1"/>
    <col min="10258" max="10258" width="29" style="485" customWidth="1"/>
    <col min="10259" max="10259" width="17.7109375" style="485" customWidth="1"/>
    <col min="10260" max="10260" width="36.42578125" style="485" customWidth="1"/>
    <col min="10261" max="10261" width="21.85546875" style="485" customWidth="1"/>
    <col min="10262" max="10262" width="11.7109375" style="485" customWidth="1"/>
    <col min="10263" max="10263" width="26.28515625" style="485" customWidth="1"/>
    <col min="10264" max="10264" width="9" style="485" customWidth="1"/>
    <col min="10265" max="10265" width="6.28515625" style="485" customWidth="1"/>
    <col min="10266" max="10267" width="7.28515625" style="485" customWidth="1"/>
    <col min="10268" max="10268" width="8.42578125" style="485" customWidth="1"/>
    <col min="10269" max="10269" width="9.5703125" style="485" customWidth="1"/>
    <col min="10270" max="10270" width="6.28515625" style="485" customWidth="1"/>
    <col min="10271" max="10271" width="5.85546875" style="485" customWidth="1"/>
    <col min="10272" max="10273" width="4.42578125" style="485" customWidth="1"/>
    <col min="10274" max="10274" width="5" style="485" customWidth="1"/>
    <col min="10275" max="10275" width="5.85546875" style="485" customWidth="1"/>
    <col min="10276" max="10276" width="6.140625" style="485" customWidth="1"/>
    <col min="10277" max="10277" width="6.28515625" style="485" customWidth="1"/>
    <col min="10278" max="10278" width="11.140625" style="485" customWidth="1"/>
    <col min="10279" max="10279" width="14.140625" style="485" customWidth="1"/>
    <col min="10280" max="10280" width="19.85546875" style="485" customWidth="1"/>
    <col min="10281" max="10281" width="17" style="485" customWidth="1"/>
    <col min="10282" max="10282" width="20.85546875" style="485" customWidth="1"/>
    <col min="10283" max="10495" width="11.42578125" style="485"/>
    <col min="10496" max="10496" width="13.140625" style="485" customWidth="1"/>
    <col min="10497" max="10497" width="4" style="485" customWidth="1"/>
    <col min="10498" max="10498" width="12.85546875" style="485" customWidth="1"/>
    <col min="10499" max="10499" width="14.7109375" style="485" customWidth="1"/>
    <col min="10500" max="10500" width="10" style="485" customWidth="1"/>
    <col min="10501" max="10501" width="6.28515625" style="485" customWidth="1"/>
    <col min="10502" max="10502" width="12.28515625" style="485" customWidth="1"/>
    <col min="10503" max="10503" width="8.5703125" style="485" customWidth="1"/>
    <col min="10504" max="10504" width="13.7109375" style="485" customWidth="1"/>
    <col min="10505" max="10505" width="11.5703125" style="485" customWidth="1"/>
    <col min="10506" max="10506" width="34.28515625" style="485" customWidth="1"/>
    <col min="10507" max="10507" width="24.28515625" style="485" customWidth="1"/>
    <col min="10508" max="10508" width="21.140625" style="485" customWidth="1"/>
    <col min="10509" max="10509" width="22.140625" style="485" customWidth="1"/>
    <col min="10510" max="10510" width="8" style="485" customWidth="1"/>
    <col min="10511" max="10511" width="17" style="485" customWidth="1"/>
    <col min="10512" max="10512" width="12.7109375" style="485" customWidth="1"/>
    <col min="10513" max="10513" width="24.5703125" style="485" customWidth="1"/>
    <col min="10514" max="10514" width="29" style="485" customWidth="1"/>
    <col min="10515" max="10515" width="17.7109375" style="485" customWidth="1"/>
    <col min="10516" max="10516" width="36.42578125" style="485" customWidth="1"/>
    <col min="10517" max="10517" width="21.85546875" style="485" customWidth="1"/>
    <col min="10518" max="10518" width="11.7109375" style="485" customWidth="1"/>
    <col min="10519" max="10519" width="26.28515625" style="485" customWidth="1"/>
    <col min="10520" max="10520" width="9" style="485" customWidth="1"/>
    <col min="10521" max="10521" width="6.28515625" style="485" customWidth="1"/>
    <col min="10522" max="10523" width="7.28515625" style="485" customWidth="1"/>
    <col min="10524" max="10524" width="8.42578125" style="485" customWidth="1"/>
    <col min="10525" max="10525" width="9.5703125" style="485" customWidth="1"/>
    <col min="10526" max="10526" width="6.28515625" style="485" customWidth="1"/>
    <col min="10527" max="10527" width="5.85546875" style="485" customWidth="1"/>
    <col min="10528" max="10529" width="4.42578125" style="485" customWidth="1"/>
    <col min="10530" max="10530" width="5" style="485" customWidth="1"/>
    <col min="10531" max="10531" width="5.85546875" style="485" customWidth="1"/>
    <col min="10532" max="10532" width="6.140625" style="485" customWidth="1"/>
    <col min="10533" max="10533" width="6.28515625" style="485" customWidth="1"/>
    <col min="10534" max="10534" width="11.140625" style="485" customWidth="1"/>
    <col min="10535" max="10535" width="14.140625" style="485" customWidth="1"/>
    <col min="10536" max="10536" width="19.85546875" style="485" customWidth="1"/>
    <col min="10537" max="10537" width="17" style="485" customWidth="1"/>
    <col min="10538" max="10538" width="20.85546875" style="485" customWidth="1"/>
    <col min="10539" max="10751" width="11.42578125" style="485"/>
    <col min="10752" max="10752" width="13.140625" style="485" customWidth="1"/>
    <col min="10753" max="10753" width="4" style="485" customWidth="1"/>
    <col min="10754" max="10754" width="12.85546875" style="485" customWidth="1"/>
    <col min="10755" max="10755" width="14.7109375" style="485" customWidth="1"/>
    <col min="10756" max="10756" width="10" style="485" customWidth="1"/>
    <col min="10757" max="10757" width="6.28515625" style="485" customWidth="1"/>
    <col min="10758" max="10758" width="12.28515625" style="485" customWidth="1"/>
    <col min="10759" max="10759" width="8.5703125" style="485" customWidth="1"/>
    <col min="10760" max="10760" width="13.7109375" style="485" customWidth="1"/>
    <col min="10761" max="10761" width="11.5703125" style="485" customWidth="1"/>
    <col min="10762" max="10762" width="34.28515625" style="485" customWidth="1"/>
    <col min="10763" max="10763" width="24.28515625" style="485" customWidth="1"/>
    <col min="10764" max="10764" width="21.140625" style="485" customWidth="1"/>
    <col min="10765" max="10765" width="22.140625" style="485" customWidth="1"/>
    <col min="10766" max="10766" width="8" style="485" customWidth="1"/>
    <col min="10767" max="10767" width="17" style="485" customWidth="1"/>
    <col min="10768" max="10768" width="12.7109375" style="485" customWidth="1"/>
    <col min="10769" max="10769" width="24.5703125" style="485" customWidth="1"/>
    <col min="10770" max="10770" width="29" style="485" customWidth="1"/>
    <col min="10771" max="10771" width="17.7109375" style="485" customWidth="1"/>
    <col min="10772" max="10772" width="36.42578125" style="485" customWidth="1"/>
    <col min="10773" max="10773" width="21.85546875" style="485" customWidth="1"/>
    <col min="10774" max="10774" width="11.7109375" style="485" customWidth="1"/>
    <col min="10775" max="10775" width="26.28515625" style="485" customWidth="1"/>
    <col min="10776" max="10776" width="9" style="485" customWidth="1"/>
    <col min="10777" max="10777" width="6.28515625" style="485" customWidth="1"/>
    <col min="10778" max="10779" width="7.28515625" style="485" customWidth="1"/>
    <col min="10780" max="10780" width="8.42578125" style="485" customWidth="1"/>
    <col min="10781" max="10781" width="9.5703125" style="485" customWidth="1"/>
    <col min="10782" max="10782" width="6.28515625" style="485" customWidth="1"/>
    <col min="10783" max="10783" width="5.85546875" style="485" customWidth="1"/>
    <col min="10784" max="10785" width="4.42578125" style="485" customWidth="1"/>
    <col min="10786" max="10786" width="5" style="485" customWidth="1"/>
    <col min="10787" max="10787" width="5.85546875" style="485" customWidth="1"/>
    <col min="10788" max="10788" width="6.140625" style="485" customWidth="1"/>
    <col min="10789" max="10789" width="6.28515625" style="485" customWidth="1"/>
    <col min="10790" max="10790" width="11.140625" style="485" customWidth="1"/>
    <col min="10791" max="10791" width="14.140625" style="485" customWidth="1"/>
    <col min="10792" max="10792" width="19.85546875" style="485" customWidth="1"/>
    <col min="10793" max="10793" width="17" style="485" customWidth="1"/>
    <col min="10794" max="10794" width="20.85546875" style="485" customWidth="1"/>
    <col min="10795" max="11007" width="11.42578125" style="485"/>
    <col min="11008" max="11008" width="13.140625" style="485" customWidth="1"/>
    <col min="11009" max="11009" width="4" style="485" customWidth="1"/>
    <col min="11010" max="11010" width="12.85546875" style="485" customWidth="1"/>
    <col min="11011" max="11011" width="14.7109375" style="485" customWidth="1"/>
    <col min="11012" max="11012" width="10" style="485" customWidth="1"/>
    <col min="11013" max="11013" width="6.28515625" style="485" customWidth="1"/>
    <col min="11014" max="11014" width="12.28515625" style="485" customWidth="1"/>
    <col min="11015" max="11015" width="8.5703125" style="485" customWidth="1"/>
    <col min="11016" max="11016" width="13.7109375" style="485" customWidth="1"/>
    <col min="11017" max="11017" width="11.5703125" style="485" customWidth="1"/>
    <col min="11018" max="11018" width="34.28515625" style="485" customWidth="1"/>
    <col min="11019" max="11019" width="24.28515625" style="485" customWidth="1"/>
    <col min="11020" max="11020" width="21.140625" style="485" customWidth="1"/>
    <col min="11021" max="11021" width="22.140625" style="485" customWidth="1"/>
    <col min="11022" max="11022" width="8" style="485" customWidth="1"/>
    <col min="11023" max="11023" width="17" style="485" customWidth="1"/>
    <col min="11024" max="11024" width="12.7109375" style="485" customWidth="1"/>
    <col min="11025" max="11025" width="24.5703125" style="485" customWidth="1"/>
    <col min="11026" max="11026" width="29" style="485" customWidth="1"/>
    <col min="11027" max="11027" width="17.7109375" style="485" customWidth="1"/>
    <col min="11028" max="11028" width="36.42578125" style="485" customWidth="1"/>
    <col min="11029" max="11029" width="21.85546875" style="485" customWidth="1"/>
    <col min="11030" max="11030" width="11.7109375" style="485" customWidth="1"/>
    <col min="11031" max="11031" width="26.28515625" style="485" customWidth="1"/>
    <col min="11032" max="11032" width="9" style="485" customWidth="1"/>
    <col min="11033" max="11033" width="6.28515625" style="485" customWidth="1"/>
    <col min="11034" max="11035" width="7.28515625" style="485" customWidth="1"/>
    <col min="11036" max="11036" width="8.42578125" style="485" customWidth="1"/>
    <col min="11037" max="11037" width="9.5703125" style="485" customWidth="1"/>
    <col min="11038" max="11038" width="6.28515625" style="485" customWidth="1"/>
    <col min="11039" max="11039" width="5.85546875" style="485" customWidth="1"/>
    <col min="11040" max="11041" width="4.42578125" style="485" customWidth="1"/>
    <col min="11042" max="11042" width="5" style="485" customWidth="1"/>
    <col min="11043" max="11043" width="5.85546875" style="485" customWidth="1"/>
    <col min="11044" max="11044" width="6.140625" style="485" customWidth="1"/>
    <col min="11045" max="11045" width="6.28515625" style="485" customWidth="1"/>
    <col min="11046" max="11046" width="11.140625" style="485" customWidth="1"/>
    <col min="11047" max="11047" width="14.140625" style="485" customWidth="1"/>
    <col min="11048" max="11048" width="19.85546875" style="485" customWidth="1"/>
    <col min="11049" max="11049" width="17" style="485" customWidth="1"/>
    <col min="11050" max="11050" width="20.85546875" style="485" customWidth="1"/>
    <col min="11051" max="11263" width="11.42578125" style="485"/>
    <col min="11264" max="11264" width="13.140625" style="485" customWidth="1"/>
    <col min="11265" max="11265" width="4" style="485" customWidth="1"/>
    <col min="11266" max="11266" width="12.85546875" style="485" customWidth="1"/>
    <col min="11267" max="11267" width="14.7109375" style="485" customWidth="1"/>
    <col min="11268" max="11268" width="10" style="485" customWidth="1"/>
    <col min="11269" max="11269" width="6.28515625" style="485" customWidth="1"/>
    <col min="11270" max="11270" width="12.28515625" style="485" customWidth="1"/>
    <col min="11271" max="11271" width="8.5703125" style="485" customWidth="1"/>
    <col min="11272" max="11272" width="13.7109375" style="485" customWidth="1"/>
    <col min="11273" max="11273" width="11.5703125" style="485" customWidth="1"/>
    <col min="11274" max="11274" width="34.28515625" style="485" customWidth="1"/>
    <col min="11275" max="11275" width="24.28515625" style="485" customWidth="1"/>
    <col min="11276" max="11276" width="21.140625" style="485" customWidth="1"/>
    <col min="11277" max="11277" width="22.140625" style="485" customWidth="1"/>
    <col min="11278" max="11278" width="8" style="485" customWidth="1"/>
    <col min="11279" max="11279" width="17" style="485" customWidth="1"/>
    <col min="11280" max="11280" width="12.7109375" style="485" customWidth="1"/>
    <col min="11281" max="11281" width="24.5703125" style="485" customWidth="1"/>
    <col min="11282" max="11282" width="29" style="485" customWidth="1"/>
    <col min="11283" max="11283" width="17.7109375" style="485" customWidth="1"/>
    <col min="11284" max="11284" width="36.42578125" style="485" customWidth="1"/>
    <col min="11285" max="11285" width="21.85546875" style="485" customWidth="1"/>
    <col min="11286" max="11286" width="11.7109375" style="485" customWidth="1"/>
    <col min="11287" max="11287" width="26.28515625" style="485" customWidth="1"/>
    <col min="11288" max="11288" width="9" style="485" customWidth="1"/>
    <col min="11289" max="11289" width="6.28515625" style="485" customWidth="1"/>
    <col min="11290" max="11291" width="7.28515625" style="485" customWidth="1"/>
    <col min="11292" max="11292" width="8.42578125" style="485" customWidth="1"/>
    <col min="11293" max="11293" width="9.5703125" style="485" customWidth="1"/>
    <col min="11294" max="11294" width="6.28515625" style="485" customWidth="1"/>
    <col min="11295" max="11295" width="5.85546875" style="485" customWidth="1"/>
    <col min="11296" max="11297" width="4.42578125" style="485" customWidth="1"/>
    <col min="11298" max="11298" width="5" style="485" customWidth="1"/>
    <col min="11299" max="11299" width="5.85546875" style="485" customWidth="1"/>
    <col min="11300" max="11300" width="6.140625" style="485" customWidth="1"/>
    <col min="11301" max="11301" width="6.28515625" style="485" customWidth="1"/>
    <col min="11302" max="11302" width="11.140625" style="485" customWidth="1"/>
    <col min="11303" max="11303" width="14.140625" style="485" customWidth="1"/>
    <col min="11304" max="11304" width="19.85546875" style="485" customWidth="1"/>
    <col min="11305" max="11305" width="17" style="485" customWidth="1"/>
    <col min="11306" max="11306" width="20.85546875" style="485" customWidth="1"/>
    <col min="11307" max="11519" width="11.42578125" style="485"/>
    <col min="11520" max="11520" width="13.140625" style="485" customWidth="1"/>
    <col min="11521" max="11521" width="4" style="485" customWidth="1"/>
    <col min="11522" max="11522" width="12.85546875" style="485" customWidth="1"/>
    <col min="11523" max="11523" width="14.7109375" style="485" customWidth="1"/>
    <col min="11524" max="11524" width="10" style="485" customWidth="1"/>
    <col min="11525" max="11525" width="6.28515625" style="485" customWidth="1"/>
    <col min="11526" max="11526" width="12.28515625" style="485" customWidth="1"/>
    <col min="11527" max="11527" width="8.5703125" style="485" customWidth="1"/>
    <col min="11528" max="11528" width="13.7109375" style="485" customWidth="1"/>
    <col min="11529" max="11529" width="11.5703125" style="485" customWidth="1"/>
    <col min="11530" max="11530" width="34.28515625" style="485" customWidth="1"/>
    <col min="11531" max="11531" width="24.28515625" style="485" customWidth="1"/>
    <col min="11532" max="11532" width="21.140625" style="485" customWidth="1"/>
    <col min="11533" max="11533" width="22.140625" style="485" customWidth="1"/>
    <col min="11534" max="11534" width="8" style="485" customWidth="1"/>
    <col min="11535" max="11535" width="17" style="485" customWidth="1"/>
    <col min="11536" max="11536" width="12.7109375" style="485" customWidth="1"/>
    <col min="11537" max="11537" width="24.5703125" style="485" customWidth="1"/>
    <col min="11538" max="11538" width="29" style="485" customWidth="1"/>
    <col min="11539" max="11539" width="17.7109375" style="485" customWidth="1"/>
    <col min="11540" max="11540" width="36.42578125" style="485" customWidth="1"/>
    <col min="11541" max="11541" width="21.85546875" style="485" customWidth="1"/>
    <col min="11542" max="11542" width="11.7109375" style="485" customWidth="1"/>
    <col min="11543" max="11543" width="26.28515625" style="485" customWidth="1"/>
    <col min="11544" max="11544" width="9" style="485" customWidth="1"/>
    <col min="11545" max="11545" width="6.28515625" style="485" customWidth="1"/>
    <col min="11546" max="11547" width="7.28515625" style="485" customWidth="1"/>
    <col min="11548" max="11548" width="8.42578125" style="485" customWidth="1"/>
    <col min="11549" max="11549" width="9.5703125" style="485" customWidth="1"/>
    <col min="11550" max="11550" width="6.28515625" style="485" customWidth="1"/>
    <col min="11551" max="11551" width="5.85546875" style="485" customWidth="1"/>
    <col min="11552" max="11553" width="4.42578125" style="485" customWidth="1"/>
    <col min="11554" max="11554" width="5" style="485" customWidth="1"/>
    <col min="11555" max="11555" width="5.85546875" style="485" customWidth="1"/>
    <col min="11556" max="11556" width="6.140625" style="485" customWidth="1"/>
    <col min="11557" max="11557" width="6.28515625" style="485" customWidth="1"/>
    <col min="11558" max="11558" width="11.140625" style="485" customWidth="1"/>
    <col min="11559" max="11559" width="14.140625" style="485" customWidth="1"/>
    <col min="11560" max="11560" width="19.85546875" style="485" customWidth="1"/>
    <col min="11561" max="11561" width="17" style="485" customWidth="1"/>
    <col min="11562" max="11562" width="20.85546875" style="485" customWidth="1"/>
    <col min="11563" max="11775" width="11.42578125" style="485"/>
    <col min="11776" max="11776" width="13.140625" style="485" customWidth="1"/>
    <col min="11777" max="11777" width="4" style="485" customWidth="1"/>
    <col min="11778" max="11778" width="12.85546875" style="485" customWidth="1"/>
    <col min="11779" max="11779" width="14.7109375" style="485" customWidth="1"/>
    <col min="11780" max="11780" width="10" style="485" customWidth="1"/>
    <col min="11781" max="11781" width="6.28515625" style="485" customWidth="1"/>
    <col min="11782" max="11782" width="12.28515625" style="485" customWidth="1"/>
    <col min="11783" max="11783" width="8.5703125" style="485" customWidth="1"/>
    <col min="11784" max="11784" width="13.7109375" style="485" customWidth="1"/>
    <col min="11785" max="11785" width="11.5703125" style="485" customWidth="1"/>
    <col min="11786" max="11786" width="34.28515625" style="485" customWidth="1"/>
    <col min="11787" max="11787" width="24.28515625" style="485" customWidth="1"/>
    <col min="11788" max="11788" width="21.140625" style="485" customWidth="1"/>
    <col min="11789" max="11789" width="22.140625" style="485" customWidth="1"/>
    <col min="11790" max="11790" width="8" style="485" customWidth="1"/>
    <col min="11791" max="11791" width="17" style="485" customWidth="1"/>
    <col min="11792" max="11792" width="12.7109375" style="485" customWidth="1"/>
    <col min="11793" max="11793" width="24.5703125" style="485" customWidth="1"/>
    <col min="11794" max="11794" width="29" style="485" customWidth="1"/>
    <col min="11795" max="11795" width="17.7109375" style="485" customWidth="1"/>
    <col min="11796" max="11796" width="36.42578125" style="485" customWidth="1"/>
    <col min="11797" max="11797" width="21.85546875" style="485" customWidth="1"/>
    <col min="11798" max="11798" width="11.7109375" style="485" customWidth="1"/>
    <col min="11799" max="11799" width="26.28515625" style="485" customWidth="1"/>
    <col min="11800" max="11800" width="9" style="485" customWidth="1"/>
    <col min="11801" max="11801" width="6.28515625" style="485" customWidth="1"/>
    <col min="11802" max="11803" width="7.28515625" style="485" customWidth="1"/>
    <col min="11804" max="11804" width="8.42578125" style="485" customWidth="1"/>
    <col min="11805" max="11805" width="9.5703125" style="485" customWidth="1"/>
    <col min="11806" max="11806" width="6.28515625" style="485" customWidth="1"/>
    <col min="11807" max="11807" width="5.85546875" style="485" customWidth="1"/>
    <col min="11808" max="11809" width="4.42578125" style="485" customWidth="1"/>
    <col min="11810" max="11810" width="5" style="485" customWidth="1"/>
    <col min="11811" max="11811" width="5.85546875" style="485" customWidth="1"/>
    <col min="11812" max="11812" width="6.140625" style="485" customWidth="1"/>
    <col min="11813" max="11813" width="6.28515625" style="485" customWidth="1"/>
    <col min="11814" max="11814" width="11.140625" style="485" customWidth="1"/>
    <col min="11815" max="11815" width="14.140625" style="485" customWidth="1"/>
    <col min="11816" max="11816" width="19.85546875" style="485" customWidth="1"/>
    <col min="11817" max="11817" width="17" style="485" customWidth="1"/>
    <col min="11818" max="11818" width="20.85546875" style="485" customWidth="1"/>
    <col min="11819" max="12031" width="11.42578125" style="485"/>
    <col min="12032" max="12032" width="13.140625" style="485" customWidth="1"/>
    <col min="12033" max="12033" width="4" style="485" customWidth="1"/>
    <col min="12034" max="12034" width="12.85546875" style="485" customWidth="1"/>
    <col min="12035" max="12035" width="14.7109375" style="485" customWidth="1"/>
    <col min="12036" max="12036" width="10" style="485" customWidth="1"/>
    <col min="12037" max="12037" width="6.28515625" style="485" customWidth="1"/>
    <col min="12038" max="12038" width="12.28515625" style="485" customWidth="1"/>
    <col min="12039" max="12039" width="8.5703125" style="485" customWidth="1"/>
    <col min="12040" max="12040" width="13.7109375" style="485" customWidth="1"/>
    <col min="12041" max="12041" width="11.5703125" style="485" customWidth="1"/>
    <col min="12042" max="12042" width="34.28515625" style="485" customWidth="1"/>
    <col min="12043" max="12043" width="24.28515625" style="485" customWidth="1"/>
    <col min="12044" max="12044" width="21.140625" style="485" customWidth="1"/>
    <col min="12045" max="12045" width="22.140625" style="485" customWidth="1"/>
    <col min="12046" max="12046" width="8" style="485" customWidth="1"/>
    <col min="12047" max="12047" width="17" style="485" customWidth="1"/>
    <col min="12048" max="12048" width="12.7109375" style="485" customWidth="1"/>
    <col min="12049" max="12049" width="24.5703125" style="485" customWidth="1"/>
    <col min="12050" max="12050" width="29" style="485" customWidth="1"/>
    <col min="12051" max="12051" width="17.7109375" style="485" customWidth="1"/>
    <col min="12052" max="12052" width="36.42578125" style="485" customWidth="1"/>
    <col min="12053" max="12053" width="21.85546875" style="485" customWidth="1"/>
    <col min="12054" max="12054" width="11.7109375" style="485" customWidth="1"/>
    <col min="12055" max="12055" width="26.28515625" style="485" customWidth="1"/>
    <col min="12056" max="12056" width="9" style="485" customWidth="1"/>
    <col min="12057" max="12057" width="6.28515625" style="485" customWidth="1"/>
    <col min="12058" max="12059" width="7.28515625" style="485" customWidth="1"/>
    <col min="12060" max="12060" width="8.42578125" style="485" customWidth="1"/>
    <col min="12061" max="12061" width="9.5703125" style="485" customWidth="1"/>
    <col min="12062" max="12062" width="6.28515625" style="485" customWidth="1"/>
    <col min="12063" max="12063" width="5.85546875" style="485" customWidth="1"/>
    <col min="12064" max="12065" width="4.42578125" style="485" customWidth="1"/>
    <col min="12066" max="12066" width="5" style="485" customWidth="1"/>
    <col min="12067" max="12067" width="5.85546875" style="485" customWidth="1"/>
    <col min="12068" max="12068" width="6.140625" style="485" customWidth="1"/>
    <col min="12069" max="12069" width="6.28515625" style="485" customWidth="1"/>
    <col min="12070" max="12070" width="11.140625" style="485" customWidth="1"/>
    <col min="12071" max="12071" width="14.140625" style="485" customWidth="1"/>
    <col min="12072" max="12072" width="19.85546875" style="485" customWidth="1"/>
    <col min="12073" max="12073" width="17" style="485" customWidth="1"/>
    <col min="12074" max="12074" width="20.85546875" style="485" customWidth="1"/>
    <col min="12075" max="12287" width="11.42578125" style="485"/>
    <col min="12288" max="12288" width="13.140625" style="485" customWidth="1"/>
    <col min="12289" max="12289" width="4" style="485" customWidth="1"/>
    <col min="12290" max="12290" width="12.85546875" style="485" customWidth="1"/>
    <col min="12291" max="12291" width="14.7109375" style="485" customWidth="1"/>
    <col min="12292" max="12292" width="10" style="485" customWidth="1"/>
    <col min="12293" max="12293" width="6.28515625" style="485" customWidth="1"/>
    <col min="12294" max="12294" width="12.28515625" style="485" customWidth="1"/>
    <col min="12295" max="12295" width="8.5703125" style="485" customWidth="1"/>
    <col min="12296" max="12296" width="13.7109375" style="485" customWidth="1"/>
    <col min="12297" max="12297" width="11.5703125" style="485" customWidth="1"/>
    <col min="12298" max="12298" width="34.28515625" style="485" customWidth="1"/>
    <col min="12299" max="12299" width="24.28515625" style="485" customWidth="1"/>
    <col min="12300" max="12300" width="21.140625" style="485" customWidth="1"/>
    <col min="12301" max="12301" width="22.140625" style="485" customWidth="1"/>
    <col min="12302" max="12302" width="8" style="485" customWidth="1"/>
    <col min="12303" max="12303" width="17" style="485" customWidth="1"/>
    <col min="12304" max="12304" width="12.7109375" style="485" customWidth="1"/>
    <col min="12305" max="12305" width="24.5703125" style="485" customWidth="1"/>
    <col min="12306" max="12306" width="29" style="485" customWidth="1"/>
    <col min="12307" max="12307" width="17.7109375" style="485" customWidth="1"/>
    <col min="12308" max="12308" width="36.42578125" style="485" customWidth="1"/>
    <col min="12309" max="12309" width="21.85546875" style="485" customWidth="1"/>
    <col min="12310" max="12310" width="11.7109375" style="485" customWidth="1"/>
    <col min="12311" max="12311" width="26.28515625" style="485" customWidth="1"/>
    <col min="12312" max="12312" width="9" style="485" customWidth="1"/>
    <col min="12313" max="12313" width="6.28515625" style="485" customWidth="1"/>
    <col min="12314" max="12315" width="7.28515625" style="485" customWidth="1"/>
    <col min="12316" max="12316" width="8.42578125" style="485" customWidth="1"/>
    <col min="12317" max="12317" width="9.5703125" style="485" customWidth="1"/>
    <col min="12318" max="12318" width="6.28515625" style="485" customWidth="1"/>
    <col min="12319" max="12319" width="5.85546875" style="485" customWidth="1"/>
    <col min="12320" max="12321" width="4.42578125" style="485" customWidth="1"/>
    <col min="12322" max="12322" width="5" style="485" customWidth="1"/>
    <col min="12323" max="12323" width="5.85546875" style="485" customWidth="1"/>
    <col min="12324" max="12324" width="6.140625" style="485" customWidth="1"/>
    <col min="12325" max="12325" width="6.28515625" style="485" customWidth="1"/>
    <col min="12326" max="12326" width="11.140625" style="485" customWidth="1"/>
    <col min="12327" max="12327" width="14.140625" style="485" customWidth="1"/>
    <col min="12328" max="12328" width="19.85546875" style="485" customWidth="1"/>
    <col min="12329" max="12329" width="17" style="485" customWidth="1"/>
    <col min="12330" max="12330" width="20.85546875" style="485" customWidth="1"/>
    <col min="12331" max="12543" width="11.42578125" style="485"/>
    <col min="12544" max="12544" width="13.140625" style="485" customWidth="1"/>
    <col min="12545" max="12545" width="4" style="485" customWidth="1"/>
    <col min="12546" max="12546" width="12.85546875" style="485" customWidth="1"/>
    <col min="12547" max="12547" width="14.7109375" style="485" customWidth="1"/>
    <col min="12548" max="12548" width="10" style="485" customWidth="1"/>
    <col min="12549" max="12549" width="6.28515625" style="485" customWidth="1"/>
    <col min="12550" max="12550" width="12.28515625" style="485" customWidth="1"/>
    <col min="12551" max="12551" width="8.5703125" style="485" customWidth="1"/>
    <col min="12552" max="12552" width="13.7109375" style="485" customWidth="1"/>
    <col min="12553" max="12553" width="11.5703125" style="485" customWidth="1"/>
    <col min="12554" max="12554" width="34.28515625" style="485" customWidth="1"/>
    <col min="12555" max="12555" width="24.28515625" style="485" customWidth="1"/>
    <col min="12556" max="12556" width="21.140625" style="485" customWidth="1"/>
    <col min="12557" max="12557" width="22.140625" style="485" customWidth="1"/>
    <col min="12558" max="12558" width="8" style="485" customWidth="1"/>
    <col min="12559" max="12559" width="17" style="485" customWidth="1"/>
    <col min="12560" max="12560" width="12.7109375" style="485" customWidth="1"/>
    <col min="12561" max="12561" width="24.5703125" style="485" customWidth="1"/>
    <col min="12562" max="12562" width="29" style="485" customWidth="1"/>
    <col min="12563" max="12563" width="17.7109375" style="485" customWidth="1"/>
    <col min="12564" max="12564" width="36.42578125" style="485" customWidth="1"/>
    <col min="12565" max="12565" width="21.85546875" style="485" customWidth="1"/>
    <col min="12566" max="12566" width="11.7109375" style="485" customWidth="1"/>
    <col min="12567" max="12567" width="26.28515625" style="485" customWidth="1"/>
    <col min="12568" max="12568" width="9" style="485" customWidth="1"/>
    <col min="12569" max="12569" width="6.28515625" style="485" customWidth="1"/>
    <col min="12570" max="12571" width="7.28515625" style="485" customWidth="1"/>
    <col min="12572" max="12572" width="8.42578125" style="485" customWidth="1"/>
    <col min="12573" max="12573" width="9.5703125" style="485" customWidth="1"/>
    <col min="12574" max="12574" width="6.28515625" style="485" customWidth="1"/>
    <col min="12575" max="12575" width="5.85546875" style="485" customWidth="1"/>
    <col min="12576" max="12577" width="4.42578125" style="485" customWidth="1"/>
    <col min="12578" max="12578" width="5" style="485" customWidth="1"/>
    <col min="12579" max="12579" width="5.85546875" style="485" customWidth="1"/>
    <col min="12580" max="12580" width="6.140625" style="485" customWidth="1"/>
    <col min="12581" max="12581" width="6.28515625" style="485" customWidth="1"/>
    <col min="12582" max="12582" width="11.140625" style="485" customWidth="1"/>
    <col min="12583" max="12583" width="14.140625" style="485" customWidth="1"/>
    <col min="12584" max="12584" width="19.85546875" style="485" customWidth="1"/>
    <col min="12585" max="12585" width="17" style="485" customWidth="1"/>
    <col min="12586" max="12586" width="20.85546875" style="485" customWidth="1"/>
    <col min="12587" max="12799" width="11.42578125" style="485"/>
    <col min="12800" max="12800" width="13.140625" style="485" customWidth="1"/>
    <col min="12801" max="12801" width="4" style="485" customWidth="1"/>
    <col min="12802" max="12802" width="12.85546875" style="485" customWidth="1"/>
    <col min="12803" max="12803" width="14.7109375" style="485" customWidth="1"/>
    <col min="12804" max="12804" width="10" style="485" customWidth="1"/>
    <col min="12805" max="12805" width="6.28515625" style="485" customWidth="1"/>
    <col min="12806" max="12806" width="12.28515625" style="485" customWidth="1"/>
    <col min="12807" max="12807" width="8.5703125" style="485" customWidth="1"/>
    <col min="12808" max="12808" width="13.7109375" style="485" customWidth="1"/>
    <col min="12809" max="12809" width="11.5703125" style="485" customWidth="1"/>
    <col min="12810" max="12810" width="34.28515625" style="485" customWidth="1"/>
    <col min="12811" max="12811" width="24.28515625" style="485" customWidth="1"/>
    <col min="12812" max="12812" width="21.140625" style="485" customWidth="1"/>
    <col min="12813" max="12813" width="22.140625" style="485" customWidth="1"/>
    <col min="12814" max="12814" width="8" style="485" customWidth="1"/>
    <col min="12815" max="12815" width="17" style="485" customWidth="1"/>
    <col min="12816" max="12816" width="12.7109375" style="485" customWidth="1"/>
    <col min="12817" max="12817" width="24.5703125" style="485" customWidth="1"/>
    <col min="12818" max="12818" width="29" style="485" customWidth="1"/>
    <col min="12819" max="12819" width="17.7109375" style="485" customWidth="1"/>
    <col min="12820" max="12820" width="36.42578125" style="485" customWidth="1"/>
    <col min="12821" max="12821" width="21.85546875" style="485" customWidth="1"/>
    <col min="12822" max="12822" width="11.7109375" style="485" customWidth="1"/>
    <col min="12823" max="12823" width="26.28515625" style="485" customWidth="1"/>
    <col min="12824" max="12824" width="9" style="485" customWidth="1"/>
    <col min="12825" max="12825" width="6.28515625" style="485" customWidth="1"/>
    <col min="12826" max="12827" width="7.28515625" style="485" customWidth="1"/>
    <col min="12828" max="12828" width="8.42578125" style="485" customWidth="1"/>
    <col min="12829" max="12829" width="9.5703125" style="485" customWidth="1"/>
    <col min="12830" max="12830" width="6.28515625" style="485" customWidth="1"/>
    <col min="12831" max="12831" width="5.85546875" style="485" customWidth="1"/>
    <col min="12832" max="12833" width="4.42578125" style="485" customWidth="1"/>
    <col min="12834" max="12834" width="5" style="485" customWidth="1"/>
    <col min="12835" max="12835" width="5.85546875" style="485" customWidth="1"/>
    <col min="12836" max="12836" width="6.140625" style="485" customWidth="1"/>
    <col min="12837" max="12837" width="6.28515625" style="485" customWidth="1"/>
    <col min="12838" max="12838" width="11.140625" style="485" customWidth="1"/>
    <col min="12839" max="12839" width="14.140625" style="485" customWidth="1"/>
    <col min="12840" max="12840" width="19.85546875" style="485" customWidth="1"/>
    <col min="12841" max="12841" width="17" style="485" customWidth="1"/>
    <col min="12842" max="12842" width="20.85546875" style="485" customWidth="1"/>
    <col min="12843" max="13055" width="11.42578125" style="485"/>
    <col min="13056" max="13056" width="13.140625" style="485" customWidth="1"/>
    <col min="13057" max="13057" width="4" style="485" customWidth="1"/>
    <col min="13058" max="13058" width="12.85546875" style="485" customWidth="1"/>
    <col min="13059" max="13059" width="14.7109375" style="485" customWidth="1"/>
    <col min="13060" max="13060" width="10" style="485" customWidth="1"/>
    <col min="13061" max="13061" width="6.28515625" style="485" customWidth="1"/>
    <col min="13062" max="13062" width="12.28515625" style="485" customWidth="1"/>
    <col min="13063" max="13063" width="8.5703125" style="485" customWidth="1"/>
    <col min="13064" max="13064" width="13.7109375" style="485" customWidth="1"/>
    <col min="13065" max="13065" width="11.5703125" style="485" customWidth="1"/>
    <col min="13066" max="13066" width="34.28515625" style="485" customWidth="1"/>
    <col min="13067" max="13067" width="24.28515625" style="485" customWidth="1"/>
    <col min="13068" max="13068" width="21.140625" style="485" customWidth="1"/>
    <col min="13069" max="13069" width="22.140625" style="485" customWidth="1"/>
    <col min="13070" max="13070" width="8" style="485" customWidth="1"/>
    <col min="13071" max="13071" width="17" style="485" customWidth="1"/>
    <col min="13072" max="13072" width="12.7109375" style="485" customWidth="1"/>
    <col min="13073" max="13073" width="24.5703125" style="485" customWidth="1"/>
    <col min="13074" max="13074" width="29" style="485" customWidth="1"/>
    <col min="13075" max="13075" width="17.7109375" style="485" customWidth="1"/>
    <col min="13076" max="13076" width="36.42578125" style="485" customWidth="1"/>
    <col min="13077" max="13077" width="21.85546875" style="485" customWidth="1"/>
    <col min="13078" max="13078" width="11.7109375" style="485" customWidth="1"/>
    <col min="13079" max="13079" width="26.28515625" style="485" customWidth="1"/>
    <col min="13080" max="13080" width="9" style="485" customWidth="1"/>
    <col min="13081" max="13081" width="6.28515625" style="485" customWidth="1"/>
    <col min="13082" max="13083" width="7.28515625" style="485" customWidth="1"/>
    <col min="13084" max="13084" width="8.42578125" style="485" customWidth="1"/>
    <col min="13085" max="13085" width="9.5703125" style="485" customWidth="1"/>
    <col min="13086" max="13086" width="6.28515625" style="485" customWidth="1"/>
    <col min="13087" max="13087" width="5.85546875" style="485" customWidth="1"/>
    <col min="13088" max="13089" width="4.42578125" style="485" customWidth="1"/>
    <col min="13090" max="13090" width="5" style="485" customWidth="1"/>
    <col min="13091" max="13091" width="5.85546875" style="485" customWidth="1"/>
    <col min="13092" max="13092" width="6.140625" style="485" customWidth="1"/>
    <col min="13093" max="13093" width="6.28515625" style="485" customWidth="1"/>
    <col min="13094" max="13094" width="11.140625" style="485" customWidth="1"/>
    <col min="13095" max="13095" width="14.140625" style="485" customWidth="1"/>
    <col min="13096" max="13096" width="19.85546875" style="485" customWidth="1"/>
    <col min="13097" max="13097" width="17" style="485" customWidth="1"/>
    <col min="13098" max="13098" width="20.85546875" style="485" customWidth="1"/>
    <col min="13099" max="13311" width="11.42578125" style="485"/>
    <col min="13312" max="13312" width="13.140625" style="485" customWidth="1"/>
    <col min="13313" max="13313" width="4" style="485" customWidth="1"/>
    <col min="13314" max="13314" width="12.85546875" style="485" customWidth="1"/>
    <col min="13315" max="13315" width="14.7109375" style="485" customWidth="1"/>
    <col min="13316" max="13316" width="10" style="485" customWidth="1"/>
    <col min="13317" max="13317" width="6.28515625" style="485" customWidth="1"/>
    <col min="13318" max="13318" width="12.28515625" style="485" customWidth="1"/>
    <col min="13319" max="13319" width="8.5703125" style="485" customWidth="1"/>
    <col min="13320" max="13320" width="13.7109375" style="485" customWidth="1"/>
    <col min="13321" max="13321" width="11.5703125" style="485" customWidth="1"/>
    <col min="13322" max="13322" width="34.28515625" style="485" customWidth="1"/>
    <col min="13323" max="13323" width="24.28515625" style="485" customWidth="1"/>
    <col min="13324" max="13324" width="21.140625" style="485" customWidth="1"/>
    <col min="13325" max="13325" width="22.140625" style="485" customWidth="1"/>
    <col min="13326" max="13326" width="8" style="485" customWidth="1"/>
    <col min="13327" max="13327" width="17" style="485" customWidth="1"/>
    <col min="13328" max="13328" width="12.7109375" style="485" customWidth="1"/>
    <col min="13329" max="13329" width="24.5703125" style="485" customWidth="1"/>
    <col min="13330" max="13330" width="29" style="485" customWidth="1"/>
    <col min="13331" max="13331" width="17.7109375" style="485" customWidth="1"/>
    <col min="13332" max="13332" width="36.42578125" style="485" customWidth="1"/>
    <col min="13333" max="13333" width="21.85546875" style="485" customWidth="1"/>
    <col min="13334" max="13334" width="11.7109375" style="485" customWidth="1"/>
    <col min="13335" max="13335" width="26.28515625" style="485" customWidth="1"/>
    <col min="13336" max="13336" width="9" style="485" customWidth="1"/>
    <col min="13337" max="13337" width="6.28515625" style="485" customWidth="1"/>
    <col min="13338" max="13339" width="7.28515625" style="485" customWidth="1"/>
    <col min="13340" max="13340" width="8.42578125" style="485" customWidth="1"/>
    <col min="13341" max="13341" width="9.5703125" style="485" customWidth="1"/>
    <col min="13342" max="13342" width="6.28515625" style="485" customWidth="1"/>
    <col min="13343" max="13343" width="5.85546875" style="485" customWidth="1"/>
    <col min="13344" max="13345" width="4.42578125" style="485" customWidth="1"/>
    <col min="13346" max="13346" width="5" style="485" customWidth="1"/>
    <col min="13347" max="13347" width="5.85546875" style="485" customWidth="1"/>
    <col min="13348" max="13348" width="6.140625" style="485" customWidth="1"/>
    <col min="13349" max="13349" width="6.28515625" style="485" customWidth="1"/>
    <col min="13350" max="13350" width="11.140625" style="485" customWidth="1"/>
    <col min="13351" max="13351" width="14.140625" style="485" customWidth="1"/>
    <col min="13352" max="13352" width="19.85546875" style="485" customWidth="1"/>
    <col min="13353" max="13353" width="17" style="485" customWidth="1"/>
    <col min="13354" max="13354" width="20.85546875" style="485" customWidth="1"/>
    <col min="13355" max="13567" width="11.42578125" style="485"/>
    <col min="13568" max="13568" width="13.140625" style="485" customWidth="1"/>
    <col min="13569" max="13569" width="4" style="485" customWidth="1"/>
    <col min="13570" max="13570" width="12.85546875" style="485" customWidth="1"/>
    <col min="13571" max="13571" width="14.7109375" style="485" customWidth="1"/>
    <col min="13572" max="13572" width="10" style="485" customWidth="1"/>
    <col min="13573" max="13573" width="6.28515625" style="485" customWidth="1"/>
    <col min="13574" max="13574" width="12.28515625" style="485" customWidth="1"/>
    <col min="13575" max="13575" width="8.5703125" style="485" customWidth="1"/>
    <col min="13576" max="13576" width="13.7109375" style="485" customWidth="1"/>
    <col min="13577" max="13577" width="11.5703125" style="485" customWidth="1"/>
    <col min="13578" max="13578" width="34.28515625" style="485" customWidth="1"/>
    <col min="13579" max="13579" width="24.28515625" style="485" customWidth="1"/>
    <col min="13580" max="13580" width="21.140625" style="485" customWidth="1"/>
    <col min="13581" max="13581" width="22.140625" style="485" customWidth="1"/>
    <col min="13582" max="13582" width="8" style="485" customWidth="1"/>
    <col min="13583" max="13583" width="17" style="485" customWidth="1"/>
    <col min="13584" max="13584" width="12.7109375" style="485" customWidth="1"/>
    <col min="13585" max="13585" width="24.5703125" style="485" customWidth="1"/>
    <col min="13586" max="13586" width="29" style="485" customWidth="1"/>
    <col min="13587" max="13587" width="17.7109375" style="485" customWidth="1"/>
    <col min="13588" max="13588" width="36.42578125" style="485" customWidth="1"/>
    <col min="13589" max="13589" width="21.85546875" style="485" customWidth="1"/>
    <col min="13590" max="13590" width="11.7109375" style="485" customWidth="1"/>
    <col min="13591" max="13591" width="26.28515625" style="485" customWidth="1"/>
    <col min="13592" max="13592" width="9" style="485" customWidth="1"/>
    <col min="13593" max="13593" width="6.28515625" style="485" customWidth="1"/>
    <col min="13594" max="13595" width="7.28515625" style="485" customWidth="1"/>
    <col min="13596" max="13596" width="8.42578125" style="485" customWidth="1"/>
    <col min="13597" max="13597" width="9.5703125" style="485" customWidth="1"/>
    <col min="13598" max="13598" width="6.28515625" style="485" customWidth="1"/>
    <col min="13599" max="13599" width="5.85546875" style="485" customWidth="1"/>
    <col min="13600" max="13601" width="4.42578125" style="485" customWidth="1"/>
    <col min="13602" max="13602" width="5" style="485" customWidth="1"/>
    <col min="13603" max="13603" width="5.85546875" style="485" customWidth="1"/>
    <col min="13604" max="13604" width="6.140625" style="485" customWidth="1"/>
    <col min="13605" max="13605" width="6.28515625" style="485" customWidth="1"/>
    <col min="13606" max="13606" width="11.140625" style="485" customWidth="1"/>
    <col min="13607" max="13607" width="14.140625" style="485" customWidth="1"/>
    <col min="13608" max="13608" width="19.85546875" style="485" customWidth="1"/>
    <col min="13609" max="13609" width="17" style="485" customWidth="1"/>
    <col min="13610" max="13610" width="20.85546875" style="485" customWidth="1"/>
    <col min="13611" max="13823" width="11.42578125" style="485"/>
    <col min="13824" max="13824" width="13.140625" style="485" customWidth="1"/>
    <col min="13825" max="13825" width="4" style="485" customWidth="1"/>
    <col min="13826" max="13826" width="12.85546875" style="485" customWidth="1"/>
    <col min="13827" max="13827" width="14.7109375" style="485" customWidth="1"/>
    <col min="13828" max="13828" width="10" style="485" customWidth="1"/>
    <col min="13829" max="13829" width="6.28515625" style="485" customWidth="1"/>
    <col min="13830" max="13830" width="12.28515625" style="485" customWidth="1"/>
    <col min="13831" max="13831" width="8.5703125" style="485" customWidth="1"/>
    <col min="13832" max="13832" width="13.7109375" style="485" customWidth="1"/>
    <col min="13833" max="13833" width="11.5703125" style="485" customWidth="1"/>
    <col min="13834" max="13834" width="34.28515625" style="485" customWidth="1"/>
    <col min="13835" max="13835" width="24.28515625" style="485" customWidth="1"/>
    <col min="13836" max="13836" width="21.140625" style="485" customWidth="1"/>
    <col min="13837" max="13837" width="22.140625" style="485" customWidth="1"/>
    <col min="13838" max="13838" width="8" style="485" customWidth="1"/>
    <col min="13839" max="13839" width="17" style="485" customWidth="1"/>
    <col min="13840" max="13840" width="12.7109375" style="485" customWidth="1"/>
    <col min="13841" max="13841" width="24.5703125" style="485" customWidth="1"/>
    <col min="13842" max="13842" width="29" style="485" customWidth="1"/>
    <col min="13843" max="13843" width="17.7109375" style="485" customWidth="1"/>
    <col min="13844" max="13844" width="36.42578125" style="485" customWidth="1"/>
    <col min="13845" max="13845" width="21.85546875" style="485" customWidth="1"/>
    <col min="13846" max="13846" width="11.7109375" style="485" customWidth="1"/>
    <col min="13847" max="13847" width="26.28515625" style="485" customWidth="1"/>
    <col min="13848" max="13848" width="9" style="485" customWidth="1"/>
    <col min="13849" max="13849" width="6.28515625" style="485" customWidth="1"/>
    <col min="13850" max="13851" width="7.28515625" style="485" customWidth="1"/>
    <col min="13852" max="13852" width="8.42578125" style="485" customWidth="1"/>
    <col min="13853" max="13853" width="9.5703125" style="485" customWidth="1"/>
    <col min="13854" max="13854" width="6.28515625" style="485" customWidth="1"/>
    <col min="13855" max="13855" width="5.85546875" style="485" customWidth="1"/>
    <col min="13856" max="13857" width="4.42578125" style="485" customWidth="1"/>
    <col min="13858" max="13858" width="5" style="485" customWidth="1"/>
    <col min="13859" max="13859" width="5.85546875" style="485" customWidth="1"/>
    <col min="13860" max="13860" width="6.140625" style="485" customWidth="1"/>
    <col min="13861" max="13861" width="6.28515625" style="485" customWidth="1"/>
    <col min="13862" max="13862" width="11.140625" style="485" customWidth="1"/>
    <col min="13863" max="13863" width="14.140625" style="485" customWidth="1"/>
    <col min="13864" max="13864" width="19.85546875" style="485" customWidth="1"/>
    <col min="13865" max="13865" width="17" style="485" customWidth="1"/>
    <col min="13866" max="13866" width="20.85546875" style="485" customWidth="1"/>
    <col min="13867" max="14079" width="11.42578125" style="485"/>
    <col min="14080" max="14080" width="13.140625" style="485" customWidth="1"/>
    <col min="14081" max="14081" width="4" style="485" customWidth="1"/>
    <col min="14082" max="14082" width="12.85546875" style="485" customWidth="1"/>
    <col min="14083" max="14083" width="14.7109375" style="485" customWidth="1"/>
    <col min="14084" max="14084" width="10" style="485" customWidth="1"/>
    <col min="14085" max="14085" width="6.28515625" style="485" customWidth="1"/>
    <col min="14086" max="14086" width="12.28515625" style="485" customWidth="1"/>
    <col min="14087" max="14087" width="8.5703125" style="485" customWidth="1"/>
    <col min="14088" max="14088" width="13.7109375" style="485" customWidth="1"/>
    <col min="14089" max="14089" width="11.5703125" style="485" customWidth="1"/>
    <col min="14090" max="14090" width="34.28515625" style="485" customWidth="1"/>
    <col min="14091" max="14091" width="24.28515625" style="485" customWidth="1"/>
    <col min="14092" max="14092" width="21.140625" style="485" customWidth="1"/>
    <col min="14093" max="14093" width="22.140625" style="485" customWidth="1"/>
    <col min="14094" max="14094" width="8" style="485" customWidth="1"/>
    <col min="14095" max="14095" width="17" style="485" customWidth="1"/>
    <col min="14096" max="14096" width="12.7109375" style="485" customWidth="1"/>
    <col min="14097" max="14097" width="24.5703125" style="485" customWidth="1"/>
    <col min="14098" max="14098" width="29" style="485" customWidth="1"/>
    <col min="14099" max="14099" width="17.7109375" style="485" customWidth="1"/>
    <col min="14100" max="14100" width="36.42578125" style="485" customWidth="1"/>
    <col min="14101" max="14101" width="21.85546875" style="485" customWidth="1"/>
    <col min="14102" max="14102" width="11.7109375" style="485" customWidth="1"/>
    <col min="14103" max="14103" width="26.28515625" style="485" customWidth="1"/>
    <col min="14104" max="14104" width="9" style="485" customWidth="1"/>
    <col min="14105" max="14105" width="6.28515625" style="485" customWidth="1"/>
    <col min="14106" max="14107" width="7.28515625" style="485" customWidth="1"/>
    <col min="14108" max="14108" width="8.42578125" style="485" customWidth="1"/>
    <col min="14109" max="14109" width="9.5703125" style="485" customWidth="1"/>
    <col min="14110" max="14110" width="6.28515625" style="485" customWidth="1"/>
    <col min="14111" max="14111" width="5.85546875" style="485" customWidth="1"/>
    <col min="14112" max="14113" width="4.42578125" style="485" customWidth="1"/>
    <col min="14114" max="14114" width="5" style="485" customWidth="1"/>
    <col min="14115" max="14115" width="5.85546875" style="485" customWidth="1"/>
    <col min="14116" max="14116" width="6.140625" style="485" customWidth="1"/>
    <col min="14117" max="14117" width="6.28515625" style="485" customWidth="1"/>
    <col min="14118" max="14118" width="11.140625" style="485" customWidth="1"/>
    <col min="14119" max="14119" width="14.140625" style="485" customWidth="1"/>
    <col min="14120" max="14120" width="19.85546875" style="485" customWidth="1"/>
    <col min="14121" max="14121" width="17" style="485" customWidth="1"/>
    <col min="14122" max="14122" width="20.85546875" style="485" customWidth="1"/>
    <col min="14123" max="14335" width="11.42578125" style="485"/>
    <col min="14336" max="14336" width="13.140625" style="485" customWidth="1"/>
    <col min="14337" max="14337" width="4" style="485" customWidth="1"/>
    <col min="14338" max="14338" width="12.85546875" style="485" customWidth="1"/>
    <col min="14339" max="14339" width="14.7109375" style="485" customWidth="1"/>
    <col min="14340" max="14340" width="10" style="485" customWidth="1"/>
    <col min="14341" max="14341" width="6.28515625" style="485" customWidth="1"/>
    <col min="14342" max="14342" width="12.28515625" style="485" customWidth="1"/>
    <col min="14343" max="14343" width="8.5703125" style="485" customWidth="1"/>
    <col min="14344" max="14344" width="13.7109375" style="485" customWidth="1"/>
    <col min="14345" max="14345" width="11.5703125" style="485" customWidth="1"/>
    <col min="14346" max="14346" width="34.28515625" style="485" customWidth="1"/>
    <col min="14347" max="14347" width="24.28515625" style="485" customWidth="1"/>
    <col min="14348" max="14348" width="21.140625" style="485" customWidth="1"/>
    <col min="14349" max="14349" width="22.140625" style="485" customWidth="1"/>
    <col min="14350" max="14350" width="8" style="485" customWidth="1"/>
    <col min="14351" max="14351" width="17" style="485" customWidth="1"/>
    <col min="14352" max="14352" width="12.7109375" style="485" customWidth="1"/>
    <col min="14353" max="14353" width="24.5703125" style="485" customWidth="1"/>
    <col min="14354" max="14354" width="29" style="485" customWidth="1"/>
    <col min="14355" max="14355" width="17.7109375" style="485" customWidth="1"/>
    <col min="14356" max="14356" width="36.42578125" style="485" customWidth="1"/>
    <col min="14357" max="14357" width="21.85546875" style="485" customWidth="1"/>
    <col min="14358" max="14358" width="11.7109375" style="485" customWidth="1"/>
    <col min="14359" max="14359" width="26.28515625" style="485" customWidth="1"/>
    <col min="14360" max="14360" width="9" style="485" customWidth="1"/>
    <col min="14361" max="14361" width="6.28515625" style="485" customWidth="1"/>
    <col min="14362" max="14363" width="7.28515625" style="485" customWidth="1"/>
    <col min="14364" max="14364" width="8.42578125" style="485" customWidth="1"/>
    <col min="14365" max="14365" width="9.5703125" style="485" customWidth="1"/>
    <col min="14366" max="14366" width="6.28515625" style="485" customWidth="1"/>
    <col min="14367" max="14367" width="5.85546875" style="485" customWidth="1"/>
    <col min="14368" max="14369" width="4.42578125" style="485" customWidth="1"/>
    <col min="14370" max="14370" width="5" style="485" customWidth="1"/>
    <col min="14371" max="14371" width="5.85546875" style="485" customWidth="1"/>
    <col min="14372" max="14372" width="6.140625" style="485" customWidth="1"/>
    <col min="14373" max="14373" width="6.28515625" style="485" customWidth="1"/>
    <col min="14374" max="14374" width="11.140625" style="485" customWidth="1"/>
    <col min="14375" max="14375" width="14.140625" style="485" customWidth="1"/>
    <col min="14376" max="14376" width="19.85546875" style="485" customWidth="1"/>
    <col min="14377" max="14377" width="17" style="485" customWidth="1"/>
    <col min="14378" max="14378" width="20.85546875" style="485" customWidth="1"/>
    <col min="14379" max="14591" width="11.42578125" style="485"/>
    <col min="14592" max="14592" width="13.140625" style="485" customWidth="1"/>
    <col min="14593" max="14593" width="4" style="485" customWidth="1"/>
    <col min="14594" max="14594" width="12.85546875" style="485" customWidth="1"/>
    <col min="14595" max="14595" width="14.7109375" style="485" customWidth="1"/>
    <col min="14596" max="14596" width="10" style="485" customWidth="1"/>
    <col min="14597" max="14597" width="6.28515625" style="485" customWidth="1"/>
    <col min="14598" max="14598" width="12.28515625" style="485" customWidth="1"/>
    <col min="14599" max="14599" width="8.5703125" style="485" customWidth="1"/>
    <col min="14600" max="14600" width="13.7109375" style="485" customWidth="1"/>
    <col min="14601" max="14601" width="11.5703125" style="485" customWidth="1"/>
    <col min="14602" max="14602" width="34.28515625" style="485" customWidth="1"/>
    <col min="14603" max="14603" width="24.28515625" style="485" customWidth="1"/>
    <col min="14604" max="14604" width="21.140625" style="485" customWidth="1"/>
    <col min="14605" max="14605" width="22.140625" style="485" customWidth="1"/>
    <col min="14606" max="14606" width="8" style="485" customWidth="1"/>
    <col min="14607" max="14607" width="17" style="485" customWidth="1"/>
    <col min="14608" max="14608" width="12.7109375" style="485" customWidth="1"/>
    <col min="14609" max="14609" width="24.5703125" style="485" customWidth="1"/>
    <col min="14610" max="14610" width="29" style="485" customWidth="1"/>
    <col min="14611" max="14611" width="17.7109375" style="485" customWidth="1"/>
    <col min="14612" max="14612" width="36.42578125" style="485" customWidth="1"/>
    <col min="14613" max="14613" width="21.85546875" style="485" customWidth="1"/>
    <col min="14614" max="14614" width="11.7109375" style="485" customWidth="1"/>
    <col min="14615" max="14615" width="26.28515625" style="485" customWidth="1"/>
    <col min="14616" max="14616" width="9" style="485" customWidth="1"/>
    <col min="14617" max="14617" width="6.28515625" style="485" customWidth="1"/>
    <col min="14618" max="14619" width="7.28515625" style="485" customWidth="1"/>
    <col min="14620" max="14620" width="8.42578125" style="485" customWidth="1"/>
    <col min="14621" max="14621" width="9.5703125" style="485" customWidth="1"/>
    <col min="14622" max="14622" width="6.28515625" style="485" customWidth="1"/>
    <col min="14623" max="14623" width="5.85546875" style="485" customWidth="1"/>
    <col min="14624" max="14625" width="4.42578125" style="485" customWidth="1"/>
    <col min="14626" max="14626" width="5" style="485" customWidth="1"/>
    <col min="14627" max="14627" width="5.85546875" style="485" customWidth="1"/>
    <col min="14628" max="14628" width="6.140625" style="485" customWidth="1"/>
    <col min="14629" max="14629" width="6.28515625" style="485" customWidth="1"/>
    <col min="14630" max="14630" width="11.140625" style="485" customWidth="1"/>
    <col min="14631" max="14631" width="14.140625" style="485" customWidth="1"/>
    <col min="14632" max="14632" width="19.85546875" style="485" customWidth="1"/>
    <col min="14633" max="14633" width="17" style="485" customWidth="1"/>
    <col min="14634" max="14634" width="20.85546875" style="485" customWidth="1"/>
    <col min="14635" max="14847" width="11.42578125" style="485"/>
    <col min="14848" max="14848" width="13.140625" style="485" customWidth="1"/>
    <col min="14849" max="14849" width="4" style="485" customWidth="1"/>
    <col min="14850" max="14850" width="12.85546875" style="485" customWidth="1"/>
    <col min="14851" max="14851" width="14.7109375" style="485" customWidth="1"/>
    <col min="14852" max="14852" width="10" style="485" customWidth="1"/>
    <col min="14853" max="14853" width="6.28515625" style="485" customWidth="1"/>
    <col min="14854" max="14854" width="12.28515625" style="485" customWidth="1"/>
    <col min="14855" max="14855" width="8.5703125" style="485" customWidth="1"/>
    <col min="14856" max="14856" width="13.7109375" style="485" customWidth="1"/>
    <col min="14857" max="14857" width="11.5703125" style="485" customWidth="1"/>
    <col min="14858" max="14858" width="34.28515625" style="485" customWidth="1"/>
    <col min="14859" max="14859" width="24.28515625" style="485" customWidth="1"/>
    <col min="14860" max="14860" width="21.140625" style="485" customWidth="1"/>
    <col min="14861" max="14861" width="22.140625" style="485" customWidth="1"/>
    <col min="14862" max="14862" width="8" style="485" customWidth="1"/>
    <col min="14863" max="14863" width="17" style="485" customWidth="1"/>
    <col min="14864" max="14864" width="12.7109375" style="485" customWidth="1"/>
    <col min="14865" max="14865" width="24.5703125" style="485" customWidth="1"/>
    <col min="14866" max="14866" width="29" style="485" customWidth="1"/>
    <col min="14867" max="14867" width="17.7109375" style="485" customWidth="1"/>
    <col min="14868" max="14868" width="36.42578125" style="485" customWidth="1"/>
    <col min="14869" max="14869" width="21.85546875" style="485" customWidth="1"/>
    <col min="14870" max="14870" width="11.7109375" style="485" customWidth="1"/>
    <col min="14871" max="14871" width="26.28515625" style="485" customWidth="1"/>
    <col min="14872" max="14872" width="9" style="485" customWidth="1"/>
    <col min="14873" max="14873" width="6.28515625" style="485" customWidth="1"/>
    <col min="14874" max="14875" width="7.28515625" style="485" customWidth="1"/>
    <col min="14876" max="14876" width="8.42578125" style="485" customWidth="1"/>
    <col min="14877" max="14877" width="9.5703125" style="485" customWidth="1"/>
    <col min="14878" max="14878" width="6.28515625" style="485" customWidth="1"/>
    <col min="14879" max="14879" width="5.85546875" style="485" customWidth="1"/>
    <col min="14880" max="14881" width="4.42578125" style="485" customWidth="1"/>
    <col min="14882" max="14882" width="5" style="485" customWidth="1"/>
    <col min="14883" max="14883" width="5.85546875" style="485" customWidth="1"/>
    <col min="14884" max="14884" width="6.140625" style="485" customWidth="1"/>
    <col min="14885" max="14885" width="6.28515625" style="485" customWidth="1"/>
    <col min="14886" max="14886" width="11.140625" style="485" customWidth="1"/>
    <col min="14887" max="14887" width="14.140625" style="485" customWidth="1"/>
    <col min="14888" max="14888" width="19.85546875" style="485" customWidth="1"/>
    <col min="14889" max="14889" width="17" style="485" customWidth="1"/>
    <col min="14890" max="14890" width="20.85546875" style="485" customWidth="1"/>
    <col min="14891" max="15103" width="11.42578125" style="485"/>
    <col min="15104" max="15104" width="13.140625" style="485" customWidth="1"/>
    <col min="15105" max="15105" width="4" style="485" customWidth="1"/>
    <col min="15106" max="15106" width="12.85546875" style="485" customWidth="1"/>
    <col min="15107" max="15107" width="14.7109375" style="485" customWidth="1"/>
    <col min="15108" max="15108" width="10" style="485" customWidth="1"/>
    <col min="15109" max="15109" width="6.28515625" style="485" customWidth="1"/>
    <col min="15110" max="15110" width="12.28515625" style="485" customWidth="1"/>
    <col min="15111" max="15111" width="8.5703125" style="485" customWidth="1"/>
    <col min="15112" max="15112" width="13.7109375" style="485" customWidth="1"/>
    <col min="15113" max="15113" width="11.5703125" style="485" customWidth="1"/>
    <col min="15114" max="15114" width="34.28515625" style="485" customWidth="1"/>
    <col min="15115" max="15115" width="24.28515625" style="485" customWidth="1"/>
    <col min="15116" max="15116" width="21.140625" style="485" customWidth="1"/>
    <col min="15117" max="15117" width="22.140625" style="485" customWidth="1"/>
    <col min="15118" max="15118" width="8" style="485" customWidth="1"/>
    <col min="15119" max="15119" width="17" style="485" customWidth="1"/>
    <col min="15120" max="15120" width="12.7109375" style="485" customWidth="1"/>
    <col min="15121" max="15121" width="24.5703125" style="485" customWidth="1"/>
    <col min="15122" max="15122" width="29" style="485" customWidth="1"/>
    <col min="15123" max="15123" width="17.7109375" style="485" customWidth="1"/>
    <col min="15124" max="15124" width="36.42578125" style="485" customWidth="1"/>
    <col min="15125" max="15125" width="21.85546875" style="485" customWidth="1"/>
    <col min="15126" max="15126" width="11.7109375" style="485" customWidth="1"/>
    <col min="15127" max="15127" width="26.28515625" style="485" customWidth="1"/>
    <col min="15128" max="15128" width="9" style="485" customWidth="1"/>
    <col min="15129" max="15129" width="6.28515625" style="485" customWidth="1"/>
    <col min="15130" max="15131" width="7.28515625" style="485" customWidth="1"/>
    <col min="15132" max="15132" width="8.42578125" style="485" customWidth="1"/>
    <col min="15133" max="15133" width="9.5703125" style="485" customWidth="1"/>
    <col min="15134" max="15134" width="6.28515625" style="485" customWidth="1"/>
    <col min="15135" max="15135" width="5.85546875" style="485" customWidth="1"/>
    <col min="15136" max="15137" width="4.42578125" style="485" customWidth="1"/>
    <col min="15138" max="15138" width="5" style="485" customWidth="1"/>
    <col min="15139" max="15139" width="5.85546875" style="485" customWidth="1"/>
    <col min="15140" max="15140" width="6.140625" style="485" customWidth="1"/>
    <col min="15141" max="15141" width="6.28515625" style="485" customWidth="1"/>
    <col min="15142" max="15142" width="11.140625" style="485" customWidth="1"/>
    <col min="15143" max="15143" width="14.140625" style="485" customWidth="1"/>
    <col min="15144" max="15144" width="19.85546875" style="485" customWidth="1"/>
    <col min="15145" max="15145" width="17" style="485" customWidth="1"/>
    <col min="15146" max="15146" width="20.85546875" style="485" customWidth="1"/>
    <col min="15147" max="15359" width="11.42578125" style="485"/>
    <col min="15360" max="15360" width="13.140625" style="485" customWidth="1"/>
    <col min="15361" max="15361" width="4" style="485" customWidth="1"/>
    <col min="15362" max="15362" width="12.85546875" style="485" customWidth="1"/>
    <col min="15363" max="15363" width="14.7109375" style="485" customWidth="1"/>
    <col min="15364" max="15364" width="10" style="485" customWidth="1"/>
    <col min="15365" max="15365" width="6.28515625" style="485" customWidth="1"/>
    <col min="15366" max="15366" width="12.28515625" style="485" customWidth="1"/>
    <col min="15367" max="15367" width="8.5703125" style="485" customWidth="1"/>
    <col min="15368" max="15368" width="13.7109375" style="485" customWidth="1"/>
    <col min="15369" max="15369" width="11.5703125" style="485" customWidth="1"/>
    <col min="15370" max="15370" width="34.28515625" style="485" customWidth="1"/>
    <col min="15371" max="15371" width="24.28515625" style="485" customWidth="1"/>
    <col min="15372" max="15372" width="21.140625" style="485" customWidth="1"/>
    <col min="15373" max="15373" width="22.140625" style="485" customWidth="1"/>
    <col min="15374" max="15374" width="8" style="485" customWidth="1"/>
    <col min="15375" max="15375" width="17" style="485" customWidth="1"/>
    <col min="15376" max="15376" width="12.7109375" style="485" customWidth="1"/>
    <col min="15377" max="15377" width="24.5703125" style="485" customWidth="1"/>
    <col min="15378" max="15378" width="29" style="485" customWidth="1"/>
    <col min="15379" max="15379" width="17.7109375" style="485" customWidth="1"/>
    <col min="15380" max="15380" width="36.42578125" style="485" customWidth="1"/>
    <col min="15381" max="15381" width="21.85546875" style="485" customWidth="1"/>
    <col min="15382" max="15382" width="11.7109375" style="485" customWidth="1"/>
    <col min="15383" max="15383" width="26.28515625" style="485" customWidth="1"/>
    <col min="15384" max="15384" width="9" style="485" customWidth="1"/>
    <col min="15385" max="15385" width="6.28515625" style="485" customWidth="1"/>
    <col min="15386" max="15387" width="7.28515625" style="485" customWidth="1"/>
    <col min="15388" max="15388" width="8.42578125" style="485" customWidth="1"/>
    <col min="15389" max="15389" width="9.5703125" style="485" customWidth="1"/>
    <col min="15390" max="15390" width="6.28515625" style="485" customWidth="1"/>
    <col min="15391" max="15391" width="5.85546875" style="485" customWidth="1"/>
    <col min="15392" max="15393" width="4.42578125" style="485" customWidth="1"/>
    <col min="15394" max="15394" width="5" style="485" customWidth="1"/>
    <col min="15395" max="15395" width="5.85546875" style="485" customWidth="1"/>
    <col min="15396" max="15396" width="6.140625" style="485" customWidth="1"/>
    <col min="15397" max="15397" width="6.28515625" style="485" customWidth="1"/>
    <col min="15398" max="15398" width="11.140625" style="485" customWidth="1"/>
    <col min="15399" max="15399" width="14.140625" style="485" customWidth="1"/>
    <col min="15400" max="15400" width="19.85546875" style="485" customWidth="1"/>
    <col min="15401" max="15401" width="17" style="485" customWidth="1"/>
    <col min="15402" max="15402" width="20.85546875" style="485" customWidth="1"/>
    <col min="15403" max="15615" width="11.42578125" style="485"/>
    <col min="15616" max="15616" width="13.140625" style="485" customWidth="1"/>
    <col min="15617" max="15617" width="4" style="485" customWidth="1"/>
    <col min="15618" max="15618" width="12.85546875" style="485" customWidth="1"/>
    <col min="15619" max="15619" width="14.7109375" style="485" customWidth="1"/>
    <col min="15620" max="15620" width="10" style="485" customWidth="1"/>
    <col min="15621" max="15621" width="6.28515625" style="485" customWidth="1"/>
    <col min="15622" max="15622" width="12.28515625" style="485" customWidth="1"/>
    <col min="15623" max="15623" width="8.5703125" style="485" customWidth="1"/>
    <col min="15624" max="15624" width="13.7109375" style="485" customWidth="1"/>
    <col min="15625" max="15625" width="11.5703125" style="485" customWidth="1"/>
    <col min="15626" max="15626" width="34.28515625" style="485" customWidth="1"/>
    <col min="15627" max="15627" width="24.28515625" style="485" customWidth="1"/>
    <col min="15628" max="15628" width="21.140625" style="485" customWidth="1"/>
    <col min="15629" max="15629" width="22.140625" style="485" customWidth="1"/>
    <col min="15630" max="15630" width="8" style="485" customWidth="1"/>
    <col min="15631" max="15631" width="17" style="485" customWidth="1"/>
    <col min="15632" max="15632" width="12.7109375" style="485" customWidth="1"/>
    <col min="15633" max="15633" width="24.5703125" style="485" customWidth="1"/>
    <col min="15634" max="15634" width="29" style="485" customWidth="1"/>
    <col min="15635" max="15635" width="17.7109375" style="485" customWidth="1"/>
    <col min="15636" max="15636" width="36.42578125" style="485" customWidth="1"/>
    <col min="15637" max="15637" width="21.85546875" style="485" customWidth="1"/>
    <col min="15638" max="15638" width="11.7109375" style="485" customWidth="1"/>
    <col min="15639" max="15639" width="26.28515625" style="485" customWidth="1"/>
    <col min="15640" max="15640" width="9" style="485" customWidth="1"/>
    <col min="15641" max="15641" width="6.28515625" style="485" customWidth="1"/>
    <col min="15642" max="15643" width="7.28515625" style="485" customWidth="1"/>
    <col min="15644" max="15644" width="8.42578125" style="485" customWidth="1"/>
    <col min="15645" max="15645" width="9.5703125" style="485" customWidth="1"/>
    <col min="15646" max="15646" width="6.28515625" style="485" customWidth="1"/>
    <col min="15647" max="15647" width="5.85546875" style="485" customWidth="1"/>
    <col min="15648" max="15649" width="4.42578125" style="485" customWidth="1"/>
    <col min="15650" max="15650" width="5" style="485" customWidth="1"/>
    <col min="15651" max="15651" width="5.85546875" style="485" customWidth="1"/>
    <col min="15652" max="15652" width="6.140625" style="485" customWidth="1"/>
    <col min="15653" max="15653" width="6.28515625" style="485" customWidth="1"/>
    <col min="15654" max="15654" width="11.140625" style="485" customWidth="1"/>
    <col min="15655" max="15655" width="14.140625" style="485" customWidth="1"/>
    <col min="15656" max="15656" width="19.85546875" style="485" customWidth="1"/>
    <col min="15657" max="15657" width="17" style="485" customWidth="1"/>
    <col min="15658" max="15658" width="20.85546875" style="485" customWidth="1"/>
    <col min="15659" max="15871" width="11.42578125" style="485"/>
    <col min="15872" max="15872" width="13.140625" style="485" customWidth="1"/>
    <col min="15873" max="15873" width="4" style="485" customWidth="1"/>
    <col min="15874" max="15874" width="12.85546875" style="485" customWidth="1"/>
    <col min="15875" max="15875" width="14.7109375" style="485" customWidth="1"/>
    <col min="15876" max="15876" width="10" style="485" customWidth="1"/>
    <col min="15877" max="15877" width="6.28515625" style="485" customWidth="1"/>
    <col min="15878" max="15878" width="12.28515625" style="485" customWidth="1"/>
    <col min="15879" max="15879" width="8.5703125" style="485" customWidth="1"/>
    <col min="15880" max="15880" width="13.7109375" style="485" customWidth="1"/>
    <col min="15881" max="15881" width="11.5703125" style="485" customWidth="1"/>
    <col min="15882" max="15882" width="34.28515625" style="485" customWidth="1"/>
    <col min="15883" max="15883" width="24.28515625" style="485" customWidth="1"/>
    <col min="15884" max="15884" width="21.140625" style="485" customWidth="1"/>
    <col min="15885" max="15885" width="22.140625" style="485" customWidth="1"/>
    <col min="15886" max="15886" width="8" style="485" customWidth="1"/>
    <col min="15887" max="15887" width="17" style="485" customWidth="1"/>
    <col min="15888" max="15888" width="12.7109375" style="485" customWidth="1"/>
    <col min="15889" max="15889" width="24.5703125" style="485" customWidth="1"/>
    <col min="15890" max="15890" width="29" style="485" customWidth="1"/>
    <col min="15891" max="15891" width="17.7109375" style="485" customWidth="1"/>
    <col min="15892" max="15892" width="36.42578125" style="485" customWidth="1"/>
    <col min="15893" max="15893" width="21.85546875" style="485" customWidth="1"/>
    <col min="15894" max="15894" width="11.7109375" style="485" customWidth="1"/>
    <col min="15895" max="15895" width="26.28515625" style="485" customWidth="1"/>
    <col min="15896" max="15896" width="9" style="485" customWidth="1"/>
    <col min="15897" max="15897" width="6.28515625" style="485" customWidth="1"/>
    <col min="15898" max="15899" width="7.28515625" style="485" customWidth="1"/>
    <col min="15900" max="15900" width="8.42578125" style="485" customWidth="1"/>
    <col min="15901" max="15901" width="9.5703125" style="485" customWidth="1"/>
    <col min="15902" max="15902" width="6.28515625" style="485" customWidth="1"/>
    <col min="15903" max="15903" width="5.85546875" style="485" customWidth="1"/>
    <col min="15904" max="15905" width="4.42578125" style="485" customWidth="1"/>
    <col min="15906" max="15906" width="5" style="485" customWidth="1"/>
    <col min="15907" max="15907" width="5.85546875" style="485" customWidth="1"/>
    <col min="15908" max="15908" width="6.140625" style="485" customWidth="1"/>
    <col min="15909" max="15909" width="6.28515625" style="485" customWidth="1"/>
    <col min="15910" max="15910" width="11.140625" style="485" customWidth="1"/>
    <col min="15911" max="15911" width="14.140625" style="485" customWidth="1"/>
    <col min="15912" max="15912" width="19.85546875" style="485" customWidth="1"/>
    <col min="15913" max="15913" width="17" style="485" customWidth="1"/>
    <col min="15914" max="15914" width="20.85546875" style="485" customWidth="1"/>
    <col min="15915" max="16127" width="11.42578125" style="485"/>
    <col min="16128" max="16128" width="13.140625" style="485" customWidth="1"/>
    <col min="16129" max="16129" width="4" style="485" customWidth="1"/>
    <col min="16130" max="16130" width="12.85546875" style="485" customWidth="1"/>
    <col min="16131" max="16131" width="14.7109375" style="485" customWidth="1"/>
    <col min="16132" max="16132" width="10" style="485" customWidth="1"/>
    <col min="16133" max="16133" width="6.28515625" style="485" customWidth="1"/>
    <col min="16134" max="16134" width="12.28515625" style="485" customWidth="1"/>
    <col min="16135" max="16135" width="8.5703125" style="485" customWidth="1"/>
    <col min="16136" max="16136" width="13.7109375" style="485" customWidth="1"/>
    <col min="16137" max="16137" width="11.5703125" style="485" customWidth="1"/>
    <col min="16138" max="16138" width="34.28515625" style="485" customWidth="1"/>
    <col min="16139" max="16139" width="24.28515625" style="485" customWidth="1"/>
    <col min="16140" max="16140" width="21.140625" style="485" customWidth="1"/>
    <col min="16141" max="16141" width="22.140625" style="485" customWidth="1"/>
    <col min="16142" max="16142" width="8" style="485" customWidth="1"/>
    <col min="16143" max="16143" width="17" style="485" customWidth="1"/>
    <col min="16144" max="16144" width="12.7109375" style="485" customWidth="1"/>
    <col min="16145" max="16145" width="24.5703125" style="485" customWidth="1"/>
    <col min="16146" max="16146" width="29" style="485" customWidth="1"/>
    <col min="16147" max="16147" width="17.7109375" style="485" customWidth="1"/>
    <col min="16148" max="16148" width="36.42578125" style="485" customWidth="1"/>
    <col min="16149" max="16149" width="21.85546875" style="485" customWidth="1"/>
    <col min="16150" max="16150" width="11.7109375" style="485" customWidth="1"/>
    <col min="16151" max="16151" width="26.28515625" style="485" customWidth="1"/>
    <col min="16152" max="16152" width="9" style="485" customWidth="1"/>
    <col min="16153" max="16153" width="6.28515625" style="485" customWidth="1"/>
    <col min="16154" max="16155" width="7.28515625" style="485" customWidth="1"/>
    <col min="16156" max="16156" width="8.42578125" style="485" customWidth="1"/>
    <col min="16157" max="16157" width="9.5703125" style="485" customWidth="1"/>
    <col min="16158" max="16158" width="6.28515625" style="485" customWidth="1"/>
    <col min="16159" max="16159" width="5.85546875" style="485" customWidth="1"/>
    <col min="16160" max="16161" width="4.42578125" style="485" customWidth="1"/>
    <col min="16162" max="16162" width="5" style="485" customWidth="1"/>
    <col min="16163" max="16163" width="5.85546875" style="485" customWidth="1"/>
    <col min="16164" max="16164" width="6.140625" style="485" customWidth="1"/>
    <col min="16165" max="16165" width="6.28515625" style="485" customWidth="1"/>
    <col min="16166" max="16166" width="11.140625" style="485" customWidth="1"/>
    <col min="16167" max="16167" width="14.140625" style="485" customWidth="1"/>
    <col min="16168" max="16168" width="19.85546875" style="485" customWidth="1"/>
    <col min="16169" max="16169" width="17" style="485" customWidth="1"/>
    <col min="16170" max="16170" width="20.85546875" style="485" customWidth="1"/>
    <col min="16171" max="16384" width="11.42578125" style="485"/>
  </cols>
  <sheetData>
    <row r="1" spans="1:43" ht="15" customHeight="1" x14ac:dyDescent="0.2">
      <c r="A1" s="2153" t="s">
        <v>2528</v>
      </c>
      <c r="B1" s="2701"/>
      <c r="C1" s="2701"/>
      <c r="D1" s="2701"/>
      <c r="E1" s="2701"/>
      <c r="F1" s="2701"/>
      <c r="G1" s="2701"/>
      <c r="H1" s="2701"/>
      <c r="I1" s="2701"/>
      <c r="J1" s="2701"/>
      <c r="K1" s="2701"/>
      <c r="L1" s="2701"/>
      <c r="M1" s="2701"/>
      <c r="N1" s="2701"/>
      <c r="O1" s="2701"/>
      <c r="P1" s="2701"/>
      <c r="Q1" s="2701"/>
      <c r="R1" s="2701"/>
      <c r="S1" s="2701"/>
      <c r="T1" s="2701"/>
      <c r="U1" s="2701"/>
      <c r="V1" s="2701"/>
      <c r="W1" s="2701"/>
      <c r="X1" s="2701"/>
      <c r="Y1" s="2701"/>
      <c r="Z1" s="2701"/>
      <c r="AA1" s="2701"/>
      <c r="AB1" s="2701"/>
      <c r="AC1" s="2701"/>
      <c r="AD1" s="2701"/>
      <c r="AE1" s="2701"/>
      <c r="AF1" s="2701"/>
      <c r="AG1" s="2701"/>
      <c r="AH1" s="2701"/>
      <c r="AI1" s="2701"/>
      <c r="AJ1" s="2701"/>
      <c r="AK1" s="2701"/>
      <c r="AL1" s="2701"/>
      <c r="AM1" s="2701"/>
      <c r="AN1" s="2701"/>
      <c r="AO1" s="2701"/>
      <c r="AP1" s="2702"/>
      <c r="AQ1" s="2038" t="s">
        <v>341</v>
      </c>
    </row>
    <row r="2" spans="1:43" x14ac:dyDescent="0.2">
      <c r="A2" s="2703"/>
      <c r="B2" s="2123"/>
      <c r="C2" s="2123"/>
      <c r="D2" s="2123"/>
      <c r="E2" s="2123"/>
      <c r="F2" s="2123"/>
      <c r="G2" s="2123"/>
      <c r="H2" s="2123"/>
      <c r="I2" s="2123"/>
      <c r="J2" s="2123"/>
      <c r="K2" s="2123"/>
      <c r="L2" s="2123"/>
      <c r="M2" s="2123"/>
      <c r="N2" s="2123"/>
      <c r="O2" s="2123"/>
      <c r="P2" s="2123"/>
      <c r="Q2" s="2123"/>
      <c r="R2" s="2123"/>
      <c r="S2" s="2123"/>
      <c r="T2" s="2123"/>
      <c r="U2" s="2123"/>
      <c r="V2" s="2123"/>
      <c r="W2" s="2123"/>
      <c r="X2" s="2123"/>
      <c r="Y2" s="2123"/>
      <c r="Z2" s="2123"/>
      <c r="AA2" s="2123"/>
      <c r="AB2" s="2123"/>
      <c r="AC2" s="2123"/>
      <c r="AD2" s="2123"/>
      <c r="AE2" s="2123"/>
      <c r="AF2" s="2123"/>
      <c r="AG2" s="2123"/>
      <c r="AH2" s="2123"/>
      <c r="AI2" s="2123"/>
      <c r="AJ2" s="2123"/>
      <c r="AK2" s="2123"/>
      <c r="AL2" s="2123"/>
      <c r="AM2" s="2123"/>
      <c r="AN2" s="2123"/>
      <c r="AO2" s="2123"/>
      <c r="AP2" s="2704"/>
      <c r="AQ2" s="2039">
        <v>6</v>
      </c>
    </row>
    <row r="3" spans="1:43" x14ac:dyDescent="0.2">
      <c r="A3" s="2703"/>
      <c r="B3" s="2123"/>
      <c r="C3" s="2123"/>
      <c r="D3" s="2123"/>
      <c r="E3" s="2123"/>
      <c r="F3" s="2123"/>
      <c r="G3" s="2123"/>
      <c r="H3" s="2123"/>
      <c r="I3" s="2123"/>
      <c r="J3" s="2123"/>
      <c r="K3" s="2123"/>
      <c r="L3" s="2123"/>
      <c r="M3" s="2123"/>
      <c r="N3" s="2123"/>
      <c r="O3" s="2123"/>
      <c r="P3" s="2123"/>
      <c r="Q3" s="2123"/>
      <c r="R3" s="2123"/>
      <c r="S3" s="2123"/>
      <c r="T3" s="2123"/>
      <c r="U3" s="2123"/>
      <c r="V3" s="2123"/>
      <c r="W3" s="2123"/>
      <c r="X3" s="2123"/>
      <c r="Y3" s="2123"/>
      <c r="Z3" s="2123"/>
      <c r="AA3" s="2123"/>
      <c r="AB3" s="2123"/>
      <c r="AC3" s="2123"/>
      <c r="AD3" s="2123"/>
      <c r="AE3" s="2123"/>
      <c r="AF3" s="2123"/>
      <c r="AG3" s="2123"/>
      <c r="AH3" s="2123"/>
      <c r="AI3" s="2123"/>
      <c r="AJ3" s="2123"/>
      <c r="AK3" s="2123"/>
      <c r="AL3" s="2123"/>
      <c r="AM3" s="2123"/>
      <c r="AN3" s="2123"/>
      <c r="AO3" s="2123"/>
      <c r="AP3" s="2704"/>
      <c r="AQ3" s="2040" t="s">
        <v>5</v>
      </c>
    </row>
    <row r="4" spans="1:43" s="490" customFormat="1" x14ac:dyDescent="0.2">
      <c r="A4" s="2705"/>
      <c r="B4" s="2706"/>
      <c r="C4" s="2706"/>
      <c r="D4" s="2706"/>
      <c r="E4" s="2706"/>
      <c r="F4" s="2706"/>
      <c r="G4" s="2706"/>
      <c r="H4" s="2706"/>
      <c r="I4" s="2706"/>
      <c r="J4" s="2706"/>
      <c r="K4" s="2706"/>
      <c r="L4" s="2706"/>
      <c r="M4" s="2706"/>
      <c r="N4" s="2706"/>
      <c r="O4" s="2706"/>
      <c r="P4" s="2706"/>
      <c r="Q4" s="2706"/>
      <c r="R4" s="2706"/>
      <c r="S4" s="2706"/>
      <c r="T4" s="2706"/>
      <c r="U4" s="2706"/>
      <c r="V4" s="2706"/>
      <c r="W4" s="2706"/>
      <c r="X4" s="2706"/>
      <c r="Y4" s="2706"/>
      <c r="Z4" s="2706"/>
      <c r="AA4" s="2706"/>
      <c r="AB4" s="2706"/>
      <c r="AC4" s="2706"/>
      <c r="AD4" s="2706"/>
      <c r="AE4" s="2706"/>
      <c r="AF4" s="2706"/>
      <c r="AG4" s="2706"/>
      <c r="AH4" s="2706"/>
      <c r="AI4" s="2706"/>
      <c r="AJ4" s="2706"/>
      <c r="AK4" s="2706"/>
      <c r="AL4" s="2706"/>
      <c r="AM4" s="2706"/>
      <c r="AN4" s="2706"/>
      <c r="AO4" s="2706"/>
      <c r="AP4" s="2707"/>
      <c r="AQ4" s="2041" t="s">
        <v>342</v>
      </c>
    </row>
    <row r="5" spans="1:43" ht="15" customHeight="1" x14ac:dyDescent="0.2">
      <c r="A5" s="2254" t="s">
        <v>8</v>
      </c>
      <c r="B5" s="2128"/>
      <c r="C5" s="2128"/>
      <c r="D5" s="2128"/>
      <c r="E5" s="2128"/>
      <c r="F5" s="2128"/>
      <c r="G5" s="2128"/>
      <c r="H5" s="2128"/>
      <c r="I5" s="2128"/>
      <c r="J5" s="2128"/>
      <c r="K5" s="2128"/>
      <c r="L5" s="2128"/>
      <c r="M5" s="2128"/>
      <c r="N5" s="2128"/>
      <c r="O5" s="3414"/>
      <c r="P5" s="3415" t="s">
        <v>9</v>
      </c>
      <c r="Q5" s="2128"/>
      <c r="R5" s="2128"/>
      <c r="S5" s="2128"/>
      <c r="T5" s="2128"/>
      <c r="U5" s="2128"/>
      <c r="V5" s="2128"/>
      <c r="W5" s="2128"/>
      <c r="X5" s="2128"/>
      <c r="Y5" s="2128"/>
      <c r="Z5" s="2128"/>
      <c r="AA5" s="2128"/>
      <c r="AB5" s="2128"/>
      <c r="AC5" s="2128"/>
      <c r="AD5" s="2128"/>
      <c r="AE5" s="2128"/>
      <c r="AF5" s="2128"/>
      <c r="AG5" s="2128"/>
      <c r="AH5" s="2128"/>
      <c r="AI5" s="2128"/>
      <c r="AJ5" s="2128"/>
      <c r="AK5" s="2128"/>
      <c r="AL5" s="2128"/>
      <c r="AM5" s="2128"/>
      <c r="AN5" s="2128"/>
      <c r="AO5" s="2128"/>
      <c r="AP5" s="2128"/>
      <c r="AQ5" s="3416"/>
    </row>
    <row r="6" spans="1:43" ht="15.75" customHeight="1" x14ac:dyDescent="0.2">
      <c r="A6" s="2255"/>
      <c r="B6" s="2129"/>
      <c r="C6" s="2129"/>
      <c r="D6" s="2129"/>
      <c r="E6" s="2129"/>
      <c r="F6" s="2129"/>
      <c r="G6" s="2129"/>
      <c r="H6" s="2129"/>
      <c r="I6" s="2129"/>
      <c r="J6" s="2129"/>
      <c r="K6" s="2129"/>
      <c r="L6" s="2129"/>
      <c r="M6" s="2129"/>
      <c r="N6" s="2129"/>
      <c r="O6" s="2132"/>
      <c r="P6" s="3029"/>
      <c r="Q6" s="3028"/>
      <c r="R6" s="3028"/>
      <c r="S6" s="3028"/>
      <c r="T6" s="3028"/>
      <c r="U6" s="3028"/>
      <c r="V6" s="3028"/>
      <c r="W6" s="3028"/>
      <c r="X6" s="3028"/>
      <c r="Y6" s="3028"/>
      <c r="Z6" s="3028"/>
      <c r="AA6" s="3028"/>
      <c r="AB6" s="3028"/>
      <c r="AC6" s="3028"/>
      <c r="AD6" s="3028"/>
      <c r="AE6" s="3028"/>
      <c r="AF6" s="3028"/>
      <c r="AG6" s="3028"/>
      <c r="AH6" s="3028"/>
      <c r="AI6" s="3028"/>
      <c r="AJ6" s="3028"/>
      <c r="AK6" s="3028"/>
      <c r="AL6" s="3028"/>
      <c r="AM6" s="3028"/>
      <c r="AN6" s="3028"/>
      <c r="AO6" s="3028"/>
      <c r="AP6" s="3028"/>
      <c r="AQ6" s="3417"/>
    </row>
    <row r="7" spans="1:43" s="363" customFormat="1" ht="23.25" customHeight="1" x14ac:dyDescent="0.25">
      <c r="A7" s="3418" t="s">
        <v>11</v>
      </c>
      <c r="B7" s="2692" t="s">
        <v>12</v>
      </c>
      <c r="C7" s="2692"/>
      <c r="D7" s="2692" t="s">
        <v>11</v>
      </c>
      <c r="E7" s="2692" t="s">
        <v>13</v>
      </c>
      <c r="F7" s="2692"/>
      <c r="G7" s="2692" t="s">
        <v>11</v>
      </c>
      <c r="H7" s="2692" t="s">
        <v>14</v>
      </c>
      <c r="I7" s="2692"/>
      <c r="J7" s="2692" t="s">
        <v>11</v>
      </c>
      <c r="K7" s="2692" t="s">
        <v>15</v>
      </c>
      <c r="L7" s="2692" t="s">
        <v>16</v>
      </c>
      <c r="M7" s="3412" t="s">
        <v>17</v>
      </c>
      <c r="N7" s="2692" t="s">
        <v>18</v>
      </c>
      <c r="O7" s="2119" t="s">
        <v>344</v>
      </c>
      <c r="P7" s="2692" t="s">
        <v>9</v>
      </c>
      <c r="Q7" s="2692" t="s">
        <v>20</v>
      </c>
      <c r="R7" s="2692" t="s">
        <v>21</v>
      </c>
      <c r="S7" s="2692" t="s">
        <v>22</v>
      </c>
      <c r="T7" s="2692" t="s">
        <v>23</v>
      </c>
      <c r="U7" s="2692" t="s">
        <v>24</v>
      </c>
      <c r="V7" s="3412" t="s">
        <v>21</v>
      </c>
      <c r="W7" s="2119" t="s">
        <v>11</v>
      </c>
      <c r="X7" s="2692" t="s">
        <v>25</v>
      </c>
      <c r="Y7" s="3422" t="s">
        <v>26</v>
      </c>
      <c r="Z7" s="3423"/>
      <c r="AA7" s="3419" t="s">
        <v>27</v>
      </c>
      <c r="AB7" s="3420"/>
      <c r="AC7" s="3420"/>
      <c r="AD7" s="3420"/>
      <c r="AE7" s="2106" t="s">
        <v>28</v>
      </c>
      <c r="AF7" s="2107"/>
      <c r="AG7" s="2107"/>
      <c r="AH7" s="2107"/>
      <c r="AI7" s="2107"/>
      <c r="AJ7" s="2107"/>
      <c r="AK7" s="3419" t="s">
        <v>29</v>
      </c>
      <c r="AL7" s="3420"/>
      <c r="AM7" s="3420"/>
      <c r="AN7" s="3424" t="s">
        <v>30</v>
      </c>
      <c r="AO7" s="3426" t="s">
        <v>31</v>
      </c>
      <c r="AP7" s="3426" t="s">
        <v>32</v>
      </c>
      <c r="AQ7" s="2684" t="s">
        <v>33</v>
      </c>
    </row>
    <row r="8" spans="1:43" s="363" customFormat="1" ht="120.75" customHeight="1" x14ac:dyDescent="0.25">
      <c r="A8" s="3418"/>
      <c r="B8" s="2692"/>
      <c r="C8" s="2692"/>
      <c r="D8" s="2692"/>
      <c r="E8" s="2692"/>
      <c r="F8" s="2692"/>
      <c r="G8" s="2692"/>
      <c r="H8" s="2692"/>
      <c r="I8" s="2692"/>
      <c r="J8" s="2692"/>
      <c r="K8" s="2692"/>
      <c r="L8" s="2692"/>
      <c r="M8" s="3421"/>
      <c r="N8" s="2692"/>
      <c r="O8" s="2120"/>
      <c r="P8" s="2692"/>
      <c r="Q8" s="2692"/>
      <c r="R8" s="2692"/>
      <c r="S8" s="2692"/>
      <c r="T8" s="2692"/>
      <c r="U8" s="2692"/>
      <c r="V8" s="3413"/>
      <c r="W8" s="2120"/>
      <c r="X8" s="2692"/>
      <c r="Y8" s="1998" t="s">
        <v>34</v>
      </c>
      <c r="Z8" s="1999" t="s">
        <v>35</v>
      </c>
      <c r="AA8" s="1998" t="s">
        <v>36</v>
      </c>
      <c r="AB8" s="1998" t="s">
        <v>37</v>
      </c>
      <c r="AC8" s="1998" t="s">
        <v>38</v>
      </c>
      <c r="AD8" s="1998" t="s">
        <v>39</v>
      </c>
      <c r="AE8" s="1998" t="s">
        <v>40</v>
      </c>
      <c r="AF8" s="1998" t="s">
        <v>41</v>
      </c>
      <c r="AG8" s="1998" t="s">
        <v>42</v>
      </c>
      <c r="AH8" s="1998" t="s">
        <v>43</v>
      </c>
      <c r="AI8" s="1998" t="s">
        <v>44</v>
      </c>
      <c r="AJ8" s="1998" t="s">
        <v>45</v>
      </c>
      <c r="AK8" s="1998" t="s">
        <v>46</v>
      </c>
      <c r="AL8" s="1998" t="s">
        <v>47</v>
      </c>
      <c r="AM8" s="1998" t="s">
        <v>48</v>
      </c>
      <c r="AN8" s="3425"/>
      <c r="AO8" s="3427"/>
      <c r="AP8" s="3427"/>
      <c r="AQ8" s="2684"/>
    </row>
    <row r="9" spans="1:43" ht="15.75" x14ac:dyDescent="0.2">
      <c r="A9" s="2000"/>
      <c r="B9" s="2001"/>
      <c r="C9" s="1987"/>
      <c r="D9" s="1987"/>
      <c r="E9" s="1987"/>
      <c r="F9" s="815"/>
      <c r="G9" s="815"/>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815"/>
      <c r="AN9" s="815"/>
      <c r="AO9" s="815"/>
      <c r="AP9" s="815"/>
      <c r="AQ9" s="2002"/>
    </row>
    <row r="10" spans="1:43" s="467" customFormat="1" ht="20.25" customHeight="1" x14ac:dyDescent="0.2">
      <c r="A10" s="2003"/>
      <c r="B10" s="2004"/>
      <c r="C10" s="535"/>
      <c r="D10" s="2005">
        <v>20</v>
      </c>
      <c r="E10" s="2006" t="s">
        <v>1180</v>
      </c>
      <c r="F10" s="2006"/>
      <c r="G10" s="2006"/>
      <c r="H10" s="2006"/>
      <c r="I10" s="2006"/>
      <c r="J10" s="2006"/>
      <c r="K10" s="2007"/>
      <c r="L10" s="2006"/>
      <c r="M10" s="2006"/>
      <c r="N10" s="2006"/>
      <c r="O10" s="2008"/>
      <c r="P10" s="2007"/>
      <c r="Q10" s="2009"/>
      <c r="R10" s="2010"/>
      <c r="S10" s="2007"/>
      <c r="T10" s="2007"/>
      <c r="U10" s="2007"/>
      <c r="V10" s="2011"/>
      <c r="W10" s="2012"/>
      <c r="X10" s="2008"/>
      <c r="Y10" s="2006"/>
      <c r="Z10" s="2006"/>
      <c r="AA10" s="2006"/>
      <c r="AB10" s="2006"/>
      <c r="AC10" s="2006"/>
      <c r="AD10" s="2006"/>
      <c r="AE10" s="2006"/>
      <c r="AF10" s="2006"/>
      <c r="AG10" s="2006"/>
      <c r="AH10" s="2006"/>
      <c r="AI10" s="2006"/>
      <c r="AJ10" s="2006"/>
      <c r="AK10" s="2006"/>
      <c r="AL10" s="2006"/>
      <c r="AM10" s="2006"/>
      <c r="AN10" s="2006"/>
      <c r="AO10" s="2013"/>
      <c r="AP10" s="2013"/>
      <c r="AQ10" s="2014"/>
    </row>
    <row r="11" spans="1:43" s="467" customFormat="1" ht="20.25" customHeight="1" x14ac:dyDescent="0.2">
      <c r="A11" s="2015"/>
      <c r="B11" s="1667"/>
      <c r="C11" s="531"/>
      <c r="D11" s="1979"/>
      <c r="E11" s="1980"/>
      <c r="F11" s="1980"/>
      <c r="G11" s="2016">
        <v>68</v>
      </c>
      <c r="H11" s="2017" t="s">
        <v>1181</v>
      </c>
      <c r="I11" s="2017"/>
      <c r="J11" s="2017"/>
      <c r="K11" s="2018"/>
      <c r="L11" s="2017"/>
      <c r="M11" s="2017"/>
      <c r="N11" s="2017"/>
      <c r="O11" s="2019"/>
      <c r="P11" s="2018"/>
      <c r="Q11" s="2020"/>
      <c r="R11" s="2021"/>
      <c r="S11" s="2018"/>
      <c r="T11" s="2018"/>
      <c r="U11" s="2018"/>
      <c r="V11" s="2022"/>
      <c r="W11" s="2023"/>
      <c r="X11" s="2019"/>
      <c r="Y11" s="2017"/>
      <c r="Z11" s="2017"/>
      <c r="AA11" s="2017"/>
      <c r="AB11" s="2017"/>
      <c r="AC11" s="2017"/>
      <c r="AD11" s="2017"/>
      <c r="AE11" s="2017"/>
      <c r="AF11" s="2017"/>
      <c r="AG11" s="2017"/>
      <c r="AH11" s="2017"/>
      <c r="AI11" s="2017"/>
      <c r="AJ11" s="2017"/>
      <c r="AK11" s="2017"/>
      <c r="AL11" s="2017"/>
      <c r="AM11" s="2017"/>
      <c r="AN11" s="2017"/>
      <c r="AO11" s="2024"/>
      <c r="AP11" s="2024"/>
      <c r="AQ11" s="2025"/>
    </row>
    <row r="12" spans="1:43" s="467" customFormat="1" ht="46.5" customHeight="1" x14ac:dyDescent="0.2">
      <c r="A12" s="2015"/>
      <c r="B12" s="1667"/>
      <c r="C12" s="531"/>
      <c r="D12" s="1982"/>
      <c r="E12" s="1983"/>
      <c r="F12" s="1983"/>
      <c r="G12" s="1981"/>
      <c r="H12" s="1983"/>
      <c r="I12" s="1983"/>
      <c r="J12" s="2754">
        <v>202</v>
      </c>
      <c r="K12" s="2056" t="s">
        <v>1182</v>
      </c>
      <c r="L12" s="2056" t="s">
        <v>1183</v>
      </c>
      <c r="M12" s="2754">
        <v>23</v>
      </c>
      <c r="N12" s="1994" t="s">
        <v>1184</v>
      </c>
      <c r="O12" s="2628" t="s">
        <v>1185</v>
      </c>
      <c r="P12" s="2057" t="s">
        <v>1186</v>
      </c>
      <c r="Q12" s="2668">
        <f>+(V12+V13+V14+V15)/R12</f>
        <v>0.87483000321872406</v>
      </c>
      <c r="R12" s="2731">
        <f>SUM(V12:V16)</f>
        <v>1342174677</v>
      </c>
      <c r="S12" s="2057" t="s">
        <v>1187</v>
      </c>
      <c r="T12" s="2733" t="s">
        <v>1188</v>
      </c>
      <c r="U12" s="2057" t="s">
        <v>1189</v>
      </c>
      <c r="V12" s="1996">
        <v>230600000</v>
      </c>
      <c r="W12" s="1992">
        <v>12</v>
      </c>
      <c r="X12" s="1990" t="s">
        <v>1190</v>
      </c>
      <c r="Y12" s="2243">
        <v>648</v>
      </c>
      <c r="Z12" s="2243">
        <v>625</v>
      </c>
      <c r="AA12" s="2243">
        <v>325</v>
      </c>
      <c r="AB12" s="2243">
        <v>325</v>
      </c>
      <c r="AC12" s="2243">
        <v>548</v>
      </c>
      <c r="AD12" s="2243"/>
      <c r="AE12" s="2243"/>
      <c r="AF12" s="2243"/>
      <c r="AG12" s="2243"/>
      <c r="AH12" s="2243"/>
      <c r="AI12" s="2243"/>
      <c r="AJ12" s="2243"/>
      <c r="AK12" s="2243">
        <v>75</v>
      </c>
      <c r="AL12" s="2243"/>
      <c r="AM12" s="2243"/>
      <c r="AN12" s="2243">
        <f>+Y12+Z12</f>
        <v>1273</v>
      </c>
      <c r="AO12" s="3409">
        <v>43101</v>
      </c>
      <c r="AP12" s="3409">
        <v>43465</v>
      </c>
      <c r="AQ12" s="3406" t="s">
        <v>1191</v>
      </c>
    </row>
    <row r="13" spans="1:43" s="467" customFormat="1" ht="37.5" customHeight="1" x14ac:dyDescent="0.2">
      <c r="A13" s="2015"/>
      <c r="B13" s="1667"/>
      <c r="C13" s="531"/>
      <c r="D13" s="1982"/>
      <c r="E13" s="1983"/>
      <c r="F13" s="1983"/>
      <c r="G13" s="1982"/>
      <c r="H13" s="1983"/>
      <c r="I13" s="1983"/>
      <c r="J13" s="2754"/>
      <c r="K13" s="2056"/>
      <c r="L13" s="2056"/>
      <c r="M13" s="2754"/>
      <c r="N13" s="1994" t="s">
        <v>1192</v>
      </c>
      <c r="O13" s="2629"/>
      <c r="P13" s="2630"/>
      <c r="Q13" s="2669"/>
      <c r="R13" s="2732"/>
      <c r="S13" s="2630"/>
      <c r="T13" s="2734"/>
      <c r="U13" s="2648"/>
      <c r="V13" s="1996">
        <v>600000000</v>
      </c>
      <c r="W13" s="1992">
        <v>6</v>
      </c>
      <c r="X13" s="1990" t="s">
        <v>1193</v>
      </c>
      <c r="Y13" s="2729"/>
      <c r="Z13" s="2729"/>
      <c r="AA13" s="2729"/>
      <c r="AB13" s="2729"/>
      <c r="AC13" s="2729"/>
      <c r="AD13" s="2729"/>
      <c r="AE13" s="2729"/>
      <c r="AF13" s="2729"/>
      <c r="AG13" s="2729"/>
      <c r="AH13" s="2729"/>
      <c r="AI13" s="2729"/>
      <c r="AJ13" s="2729"/>
      <c r="AK13" s="2729"/>
      <c r="AL13" s="2729"/>
      <c r="AM13" s="2729"/>
      <c r="AN13" s="2729"/>
      <c r="AO13" s="3410"/>
      <c r="AP13" s="3410"/>
      <c r="AQ13" s="3407"/>
    </row>
    <row r="14" spans="1:43" s="467" customFormat="1" ht="38.25" customHeight="1" x14ac:dyDescent="0.2">
      <c r="A14" s="2015"/>
      <c r="B14" s="1667"/>
      <c r="C14" s="531"/>
      <c r="D14" s="1982"/>
      <c r="E14" s="2084"/>
      <c r="F14" s="2084"/>
      <c r="G14" s="1982"/>
      <c r="H14" s="1667"/>
      <c r="I14" s="1667"/>
      <c r="J14" s="2754"/>
      <c r="K14" s="2056"/>
      <c r="L14" s="2056"/>
      <c r="M14" s="2754"/>
      <c r="N14" s="1994" t="s">
        <v>1194</v>
      </c>
      <c r="O14" s="2629"/>
      <c r="P14" s="2630"/>
      <c r="Q14" s="2669"/>
      <c r="R14" s="2732"/>
      <c r="S14" s="2630"/>
      <c r="T14" s="2734"/>
      <c r="U14" s="2057" t="s">
        <v>1195</v>
      </c>
      <c r="V14" s="1989">
        <v>12000000</v>
      </c>
      <c r="W14" s="1992">
        <v>9</v>
      </c>
      <c r="X14" s="1990" t="s">
        <v>1196</v>
      </c>
      <c r="Y14" s="2729"/>
      <c r="Z14" s="2729"/>
      <c r="AA14" s="2729"/>
      <c r="AB14" s="2729"/>
      <c r="AC14" s="2729"/>
      <c r="AD14" s="2729"/>
      <c r="AE14" s="2729"/>
      <c r="AF14" s="2729"/>
      <c r="AG14" s="2729"/>
      <c r="AH14" s="2729"/>
      <c r="AI14" s="2729"/>
      <c r="AJ14" s="2729"/>
      <c r="AK14" s="2729"/>
      <c r="AL14" s="2729"/>
      <c r="AM14" s="2729"/>
      <c r="AN14" s="2729"/>
      <c r="AO14" s="3410"/>
      <c r="AP14" s="3410"/>
      <c r="AQ14" s="3407"/>
    </row>
    <row r="15" spans="1:43" s="467" customFormat="1" ht="36" customHeight="1" x14ac:dyDescent="0.2">
      <c r="A15" s="2015"/>
      <c r="B15" s="1667"/>
      <c r="C15" s="531"/>
      <c r="D15" s="1982"/>
      <c r="E15" s="1983"/>
      <c r="F15" s="1983"/>
      <c r="G15" s="1982"/>
      <c r="H15" s="1983"/>
      <c r="I15" s="1983"/>
      <c r="J15" s="2754"/>
      <c r="K15" s="2056"/>
      <c r="L15" s="2056"/>
      <c r="M15" s="2754"/>
      <c r="N15" s="1994" t="s">
        <v>1197</v>
      </c>
      <c r="O15" s="2629"/>
      <c r="P15" s="2630"/>
      <c r="Q15" s="2670"/>
      <c r="R15" s="2732"/>
      <c r="S15" s="2630"/>
      <c r="T15" s="2734"/>
      <c r="U15" s="2648"/>
      <c r="V15" s="1996">
        <v>331574677</v>
      </c>
      <c r="W15" s="1992">
        <v>4</v>
      </c>
      <c r="X15" s="1990" t="s">
        <v>1198</v>
      </c>
      <c r="Y15" s="2729"/>
      <c r="Z15" s="2729"/>
      <c r="AA15" s="2729"/>
      <c r="AB15" s="2729"/>
      <c r="AC15" s="2729"/>
      <c r="AD15" s="2729"/>
      <c r="AE15" s="2729"/>
      <c r="AF15" s="2729"/>
      <c r="AG15" s="2729"/>
      <c r="AH15" s="2729"/>
      <c r="AI15" s="2729"/>
      <c r="AJ15" s="2729"/>
      <c r="AK15" s="2729"/>
      <c r="AL15" s="2729"/>
      <c r="AM15" s="2729"/>
      <c r="AN15" s="2729"/>
      <c r="AO15" s="3410"/>
      <c r="AP15" s="3410"/>
      <c r="AQ15" s="3407"/>
    </row>
    <row r="16" spans="1:43" s="467" customFormat="1" ht="137.25" customHeight="1" x14ac:dyDescent="0.2">
      <c r="A16" s="2015"/>
      <c r="B16" s="1667"/>
      <c r="C16" s="531"/>
      <c r="D16" s="1982"/>
      <c r="E16" s="1983"/>
      <c r="F16" s="1983"/>
      <c r="G16" s="1982"/>
      <c r="H16" s="1983"/>
      <c r="I16" s="1983"/>
      <c r="J16" s="1994">
        <v>203</v>
      </c>
      <c r="K16" s="1985" t="s">
        <v>1199</v>
      </c>
      <c r="L16" s="1985" t="s">
        <v>1200</v>
      </c>
      <c r="M16" s="1994">
        <v>20</v>
      </c>
      <c r="N16" s="1994" t="s">
        <v>1201</v>
      </c>
      <c r="O16" s="2639"/>
      <c r="P16" s="2648"/>
      <c r="Q16" s="1995">
        <f>+V16/R12</f>
        <v>0.12516999678127588</v>
      </c>
      <c r="R16" s="3186"/>
      <c r="S16" s="2648"/>
      <c r="T16" s="2743"/>
      <c r="U16" s="2026" t="s">
        <v>1202</v>
      </c>
      <c r="V16" s="1978">
        <v>168000000</v>
      </c>
      <c r="W16" s="1992">
        <v>4</v>
      </c>
      <c r="X16" s="1990" t="s">
        <v>1198</v>
      </c>
      <c r="Y16" s="2740"/>
      <c r="Z16" s="2740"/>
      <c r="AA16" s="2740"/>
      <c r="AB16" s="2740"/>
      <c r="AC16" s="2740"/>
      <c r="AD16" s="2740"/>
      <c r="AE16" s="2740"/>
      <c r="AF16" s="2740"/>
      <c r="AG16" s="2740"/>
      <c r="AH16" s="2740"/>
      <c r="AI16" s="2740"/>
      <c r="AJ16" s="2740"/>
      <c r="AK16" s="2740"/>
      <c r="AL16" s="2740"/>
      <c r="AM16" s="2740"/>
      <c r="AN16" s="2740"/>
      <c r="AO16" s="3411"/>
      <c r="AP16" s="3411"/>
      <c r="AQ16" s="3408"/>
    </row>
    <row r="17" spans="1:43" s="467" customFormat="1" ht="23.25" customHeight="1" x14ac:dyDescent="0.2">
      <c r="A17" s="2015"/>
      <c r="B17" s="1667"/>
      <c r="C17" s="531"/>
      <c r="D17" s="1982"/>
      <c r="E17" s="1983"/>
      <c r="F17" s="1983"/>
      <c r="G17" s="2016">
        <v>69</v>
      </c>
      <c r="H17" s="2017" t="s">
        <v>1203</v>
      </c>
      <c r="I17" s="2017"/>
      <c r="J17" s="2017"/>
      <c r="K17" s="2018"/>
      <c r="L17" s="2017"/>
      <c r="M17" s="2017"/>
      <c r="N17" s="2017"/>
      <c r="O17" s="2019"/>
      <c r="P17" s="2018"/>
      <c r="Q17" s="2020"/>
      <c r="R17" s="2027"/>
      <c r="S17" s="2018" t="s">
        <v>388</v>
      </c>
      <c r="T17" s="2018" t="s">
        <v>388</v>
      </c>
      <c r="U17" s="2018"/>
      <c r="V17" s="2028"/>
      <c r="W17" s="2023"/>
      <c r="X17" s="2019"/>
      <c r="Y17" s="2029"/>
      <c r="Z17" s="2029"/>
      <c r="AA17" s="2029"/>
      <c r="AB17" s="2029"/>
      <c r="AC17" s="2029"/>
      <c r="AD17" s="2029"/>
      <c r="AE17" s="2029"/>
      <c r="AF17" s="2029"/>
      <c r="AG17" s="2029"/>
      <c r="AH17" s="2029"/>
      <c r="AI17" s="2029"/>
      <c r="AJ17" s="2029"/>
      <c r="AK17" s="2029"/>
      <c r="AL17" s="2029"/>
      <c r="AM17" s="2029"/>
      <c r="AN17" s="2029"/>
      <c r="AO17" s="2024"/>
      <c r="AP17" s="2024"/>
      <c r="AQ17" s="2030"/>
    </row>
    <row r="18" spans="1:43" s="467" customFormat="1" ht="69" customHeight="1" x14ac:dyDescent="0.2">
      <c r="A18" s="2015"/>
      <c r="B18" s="1667"/>
      <c r="C18" s="531"/>
      <c r="D18" s="1982"/>
      <c r="E18" s="1983"/>
      <c r="F18" s="1983"/>
      <c r="G18" s="1982"/>
      <c r="H18" s="1983"/>
      <c r="I18" s="1983"/>
      <c r="J18" s="2754">
        <v>204</v>
      </c>
      <c r="K18" s="2056" t="s">
        <v>1204</v>
      </c>
      <c r="L18" s="2049" t="s">
        <v>1205</v>
      </c>
      <c r="M18" s="2628">
        <v>13</v>
      </c>
      <c r="N18" s="1994" t="s">
        <v>1206</v>
      </c>
      <c r="O18" s="2628" t="s">
        <v>1185</v>
      </c>
      <c r="P18" s="2057" t="s">
        <v>1186</v>
      </c>
      <c r="Q18" s="2668">
        <v>1</v>
      </c>
      <c r="R18" s="2731">
        <f>SUM(V18:V19)</f>
        <v>170200000</v>
      </c>
      <c r="S18" s="2057" t="s">
        <v>1187</v>
      </c>
      <c r="T18" s="2057" t="s">
        <v>1188</v>
      </c>
      <c r="U18" s="2057" t="s">
        <v>1207</v>
      </c>
      <c r="V18" s="1996">
        <v>110200000</v>
      </c>
      <c r="W18" s="1992">
        <v>4</v>
      </c>
      <c r="X18" s="1990" t="s">
        <v>1198</v>
      </c>
      <c r="Y18" s="2243">
        <f>+Y12</f>
        <v>648</v>
      </c>
      <c r="Z18" s="2243">
        <f>+Z12</f>
        <v>625</v>
      </c>
      <c r="AA18" s="2243">
        <f>+AA12</f>
        <v>325</v>
      </c>
      <c r="AB18" s="2243">
        <f>+AB12</f>
        <v>325</v>
      </c>
      <c r="AC18" s="2243">
        <f>+AC12</f>
        <v>548</v>
      </c>
      <c r="AD18" s="2243"/>
      <c r="AE18" s="2243"/>
      <c r="AF18" s="2243"/>
      <c r="AG18" s="2243"/>
      <c r="AH18" s="2243"/>
      <c r="AI18" s="2243"/>
      <c r="AJ18" s="2243"/>
      <c r="AK18" s="2243">
        <f>+AK12</f>
        <v>75</v>
      </c>
      <c r="AL18" s="2243"/>
      <c r="AM18" s="2243"/>
      <c r="AN18" s="2243">
        <f>+Y18+Z18</f>
        <v>1273</v>
      </c>
      <c r="AO18" s="2723">
        <v>43101</v>
      </c>
      <c r="AP18" s="2723">
        <f>+AP12</f>
        <v>43465</v>
      </c>
      <c r="AQ18" s="1984" t="s">
        <v>1191</v>
      </c>
    </row>
    <row r="19" spans="1:43" s="467" customFormat="1" ht="51.75" customHeight="1" x14ac:dyDescent="0.2">
      <c r="A19" s="2015"/>
      <c r="B19" s="1667"/>
      <c r="C19" s="531"/>
      <c r="D19" s="1982"/>
      <c r="E19" s="1983"/>
      <c r="F19" s="1983"/>
      <c r="G19" s="1982"/>
      <c r="H19" s="1983"/>
      <c r="I19" s="1983"/>
      <c r="J19" s="2754"/>
      <c r="K19" s="2056"/>
      <c r="L19" s="2049"/>
      <c r="M19" s="2639"/>
      <c r="N19" s="1994" t="s">
        <v>1208</v>
      </c>
      <c r="O19" s="2639"/>
      <c r="P19" s="2648"/>
      <c r="Q19" s="2670"/>
      <c r="R19" s="3186"/>
      <c r="S19" s="2648"/>
      <c r="T19" s="2648" t="s">
        <v>388</v>
      </c>
      <c r="U19" s="2648"/>
      <c r="V19" s="1996">
        <v>60000000</v>
      </c>
      <c r="W19" s="1992">
        <v>12</v>
      </c>
      <c r="X19" s="1990" t="s">
        <v>1190</v>
      </c>
      <c r="Y19" s="2740"/>
      <c r="Z19" s="2740"/>
      <c r="AA19" s="2740"/>
      <c r="AB19" s="2740"/>
      <c r="AC19" s="2740"/>
      <c r="AD19" s="2740"/>
      <c r="AE19" s="2740"/>
      <c r="AF19" s="2740"/>
      <c r="AG19" s="2740"/>
      <c r="AH19" s="2740"/>
      <c r="AI19" s="2740"/>
      <c r="AJ19" s="2740"/>
      <c r="AK19" s="2740"/>
      <c r="AL19" s="2740"/>
      <c r="AM19" s="2740"/>
      <c r="AN19" s="2740"/>
      <c r="AO19" s="2738"/>
      <c r="AP19" s="2738"/>
      <c r="AQ19" s="1997"/>
    </row>
    <row r="20" spans="1:43" s="467" customFormat="1" ht="23.25" customHeight="1" x14ac:dyDescent="0.2">
      <c r="A20" s="2015"/>
      <c r="B20" s="1667"/>
      <c r="C20" s="531"/>
      <c r="D20" s="1982"/>
      <c r="E20" s="1983"/>
      <c r="F20" s="1983"/>
      <c r="G20" s="2016">
        <v>70</v>
      </c>
      <c r="H20" s="2017" t="s">
        <v>1209</v>
      </c>
      <c r="I20" s="2017"/>
      <c r="J20" s="2017"/>
      <c r="K20" s="2018"/>
      <c r="L20" s="2017"/>
      <c r="M20" s="2017"/>
      <c r="N20" s="2017"/>
      <c r="O20" s="2019"/>
      <c r="P20" s="2018"/>
      <c r="Q20" s="2020"/>
      <c r="R20" s="2027"/>
      <c r="S20" s="2018" t="s">
        <v>388</v>
      </c>
      <c r="T20" s="2018" t="s">
        <v>388</v>
      </c>
      <c r="U20" s="2018"/>
      <c r="V20" s="2028"/>
      <c r="W20" s="2023"/>
      <c r="X20" s="2019"/>
      <c r="Y20" s="2029"/>
      <c r="Z20" s="2029"/>
      <c r="AA20" s="2029"/>
      <c r="AB20" s="2029"/>
      <c r="AC20" s="2029"/>
      <c r="AD20" s="2029"/>
      <c r="AE20" s="2029"/>
      <c r="AF20" s="2029"/>
      <c r="AG20" s="2029"/>
      <c r="AH20" s="2029"/>
      <c r="AI20" s="2029"/>
      <c r="AJ20" s="2029"/>
      <c r="AK20" s="2029"/>
      <c r="AL20" s="2029"/>
      <c r="AM20" s="2029"/>
      <c r="AN20" s="2029"/>
      <c r="AO20" s="2024"/>
      <c r="AP20" s="2024"/>
      <c r="AQ20" s="2030"/>
    </row>
    <row r="21" spans="1:43" s="467" customFormat="1" ht="42.75" customHeight="1" x14ac:dyDescent="0.2">
      <c r="A21" s="2015"/>
      <c r="B21" s="1667"/>
      <c r="C21" s="531"/>
      <c r="D21" s="1982"/>
      <c r="E21" s="1983"/>
      <c r="F21" s="1983"/>
      <c r="G21" s="1982"/>
      <c r="H21" s="1983"/>
      <c r="I21" s="1983"/>
      <c r="J21" s="2754">
        <v>205</v>
      </c>
      <c r="K21" s="2056" t="s">
        <v>1210</v>
      </c>
      <c r="L21" s="2065" t="s">
        <v>1211</v>
      </c>
      <c r="M21" s="2754">
        <v>1</v>
      </c>
      <c r="N21" s="1994" t="s">
        <v>1212</v>
      </c>
      <c r="O21" s="2754" t="s">
        <v>1213</v>
      </c>
      <c r="P21" s="2056" t="s">
        <v>1214</v>
      </c>
      <c r="Q21" s="2668">
        <v>1</v>
      </c>
      <c r="R21" s="2542">
        <v>420107384.49000001</v>
      </c>
      <c r="S21" s="2057" t="s">
        <v>1215</v>
      </c>
      <c r="T21" s="2057" t="s">
        <v>1216</v>
      </c>
      <c r="U21" s="2057" t="s">
        <v>1217</v>
      </c>
      <c r="V21" s="1996">
        <v>131000000</v>
      </c>
      <c r="W21" s="1992">
        <v>12</v>
      </c>
      <c r="X21" s="1990" t="s">
        <v>1190</v>
      </c>
      <c r="Y21" s="2242">
        <v>4002</v>
      </c>
      <c r="Z21" s="2242">
        <v>6013</v>
      </c>
      <c r="AA21" s="2242">
        <v>4164</v>
      </c>
      <c r="AB21" s="2242">
        <v>5851</v>
      </c>
      <c r="AC21" s="2242"/>
      <c r="AD21" s="2242"/>
      <c r="AE21" s="2242"/>
      <c r="AF21" s="2242"/>
      <c r="AG21" s="2242"/>
      <c r="AH21" s="2242"/>
      <c r="AI21" s="2242"/>
      <c r="AJ21" s="2242"/>
      <c r="AK21" s="2242"/>
      <c r="AL21" s="2242"/>
      <c r="AM21" s="2242"/>
      <c r="AN21" s="2242">
        <f>+Y21+Z21</f>
        <v>10015</v>
      </c>
      <c r="AO21" s="2723">
        <v>43101</v>
      </c>
      <c r="AP21" s="2723">
        <v>43465</v>
      </c>
      <c r="AQ21" s="2090" t="s">
        <v>1191</v>
      </c>
    </row>
    <row r="22" spans="1:43" s="467" customFormat="1" ht="38.25" customHeight="1" x14ac:dyDescent="0.2">
      <c r="A22" s="2015"/>
      <c r="B22" s="1667"/>
      <c r="C22" s="531"/>
      <c r="D22" s="1982"/>
      <c r="E22" s="1983"/>
      <c r="F22" s="1983"/>
      <c r="G22" s="1982"/>
      <c r="H22" s="1983"/>
      <c r="I22" s="1983"/>
      <c r="J22" s="2754"/>
      <c r="K22" s="2056"/>
      <c r="L22" s="2065"/>
      <c r="M22" s="2754"/>
      <c r="N22" s="1994" t="s">
        <v>1218</v>
      </c>
      <c r="O22" s="2754"/>
      <c r="P22" s="2056"/>
      <c r="Q22" s="2669"/>
      <c r="R22" s="2542"/>
      <c r="S22" s="2630"/>
      <c r="T22" s="2630" t="s">
        <v>388</v>
      </c>
      <c r="U22" s="2630"/>
      <c r="V22" s="1996">
        <v>80000000</v>
      </c>
      <c r="W22" s="1992">
        <v>4</v>
      </c>
      <c r="X22" s="1990" t="s">
        <v>1198</v>
      </c>
      <c r="Y22" s="2242"/>
      <c r="Z22" s="2242"/>
      <c r="AA22" s="2242"/>
      <c r="AB22" s="2242"/>
      <c r="AC22" s="2242"/>
      <c r="AD22" s="2242"/>
      <c r="AE22" s="2242"/>
      <c r="AF22" s="2242"/>
      <c r="AG22" s="2242"/>
      <c r="AH22" s="2242"/>
      <c r="AI22" s="2242"/>
      <c r="AJ22" s="2242"/>
      <c r="AK22" s="2242"/>
      <c r="AL22" s="2242"/>
      <c r="AM22" s="2242"/>
      <c r="AN22" s="2242"/>
      <c r="AO22" s="2724"/>
      <c r="AP22" s="2724"/>
      <c r="AQ22" s="3397"/>
    </row>
    <row r="23" spans="1:43" s="467" customFormat="1" ht="38.25" customHeight="1" x14ac:dyDescent="0.2">
      <c r="A23" s="2015"/>
      <c r="B23" s="1667"/>
      <c r="C23" s="531"/>
      <c r="D23" s="1982"/>
      <c r="E23" s="1983"/>
      <c r="F23" s="1983"/>
      <c r="G23" s="1982"/>
      <c r="H23" s="1983"/>
      <c r="I23" s="1983"/>
      <c r="J23" s="2754"/>
      <c r="K23" s="2056"/>
      <c r="L23" s="2065"/>
      <c r="M23" s="2754"/>
      <c r="N23" s="1994" t="s">
        <v>1219</v>
      </c>
      <c r="O23" s="2754"/>
      <c r="P23" s="2056"/>
      <c r="Q23" s="2669"/>
      <c r="R23" s="2542"/>
      <c r="S23" s="2630"/>
      <c r="T23" s="2630"/>
      <c r="U23" s="2630"/>
      <c r="V23" s="1996">
        <v>111879742.48999999</v>
      </c>
      <c r="W23" s="1992">
        <v>6</v>
      </c>
      <c r="X23" s="1990" t="s">
        <v>1193</v>
      </c>
      <c r="Y23" s="2242"/>
      <c r="Z23" s="2242"/>
      <c r="AA23" s="2242"/>
      <c r="AB23" s="2242"/>
      <c r="AC23" s="2242"/>
      <c r="AD23" s="2242"/>
      <c r="AE23" s="2242"/>
      <c r="AF23" s="2242"/>
      <c r="AG23" s="2242"/>
      <c r="AH23" s="2242"/>
      <c r="AI23" s="2242"/>
      <c r="AJ23" s="2242"/>
      <c r="AK23" s="2242"/>
      <c r="AL23" s="2242"/>
      <c r="AM23" s="2242"/>
      <c r="AN23" s="2242"/>
      <c r="AO23" s="2724"/>
      <c r="AP23" s="2724"/>
      <c r="AQ23" s="3397"/>
    </row>
    <row r="24" spans="1:43" s="467" customFormat="1" ht="42" customHeight="1" x14ac:dyDescent="0.2">
      <c r="A24" s="2015"/>
      <c r="B24" s="1667"/>
      <c r="C24" s="531"/>
      <c r="D24" s="1982"/>
      <c r="E24" s="1983"/>
      <c r="F24" s="1983"/>
      <c r="G24" s="1982"/>
      <c r="H24" s="1983"/>
      <c r="I24" s="1983"/>
      <c r="J24" s="2754"/>
      <c r="K24" s="2056"/>
      <c r="L24" s="2065"/>
      <c r="M24" s="2754"/>
      <c r="N24" s="1994" t="s">
        <v>1220</v>
      </c>
      <c r="O24" s="2754"/>
      <c r="P24" s="2056"/>
      <c r="Q24" s="2670"/>
      <c r="R24" s="2542"/>
      <c r="S24" s="2648"/>
      <c r="T24" s="2648" t="s">
        <v>388</v>
      </c>
      <c r="U24" s="2648"/>
      <c r="V24" s="1996">
        <v>97227642</v>
      </c>
      <c r="W24" s="1992">
        <v>7</v>
      </c>
      <c r="X24" s="1990" t="s">
        <v>1221</v>
      </c>
      <c r="Y24" s="2242"/>
      <c r="Z24" s="2242"/>
      <c r="AA24" s="2242"/>
      <c r="AB24" s="2242"/>
      <c r="AC24" s="2242"/>
      <c r="AD24" s="2242"/>
      <c r="AE24" s="2242"/>
      <c r="AF24" s="2242"/>
      <c r="AG24" s="2242"/>
      <c r="AH24" s="2242"/>
      <c r="AI24" s="2242"/>
      <c r="AJ24" s="2242"/>
      <c r="AK24" s="2242"/>
      <c r="AL24" s="2242"/>
      <c r="AM24" s="2242"/>
      <c r="AN24" s="2242"/>
      <c r="AO24" s="2738"/>
      <c r="AP24" s="2738"/>
      <c r="AQ24" s="2091"/>
    </row>
    <row r="25" spans="1:43" s="467" customFormat="1" ht="23.25" customHeight="1" x14ac:dyDescent="0.2">
      <c r="A25" s="2015"/>
      <c r="B25" s="1667"/>
      <c r="C25" s="531"/>
      <c r="D25" s="1982"/>
      <c r="E25" s="1983"/>
      <c r="F25" s="1983"/>
      <c r="G25" s="2016">
        <v>71</v>
      </c>
      <c r="H25" s="2017" t="s">
        <v>1222</v>
      </c>
      <c r="I25" s="2017"/>
      <c r="J25" s="2017"/>
      <c r="K25" s="2018"/>
      <c r="L25" s="2017"/>
      <c r="M25" s="2017"/>
      <c r="N25" s="2017"/>
      <c r="O25" s="2019"/>
      <c r="P25" s="2018"/>
      <c r="Q25" s="2020"/>
      <c r="R25" s="2027"/>
      <c r="S25" s="2018" t="s">
        <v>388</v>
      </c>
      <c r="T25" s="2018" t="s">
        <v>388</v>
      </c>
      <c r="U25" s="2018"/>
      <c r="V25" s="2028"/>
      <c r="W25" s="2023"/>
      <c r="X25" s="2019" t="s">
        <v>1223</v>
      </c>
      <c r="Y25" s="2029"/>
      <c r="Z25" s="2029"/>
      <c r="AA25" s="2029"/>
      <c r="AB25" s="2029"/>
      <c r="AC25" s="2029"/>
      <c r="AD25" s="2029"/>
      <c r="AE25" s="2029"/>
      <c r="AF25" s="2029"/>
      <c r="AG25" s="2029"/>
      <c r="AH25" s="2029"/>
      <c r="AI25" s="2029"/>
      <c r="AJ25" s="2029"/>
      <c r="AK25" s="2029"/>
      <c r="AL25" s="2029"/>
      <c r="AM25" s="2029"/>
      <c r="AN25" s="2029"/>
      <c r="AO25" s="2024"/>
      <c r="AP25" s="2024"/>
      <c r="AQ25" s="2030"/>
    </row>
    <row r="26" spans="1:43" s="467" customFormat="1" ht="48.75" customHeight="1" x14ac:dyDescent="0.2">
      <c r="A26" s="2015"/>
      <c r="B26" s="1667"/>
      <c r="C26" s="531"/>
      <c r="D26" s="1982"/>
      <c r="E26" s="1983"/>
      <c r="F26" s="1983"/>
      <c r="G26" s="1982"/>
      <c r="H26" s="1983"/>
      <c r="I26" s="1983"/>
      <c r="J26" s="2628">
        <v>206</v>
      </c>
      <c r="K26" s="2088" t="s">
        <v>1224</v>
      </c>
      <c r="L26" s="3403" t="s">
        <v>1225</v>
      </c>
      <c r="M26" s="2628">
        <v>12</v>
      </c>
      <c r="N26" s="1994" t="s">
        <v>1226</v>
      </c>
      <c r="O26" s="2628" t="s">
        <v>1227</v>
      </c>
      <c r="P26" s="2057" t="s">
        <v>1228</v>
      </c>
      <c r="Q26" s="2668">
        <f>+(V26+V27)/R26</f>
        <v>0.13960548903467757</v>
      </c>
      <c r="R26" s="2542">
        <v>537228160</v>
      </c>
      <c r="S26" s="2057" t="s">
        <v>1229</v>
      </c>
      <c r="T26" s="2057" t="s">
        <v>1230</v>
      </c>
      <c r="U26" s="2057" t="s">
        <v>1231</v>
      </c>
      <c r="V26" s="1989">
        <v>60000000</v>
      </c>
      <c r="W26" s="1988"/>
      <c r="X26" s="1994" t="s">
        <v>1232</v>
      </c>
      <c r="Y26" s="2243">
        <v>3153</v>
      </c>
      <c r="Z26" s="2243">
        <v>4014</v>
      </c>
      <c r="AA26" s="2243">
        <v>594</v>
      </c>
      <c r="AB26" s="2243">
        <v>4607</v>
      </c>
      <c r="AC26" s="2243">
        <v>1966</v>
      </c>
      <c r="AD26" s="2243"/>
      <c r="AE26" s="2243"/>
      <c r="AF26" s="2243"/>
      <c r="AG26" s="2243"/>
      <c r="AH26" s="2243"/>
      <c r="AI26" s="2243"/>
      <c r="AJ26" s="2243"/>
      <c r="AK26" s="2243"/>
      <c r="AL26" s="2243"/>
      <c r="AM26" s="2243"/>
      <c r="AN26" s="2243">
        <f>+Y26+Z26</f>
        <v>7167</v>
      </c>
      <c r="AO26" s="2723">
        <v>43101</v>
      </c>
      <c r="AP26" s="2723">
        <v>43465</v>
      </c>
      <c r="AQ26" s="3400" t="s">
        <v>1191</v>
      </c>
    </row>
    <row r="27" spans="1:43" s="467" customFormat="1" ht="48.75" customHeight="1" x14ac:dyDescent="0.2">
      <c r="A27" s="2015"/>
      <c r="B27" s="1667"/>
      <c r="C27" s="531"/>
      <c r="D27" s="1982"/>
      <c r="E27" s="1983"/>
      <c r="F27" s="1983"/>
      <c r="G27" s="1982"/>
      <c r="H27" s="1983"/>
      <c r="I27" s="1983"/>
      <c r="J27" s="2639"/>
      <c r="K27" s="2089"/>
      <c r="L27" s="3405"/>
      <c r="M27" s="2639"/>
      <c r="N27" s="1994" t="s">
        <v>1233</v>
      </c>
      <c r="O27" s="2629"/>
      <c r="P27" s="2630"/>
      <c r="Q27" s="2670"/>
      <c r="R27" s="2542"/>
      <c r="S27" s="2630"/>
      <c r="T27" s="2630"/>
      <c r="U27" s="2648"/>
      <c r="V27" s="1989">
        <v>15000000</v>
      </c>
      <c r="W27" s="1988"/>
      <c r="X27" s="1994" t="s">
        <v>1193</v>
      </c>
      <c r="Y27" s="2729"/>
      <c r="Z27" s="2729"/>
      <c r="AA27" s="2729"/>
      <c r="AB27" s="2729"/>
      <c r="AC27" s="2729"/>
      <c r="AD27" s="2729"/>
      <c r="AE27" s="2729"/>
      <c r="AF27" s="2729"/>
      <c r="AG27" s="2729"/>
      <c r="AH27" s="2729"/>
      <c r="AI27" s="2729"/>
      <c r="AJ27" s="2729"/>
      <c r="AK27" s="2729"/>
      <c r="AL27" s="2729"/>
      <c r="AM27" s="2729"/>
      <c r="AN27" s="2729"/>
      <c r="AO27" s="2724"/>
      <c r="AP27" s="2724"/>
      <c r="AQ27" s="3401"/>
    </row>
    <row r="28" spans="1:43" s="467" customFormat="1" ht="64.5" customHeight="1" x14ac:dyDescent="0.2">
      <c r="A28" s="2015"/>
      <c r="B28" s="1667"/>
      <c r="C28" s="531"/>
      <c r="D28" s="1982"/>
      <c r="E28" s="1983"/>
      <c r="F28" s="1983"/>
      <c r="G28" s="1982"/>
      <c r="H28" s="1983"/>
      <c r="I28" s="1983"/>
      <c r="J28" s="2628">
        <v>207</v>
      </c>
      <c r="K28" s="2088" t="s">
        <v>1234</v>
      </c>
      <c r="L28" s="3403" t="s">
        <v>1235</v>
      </c>
      <c r="M28" s="2628">
        <v>1</v>
      </c>
      <c r="N28" s="1994" t="s">
        <v>1236</v>
      </c>
      <c r="O28" s="2629"/>
      <c r="P28" s="2630"/>
      <c r="Q28" s="2668">
        <f>+(V28+V29+V30)/R26</f>
        <v>0.64633276111215021</v>
      </c>
      <c r="R28" s="2542"/>
      <c r="S28" s="2630"/>
      <c r="T28" s="2630" t="s">
        <v>388</v>
      </c>
      <c r="U28" s="2057" t="s">
        <v>1237</v>
      </c>
      <c r="V28" s="1989">
        <v>100000000</v>
      </c>
      <c r="W28" s="1988">
        <v>12</v>
      </c>
      <c r="X28" s="1994" t="s">
        <v>1232</v>
      </c>
      <c r="Y28" s="2729"/>
      <c r="Z28" s="2729"/>
      <c r="AA28" s="2729"/>
      <c r="AB28" s="2729"/>
      <c r="AC28" s="2729"/>
      <c r="AD28" s="2729"/>
      <c r="AE28" s="2729"/>
      <c r="AF28" s="2729"/>
      <c r="AG28" s="2729"/>
      <c r="AH28" s="2729"/>
      <c r="AI28" s="2729"/>
      <c r="AJ28" s="2729"/>
      <c r="AK28" s="2729"/>
      <c r="AL28" s="2729"/>
      <c r="AM28" s="2729"/>
      <c r="AN28" s="2729"/>
      <c r="AO28" s="2724"/>
      <c r="AP28" s="2724"/>
      <c r="AQ28" s="3401"/>
    </row>
    <row r="29" spans="1:43" s="467" customFormat="1" ht="49.5" customHeight="1" x14ac:dyDescent="0.2">
      <c r="A29" s="2015"/>
      <c r="B29" s="1667"/>
      <c r="C29" s="531"/>
      <c r="D29" s="1982"/>
      <c r="E29" s="1983"/>
      <c r="F29" s="1983"/>
      <c r="G29" s="1982"/>
      <c r="H29" s="1983"/>
      <c r="I29" s="1983"/>
      <c r="J29" s="2629"/>
      <c r="K29" s="2185"/>
      <c r="L29" s="3404"/>
      <c r="M29" s="2629"/>
      <c r="N29" s="1994" t="s">
        <v>1238</v>
      </c>
      <c r="O29" s="2629"/>
      <c r="P29" s="2630"/>
      <c r="Q29" s="2669"/>
      <c r="R29" s="2542"/>
      <c r="S29" s="2630"/>
      <c r="T29" s="2630"/>
      <c r="U29" s="2630"/>
      <c r="V29" s="1989">
        <v>32228160</v>
      </c>
      <c r="W29" s="1988">
        <v>11</v>
      </c>
      <c r="X29" s="1994" t="s">
        <v>1239</v>
      </c>
      <c r="Y29" s="2729"/>
      <c r="Z29" s="2729"/>
      <c r="AA29" s="2729"/>
      <c r="AB29" s="2729"/>
      <c r="AC29" s="2729"/>
      <c r="AD29" s="2729"/>
      <c r="AE29" s="2729"/>
      <c r="AF29" s="2729"/>
      <c r="AG29" s="2729"/>
      <c r="AH29" s="2729"/>
      <c r="AI29" s="2729"/>
      <c r="AJ29" s="2729"/>
      <c r="AK29" s="2729"/>
      <c r="AL29" s="2729"/>
      <c r="AM29" s="2729"/>
      <c r="AN29" s="2729"/>
      <c r="AO29" s="2724"/>
      <c r="AP29" s="2724"/>
      <c r="AQ29" s="3401"/>
    </row>
    <row r="30" spans="1:43" s="467" customFormat="1" ht="48" customHeight="1" x14ac:dyDescent="0.2">
      <c r="A30" s="2015"/>
      <c r="B30" s="1667"/>
      <c r="C30" s="531"/>
      <c r="D30" s="1982"/>
      <c r="E30" s="1983"/>
      <c r="F30" s="1983"/>
      <c r="G30" s="1982"/>
      <c r="H30" s="1983"/>
      <c r="I30" s="1983"/>
      <c r="J30" s="2639"/>
      <c r="K30" s="2089"/>
      <c r="L30" s="3405"/>
      <c r="M30" s="2639"/>
      <c r="N30" s="1994" t="s">
        <v>1240</v>
      </c>
      <c r="O30" s="2629"/>
      <c r="P30" s="2630"/>
      <c r="Q30" s="2670"/>
      <c r="R30" s="2542"/>
      <c r="S30" s="2630"/>
      <c r="T30" s="2630"/>
      <c r="U30" s="2648"/>
      <c r="V30" s="1989">
        <v>215000000</v>
      </c>
      <c r="W30" s="1988">
        <v>6</v>
      </c>
      <c r="X30" s="1994" t="s">
        <v>1241</v>
      </c>
      <c r="Y30" s="2729"/>
      <c r="Z30" s="2729"/>
      <c r="AA30" s="2729"/>
      <c r="AB30" s="2729"/>
      <c r="AC30" s="2729"/>
      <c r="AD30" s="2729"/>
      <c r="AE30" s="2729"/>
      <c r="AF30" s="2729"/>
      <c r="AG30" s="2729"/>
      <c r="AH30" s="2729"/>
      <c r="AI30" s="2729"/>
      <c r="AJ30" s="2729"/>
      <c r="AK30" s="2729"/>
      <c r="AL30" s="2729"/>
      <c r="AM30" s="2729"/>
      <c r="AN30" s="2729"/>
      <c r="AO30" s="2724"/>
      <c r="AP30" s="2724"/>
      <c r="AQ30" s="3401"/>
    </row>
    <row r="31" spans="1:43" s="467" customFormat="1" ht="51.75" customHeight="1" x14ac:dyDescent="0.2">
      <c r="A31" s="2015"/>
      <c r="B31" s="1667"/>
      <c r="C31" s="531"/>
      <c r="D31" s="1982"/>
      <c r="E31" s="1983"/>
      <c r="F31" s="1983"/>
      <c r="G31" s="1982"/>
      <c r="H31" s="1983"/>
      <c r="I31" s="1983"/>
      <c r="J31" s="2754">
        <v>208</v>
      </c>
      <c r="K31" s="2049" t="s">
        <v>1242</v>
      </c>
      <c r="L31" s="2049" t="s">
        <v>1243</v>
      </c>
      <c r="M31" s="2754">
        <v>1</v>
      </c>
      <c r="N31" s="1994" t="s">
        <v>1244</v>
      </c>
      <c r="O31" s="2629"/>
      <c r="P31" s="2630"/>
      <c r="Q31" s="2668">
        <f>+(V31+V32+V33)/R26</f>
        <v>0.21406174985317225</v>
      </c>
      <c r="R31" s="2542"/>
      <c r="S31" s="2630"/>
      <c r="T31" s="2630" t="s">
        <v>388</v>
      </c>
      <c r="U31" s="2056" t="s">
        <v>1245</v>
      </c>
      <c r="V31" s="1989">
        <v>20000000</v>
      </c>
      <c r="W31" s="1988">
        <v>4</v>
      </c>
      <c r="X31" s="1994" t="s">
        <v>1198</v>
      </c>
      <c r="Y31" s="2729"/>
      <c r="Z31" s="2729"/>
      <c r="AA31" s="2729"/>
      <c r="AB31" s="2729"/>
      <c r="AC31" s="2729"/>
      <c r="AD31" s="2729"/>
      <c r="AE31" s="2729"/>
      <c r="AF31" s="2729"/>
      <c r="AG31" s="2729"/>
      <c r="AH31" s="2729"/>
      <c r="AI31" s="2729"/>
      <c r="AJ31" s="2729"/>
      <c r="AK31" s="2729"/>
      <c r="AL31" s="2729"/>
      <c r="AM31" s="2729"/>
      <c r="AN31" s="2729"/>
      <c r="AO31" s="2724"/>
      <c r="AP31" s="2724"/>
      <c r="AQ31" s="3401"/>
    </row>
    <row r="32" spans="1:43" s="467" customFormat="1" ht="51.75" customHeight="1" x14ac:dyDescent="0.2">
      <c r="A32" s="2015"/>
      <c r="B32" s="1667"/>
      <c r="C32" s="531"/>
      <c r="D32" s="1982"/>
      <c r="E32" s="1983"/>
      <c r="F32" s="1983"/>
      <c r="G32" s="1982"/>
      <c r="H32" s="1983"/>
      <c r="I32" s="1983"/>
      <c r="J32" s="2754"/>
      <c r="K32" s="2049"/>
      <c r="L32" s="2049"/>
      <c r="M32" s="2754"/>
      <c r="N32" s="1994" t="s">
        <v>1246</v>
      </c>
      <c r="O32" s="2629"/>
      <c r="P32" s="2630"/>
      <c r="Q32" s="2669"/>
      <c r="R32" s="2542"/>
      <c r="S32" s="2630"/>
      <c r="T32" s="2630"/>
      <c r="U32" s="2056"/>
      <c r="V32" s="1989">
        <v>70000000</v>
      </c>
      <c r="W32" s="1988">
        <v>6</v>
      </c>
      <c r="X32" s="1994" t="s">
        <v>1241</v>
      </c>
      <c r="Y32" s="2729"/>
      <c r="Z32" s="2729"/>
      <c r="AA32" s="2729"/>
      <c r="AB32" s="2729"/>
      <c r="AC32" s="2729"/>
      <c r="AD32" s="2729"/>
      <c r="AE32" s="2729"/>
      <c r="AF32" s="2729"/>
      <c r="AG32" s="2729"/>
      <c r="AH32" s="2729"/>
      <c r="AI32" s="2729"/>
      <c r="AJ32" s="2729"/>
      <c r="AK32" s="2729"/>
      <c r="AL32" s="2729"/>
      <c r="AM32" s="2729"/>
      <c r="AN32" s="2729"/>
      <c r="AO32" s="2724"/>
      <c r="AP32" s="2724"/>
      <c r="AQ32" s="3401"/>
    </row>
    <row r="33" spans="1:43" s="467" customFormat="1" ht="48.75" customHeight="1" x14ac:dyDescent="0.2">
      <c r="A33" s="2015"/>
      <c r="B33" s="1667"/>
      <c r="C33" s="531"/>
      <c r="D33" s="1982"/>
      <c r="E33" s="1983"/>
      <c r="F33" s="1983"/>
      <c r="G33" s="1982"/>
      <c r="H33" s="1983"/>
      <c r="I33" s="1983"/>
      <c r="J33" s="2754"/>
      <c r="K33" s="2049"/>
      <c r="L33" s="2049"/>
      <c r="M33" s="2754"/>
      <c r="N33" s="1994" t="s">
        <v>1247</v>
      </c>
      <c r="O33" s="2639"/>
      <c r="P33" s="2648"/>
      <c r="Q33" s="2670"/>
      <c r="R33" s="2542"/>
      <c r="S33" s="2648"/>
      <c r="T33" s="2648" t="s">
        <v>388</v>
      </c>
      <c r="U33" s="2056"/>
      <c r="V33" s="1989">
        <v>25000000</v>
      </c>
      <c r="W33" s="1988">
        <v>12</v>
      </c>
      <c r="X33" s="1994" t="s">
        <v>1232</v>
      </c>
      <c r="Y33" s="2740"/>
      <c r="Z33" s="2740"/>
      <c r="AA33" s="2740"/>
      <c r="AB33" s="2740"/>
      <c r="AC33" s="2740"/>
      <c r="AD33" s="2740"/>
      <c r="AE33" s="2740"/>
      <c r="AF33" s="2740"/>
      <c r="AG33" s="2740"/>
      <c r="AH33" s="2740"/>
      <c r="AI33" s="2740"/>
      <c r="AJ33" s="2740"/>
      <c r="AK33" s="2740"/>
      <c r="AL33" s="2740"/>
      <c r="AM33" s="2740"/>
      <c r="AN33" s="2740"/>
      <c r="AO33" s="2738"/>
      <c r="AP33" s="2738"/>
      <c r="AQ33" s="3402"/>
    </row>
    <row r="34" spans="1:43" s="467" customFormat="1" ht="20.25" customHeight="1" x14ac:dyDescent="0.2">
      <c r="A34" s="2003"/>
      <c r="B34" s="2004"/>
      <c r="C34" s="535"/>
      <c r="D34" s="2005">
        <v>21</v>
      </c>
      <c r="E34" s="2006" t="s">
        <v>1248</v>
      </c>
      <c r="F34" s="2006"/>
      <c r="G34" s="2006"/>
      <c r="H34" s="2006"/>
      <c r="I34" s="2006"/>
      <c r="J34" s="2006"/>
      <c r="K34" s="2007"/>
      <c r="L34" s="2006"/>
      <c r="M34" s="2006"/>
      <c r="N34" s="2006"/>
      <c r="O34" s="2008"/>
      <c r="P34" s="2007"/>
      <c r="Q34" s="2009"/>
      <c r="R34" s="2031"/>
      <c r="S34" s="2007" t="s">
        <v>388</v>
      </c>
      <c r="T34" s="2007" t="s">
        <v>388</v>
      </c>
      <c r="U34" s="2007"/>
      <c r="V34" s="2032"/>
      <c r="W34" s="2012"/>
      <c r="X34" s="2008"/>
      <c r="Y34" s="2006"/>
      <c r="Z34" s="2006"/>
      <c r="AA34" s="2006"/>
      <c r="AB34" s="2006"/>
      <c r="AC34" s="2006"/>
      <c r="AD34" s="2006"/>
      <c r="AE34" s="2006"/>
      <c r="AF34" s="2006"/>
      <c r="AG34" s="2006"/>
      <c r="AH34" s="2006"/>
      <c r="AI34" s="2006"/>
      <c r="AJ34" s="2006"/>
      <c r="AK34" s="2006"/>
      <c r="AL34" s="2006"/>
      <c r="AM34" s="2006"/>
      <c r="AN34" s="2006"/>
      <c r="AO34" s="2013"/>
      <c r="AP34" s="2013"/>
      <c r="AQ34" s="2033"/>
    </row>
    <row r="35" spans="1:43" s="467" customFormat="1" ht="23.25" customHeight="1" x14ac:dyDescent="0.2">
      <c r="A35" s="2015"/>
      <c r="B35" s="1667"/>
      <c r="C35" s="531"/>
      <c r="D35" s="1982"/>
      <c r="E35" s="1983"/>
      <c r="F35" s="1983"/>
      <c r="G35" s="2016">
        <v>72</v>
      </c>
      <c r="H35" s="2017" t="s">
        <v>1249</v>
      </c>
      <c r="I35" s="2017"/>
      <c r="J35" s="2017"/>
      <c r="K35" s="2018"/>
      <c r="L35" s="2017"/>
      <c r="M35" s="2017"/>
      <c r="N35" s="2017"/>
      <c r="O35" s="2019"/>
      <c r="P35" s="2018"/>
      <c r="Q35" s="2020"/>
      <c r="R35" s="2027"/>
      <c r="S35" s="2018" t="s">
        <v>388</v>
      </c>
      <c r="T35" s="2018" t="s">
        <v>388</v>
      </c>
      <c r="U35" s="2018"/>
      <c r="V35" s="2028"/>
      <c r="W35" s="2023"/>
      <c r="X35" s="2019"/>
      <c r="Y35" s="2029"/>
      <c r="Z35" s="2029"/>
      <c r="AA35" s="2029"/>
      <c r="AB35" s="2029"/>
      <c r="AC35" s="2029"/>
      <c r="AD35" s="2029"/>
      <c r="AE35" s="2029"/>
      <c r="AF35" s="2029"/>
      <c r="AG35" s="2029"/>
      <c r="AH35" s="2029"/>
      <c r="AI35" s="2029"/>
      <c r="AJ35" s="2029"/>
      <c r="AK35" s="2029"/>
      <c r="AL35" s="2029"/>
      <c r="AM35" s="2029"/>
      <c r="AN35" s="2029"/>
      <c r="AO35" s="2024"/>
      <c r="AP35" s="2024"/>
      <c r="AQ35" s="2030"/>
    </row>
    <row r="36" spans="1:43" s="467" customFormat="1" ht="45" customHeight="1" x14ac:dyDescent="0.2">
      <c r="A36" s="2015"/>
      <c r="B36" s="1667"/>
      <c r="C36" s="531"/>
      <c r="D36" s="1982"/>
      <c r="E36" s="1983"/>
      <c r="F36" s="1983"/>
      <c r="G36" s="1982"/>
      <c r="H36" s="1983"/>
      <c r="I36" s="1983"/>
      <c r="J36" s="2754">
        <v>209</v>
      </c>
      <c r="K36" s="2088" t="s">
        <v>1250</v>
      </c>
      <c r="L36" s="2088" t="s">
        <v>1251</v>
      </c>
      <c r="M36" s="2628">
        <v>1</v>
      </c>
      <c r="N36" s="1994" t="s">
        <v>1252</v>
      </c>
      <c r="O36" s="2628" t="s">
        <v>1253</v>
      </c>
      <c r="P36" s="2057" t="s">
        <v>1254</v>
      </c>
      <c r="Q36" s="2668">
        <f>+(V36+V37+V38)/R36</f>
        <v>0.37611006210809045</v>
      </c>
      <c r="R36" s="2731">
        <v>238952283</v>
      </c>
      <c r="S36" s="2057" t="s">
        <v>1255</v>
      </c>
      <c r="T36" s="2057" t="s">
        <v>1256</v>
      </c>
      <c r="U36" s="2057" t="s">
        <v>1257</v>
      </c>
      <c r="V36" s="1996">
        <v>29100000</v>
      </c>
      <c r="W36" s="1992">
        <v>3</v>
      </c>
      <c r="X36" s="1990" t="s">
        <v>1258</v>
      </c>
      <c r="Y36" s="2243">
        <v>3153</v>
      </c>
      <c r="Z36" s="2243">
        <v>4014</v>
      </c>
      <c r="AA36" s="2243">
        <v>594</v>
      </c>
      <c r="AB36" s="2243">
        <v>4607</v>
      </c>
      <c r="AC36" s="2243">
        <v>1966</v>
      </c>
      <c r="AD36" s="2243"/>
      <c r="AE36" s="2243"/>
      <c r="AF36" s="2243"/>
      <c r="AG36" s="2243"/>
      <c r="AH36" s="2243"/>
      <c r="AI36" s="2243"/>
      <c r="AJ36" s="2243"/>
      <c r="AK36" s="2243"/>
      <c r="AL36" s="2243"/>
      <c r="AM36" s="2243"/>
      <c r="AN36" s="2243">
        <f>+Y36+Z36</f>
        <v>7167</v>
      </c>
      <c r="AO36" s="2723">
        <v>43101</v>
      </c>
      <c r="AP36" s="2723">
        <v>43465</v>
      </c>
      <c r="AQ36" s="3400" t="s">
        <v>1191</v>
      </c>
    </row>
    <row r="37" spans="1:43" s="467" customFormat="1" ht="45" customHeight="1" x14ac:dyDescent="0.2">
      <c r="A37" s="2015"/>
      <c r="B37" s="1667"/>
      <c r="C37" s="531"/>
      <c r="D37" s="1982"/>
      <c r="E37" s="1983"/>
      <c r="F37" s="1983"/>
      <c r="G37" s="1982"/>
      <c r="H37" s="1983"/>
      <c r="I37" s="1983"/>
      <c r="J37" s="2754"/>
      <c r="K37" s="2185"/>
      <c r="L37" s="2185"/>
      <c r="M37" s="2629"/>
      <c r="N37" s="1994" t="s">
        <v>1259</v>
      </c>
      <c r="O37" s="2629"/>
      <c r="P37" s="2630"/>
      <c r="Q37" s="2669"/>
      <c r="R37" s="2732"/>
      <c r="S37" s="2630"/>
      <c r="T37" s="2630"/>
      <c r="U37" s="2630"/>
      <c r="V37" s="1996">
        <v>30000000</v>
      </c>
      <c r="W37" s="1992">
        <v>4</v>
      </c>
      <c r="X37" s="1990" t="s">
        <v>61</v>
      </c>
      <c r="Y37" s="2729"/>
      <c r="Z37" s="2729"/>
      <c r="AA37" s="2729"/>
      <c r="AB37" s="2729"/>
      <c r="AC37" s="2729"/>
      <c r="AD37" s="2729"/>
      <c r="AE37" s="2729"/>
      <c r="AF37" s="2729"/>
      <c r="AG37" s="2729"/>
      <c r="AH37" s="2729"/>
      <c r="AI37" s="2729"/>
      <c r="AJ37" s="2729"/>
      <c r="AK37" s="2729"/>
      <c r="AL37" s="2729"/>
      <c r="AM37" s="2729"/>
      <c r="AN37" s="2729"/>
      <c r="AO37" s="2724"/>
      <c r="AP37" s="2724"/>
      <c r="AQ37" s="3401"/>
    </row>
    <row r="38" spans="1:43" s="467" customFormat="1" ht="45" customHeight="1" x14ac:dyDescent="0.2">
      <c r="A38" s="2015"/>
      <c r="B38" s="1667"/>
      <c r="C38" s="531"/>
      <c r="D38" s="1982"/>
      <c r="E38" s="1983"/>
      <c r="F38" s="1983"/>
      <c r="G38" s="1982"/>
      <c r="H38" s="1983"/>
      <c r="I38" s="1983"/>
      <c r="J38" s="2754"/>
      <c r="K38" s="2089"/>
      <c r="L38" s="2089"/>
      <c r="M38" s="2639"/>
      <c r="N38" s="1994" t="s">
        <v>1260</v>
      </c>
      <c r="O38" s="2629"/>
      <c r="P38" s="2630"/>
      <c r="Q38" s="2670"/>
      <c r="R38" s="2732"/>
      <c r="S38" s="2630"/>
      <c r="T38" s="2630"/>
      <c r="U38" s="2648"/>
      <c r="V38" s="1996">
        <v>30772358</v>
      </c>
      <c r="W38" s="1992">
        <v>7</v>
      </c>
      <c r="X38" s="1990" t="s">
        <v>1221</v>
      </c>
      <c r="Y38" s="2729"/>
      <c r="Z38" s="2729"/>
      <c r="AA38" s="2729"/>
      <c r="AB38" s="2729"/>
      <c r="AC38" s="2729"/>
      <c r="AD38" s="2729"/>
      <c r="AE38" s="2729"/>
      <c r="AF38" s="2729"/>
      <c r="AG38" s="2729"/>
      <c r="AH38" s="2729"/>
      <c r="AI38" s="2729"/>
      <c r="AJ38" s="2729"/>
      <c r="AK38" s="2729"/>
      <c r="AL38" s="2729"/>
      <c r="AM38" s="2729"/>
      <c r="AN38" s="2729"/>
      <c r="AO38" s="2724"/>
      <c r="AP38" s="2724"/>
      <c r="AQ38" s="3401"/>
    </row>
    <row r="39" spans="1:43" s="467" customFormat="1" ht="39" customHeight="1" x14ac:dyDescent="0.2">
      <c r="A39" s="2015"/>
      <c r="B39" s="1667"/>
      <c r="C39" s="531"/>
      <c r="D39" s="1982"/>
      <c r="E39" s="1983"/>
      <c r="F39" s="1983"/>
      <c r="G39" s="1982"/>
      <c r="H39" s="1983"/>
      <c r="I39" s="1983"/>
      <c r="J39" s="2628">
        <v>210</v>
      </c>
      <c r="K39" s="2088" t="s">
        <v>1261</v>
      </c>
      <c r="L39" s="2088" t="s">
        <v>1262</v>
      </c>
      <c r="M39" s="2628">
        <v>1</v>
      </c>
      <c r="N39" s="1994" t="s">
        <v>1263</v>
      </c>
      <c r="O39" s="2629"/>
      <c r="P39" s="2630"/>
      <c r="Q39" s="2668">
        <f>+(V39+V40+V41+V42)/R36</f>
        <v>0.34156888134858288</v>
      </c>
      <c r="R39" s="2732"/>
      <c r="S39" s="2630"/>
      <c r="T39" s="2630"/>
      <c r="U39" s="2057" t="s">
        <v>1264</v>
      </c>
      <c r="V39" s="1996">
        <v>9000000</v>
      </c>
      <c r="W39" s="1992">
        <v>4</v>
      </c>
      <c r="X39" s="1990" t="s">
        <v>61</v>
      </c>
      <c r="Y39" s="2729"/>
      <c r="Z39" s="2729"/>
      <c r="AA39" s="2729"/>
      <c r="AB39" s="2729"/>
      <c r="AC39" s="2729"/>
      <c r="AD39" s="2729"/>
      <c r="AE39" s="2729"/>
      <c r="AF39" s="2729"/>
      <c r="AG39" s="2729"/>
      <c r="AH39" s="2729"/>
      <c r="AI39" s="2729"/>
      <c r="AJ39" s="2729"/>
      <c r="AK39" s="2729"/>
      <c r="AL39" s="2729"/>
      <c r="AM39" s="2729"/>
      <c r="AN39" s="2729"/>
      <c r="AO39" s="2724"/>
      <c r="AP39" s="2724"/>
      <c r="AQ39" s="3401"/>
    </row>
    <row r="40" spans="1:43" s="467" customFormat="1" ht="31.5" customHeight="1" x14ac:dyDescent="0.2">
      <c r="A40" s="2015"/>
      <c r="B40" s="1667"/>
      <c r="C40" s="531"/>
      <c r="D40" s="1982"/>
      <c r="E40" s="1983"/>
      <c r="F40" s="1983"/>
      <c r="G40" s="1982"/>
      <c r="H40" s="1983"/>
      <c r="I40" s="1983"/>
      <c r="J40" s="2629"/>
      <c r="K40" s="2185"/>
      <c r="L40" s="2185"/>
      <c r="M40" s="2629"/>
      <c r="N40" s="1994" t="s">
        <v>1265</v>
      </c>
      <c r="O40" s="2629"/>
      <c r="P40" s="2630"/>
      <c r="Q40" s="2669"/>
      <c r="R40" s="2732"/>
      <c r="S40" s="2630"/>
      <c r="T40" s="2630"/>
      <c r="U40" s="2630"/>
      <c r="V40" s="1996">
        <v>31618664</v>
      </c>
      <c r="W40" s="1992">
        <v>4</v>
      </c>
      <c r="X40" s="1990" t="s">
        <v>1266</v>
      </c>
      <c r="Y40" s="2729"/>
      <c r="Z40" s="2729"/>
      <c r="AA40" s="2729"/>
      <c r="AB40" s="2729"/>
      <c r="AC40" s="2729"/>
      <c r="AD40" s="2729"/>
      <c r="AE40" s="2729"/>
      <c r="AF40" s="2729"/>
      <c r="AG40" s="2729"/>
      <c r="AH40" s="2729"/>
      <c r="AI40" s="2729"/>
      <c r="AJ40" s="2729"/>
      <c r="AK40" s="2729"/>
      <c r="AL40" s="2729"/>
      <c r="AM40" s="2729"/>
      <c r="AN40" s="2729"/>
      <c r="AO40" s="2724"/>
      <c r="AP40" s="2724"/>
      <c r="AQ40" s="3401"/>
    </row>
    <row r="41" spans="1:43" s="467" customFormat="1" ht="31.5" customHeight="1" x14ac:dyDescent="0.2">
      <c r="A41" s="2015"/>
      <c r="B41" s="1667"/>
      <c r="C41" s="531"/>
      <c r="D41" s="1982"/>
      <c r="E41" s="1983"/>
      <c r="F41" s="1983"/>
      <c r="G41" s="1982"/>
      <c r="H41" s="1983"/>
      <c r="I41" s="1983"/>
      <c r="J41" s="2629"/>
      <c r="K41" s="2185"/>
      <c r="L41" s="2185"/>
      <c r="M41" s="2629"/>
      <c r="N41" s="1994" t="s">
        <v>1267</v>
      </c>
      <c r="O41" s="2629"/>
      <c r="P41" s="2630"/>
      <c r="Q41" s="2669"/>
      <c r="R41" s="2732"/>
      <c r="S41" s="2630"/>
      <c r="T41" s="2630"/>
      <c r="U41" s="2630"/>
      <c r="V41" s="1996">
        <v>25000000</v>
      </c>
      <c r="W41" s="1992">
        <v>3</v>
      </c>
      <c r="X41" s="1990" t="s">
        <v>1258</v>
      </c>
      <c r="Y41" s="2729"/>
      <c r="Z41" s="2729"/>
      <c r="AA41" s="2729"/>
      <c r="AB41" s="2729"/>
      <c r="AC41" s="2729"/>
      <c r="AD41" s="2729"/>
      <c r="AE41" s="2729"/>
      <c r="AF41" s="2729"/>
      <c r="AG41" s="2729"/>
      <c r="AH41" s="2729"/>
      <c r="AI41" s="2729"/>
      <c r="AJ41" s="2729"/>
      <c r="AK41" s="2729"/>
      <c r="AL41" s="2729"/>
      <c r="AM41" s="2729"/>
      <c r="AN41" s="2729"/>
      <c r="AO41" s="2724"/>
      <c r="AP41" s="2724"/>
      <c r="AQ41" s="3401"/>
    </row>
    <row r="42" spans="1:43" s="467" customFormat="1" ht="26.25" customHeight="1" x14ac:dyDescent="0.2">
      <c r="A42" s="2015"/>
      <c r="B42" s="1667"/>
      <c r="C42" s="531"/>
      <c r="D42" s="1982"/>
      <c r="E42" s="1983"/>
      <c r="F42" s="1983"/>
      <c r="G42" s="1982"/>
      <c r="H42" s="1983"/>
      <c r="I42" s="1983"/>
      <c r="J42" s="2639"/>
      <c r="K42" s="2089"/>
      <c r="L42" s="2089"/>
      <c r="M42" s="2639"/>
      <c r="N42" s="1994" t="s">
        <v>1268</v>
      </c>
      <c r="O42" s="2629"/>
      <c r="P42" s="2630"/>
      <c r="Q42" s="2670"/>
      <c r="R42" s="2732"/>
      <c r="S42" s="2630"/>
      <c r="T42" s="2630"/>
      <c r="U42" s="2648"/>
      <c r="V42" s="1996">
        <v>16000000</v>
      </c>
      <c r="W42" s="1992">
        <v>7</v>
      </c>
      <c r="X42" s="1990" t="s">
        <v>1269</v>
      </c>
      <c r="Y42" s="2729"/>
      <c r="Z42" s="2729"/>
      <c r="AA42" s="2729"/>
      <c r="AB42" s="2729"/>
      <c r="AC42" s="2729"/>
      <c r="AD42" s="2729"/>
      <c r="AE42" s="2729"/>
      <c r="AF42" s="2729"/>
      <c r="AG42" s="2729"/>
      <c r="AH42" s="2729"/>
      <c r="AI42" s="2729"/>
      <c r="AJ42" s="2729"/>
      <c r="AK42" s="2729"/>
      <c r="AL42" s="2729"/>
      <c r="AM42" s="2729"/>
      <c r="AN42" s="2729"/>
      <c r="AO42" s="2724"/>
      <c r="AP42" s="2724"/>
      <c r="AQ42" s="3401"/>
    </row>
    <row r="43" spans="1:43" s="467" customFormat="1" ht="45" customHeight="1" x14ac:dyDescent="0.2">
      <c r="A43" s="2015"/>
      <c r="B43" s="1667"/>
      <c r="C43" s="531"/>
      <c r="D43" s="1982"/>
      <c r="E43" s="1983"/>
      <c r="F43" s="1983"/>
      <c r="G43" s="1982"/>
      <c r="H43" s="1983"/>
      <c r="I43" s="1983"/>
      <c r="J43" s="2628">
        <v>211</v>
      </c>
      <c r="K43" s="3398" t="s">
        <v>1270</v>
      </c>
      <c r="L43" s="2086" t="s">
        <v>1271</v>
      </c>
      <c r="M43" s="2628">
        <v>1</v>
      </c>
      <c r="N43" s="1994" t="s">
        <v>1272</v>
      </c>
      <c r="O43" s="2629"/>
      <c r="P43" s="2630"/>
      <c r="Q43" s="2668">
        <f>+(V43+V44+V45)/R36</f>
        <v>0.28232105654332668</v>
      </c>
      <c r="R43" s="2732"/>
      <c r="S43" s="2630"/>
      <c r="T43" s="2630"/>
      <c r="U43" s="2057" t="s">
        <v>1273</v>
      </c>
      <c r="V43" s="1996">
        <v>22000000</v>
      </c>
      <c r="W43" s="1992">
        <v>3</v>
      </c>
      <c r="X43" s="1990" t="s">
        <v>1258</v>
      </c>
      <c r="Y43" s="2729"/>
      <c r="Z43" s="2729"/>
      <c r="AA43" s="2729"/>
      <c r="AB43" s="2729"/>
      <c r="AC43" s="2729"/>
      <c r="AD43" s="2729"/>
      <c r="AE43" s="2729"/>
      <c r="AF43" s="2729"/>
      <c r="AG43" s="2729"/>
      <c r="AH43" s="2729"/>
      <c r="AI43" s="2729"/>
      <c r="AJ43" s="2729"/>
      <c r="AK43" s="2729"/>
      <c r="AL43" s="2729"/>
      <c r="AM43" s="2729"/>
      <c r="AN43" s="2729"/>
      <c r="AO43" s="2724"/>
      <c r="AP43" s="2724"/>
      <c r="AQ43" s="3401"/>
    </row>
    <row r="44" spans="1:43" s="467" customFormat="1" ht="27" customHeight="1" x14ac:dyDescent="0.2">
      <c r="A44" s="2015"/>
      <c r="B44" s="1667"/>
      <c r="C44" s="531"/>
      <c r="D44" s="1982"/>
      <c r="E44" s="1983"/>
      <c r="F44" s="1983"/>
      <c r="G44" s="1982"/>
      <c r="H44" s="1983"/>
      <c r="I44" s="1983"/>
      <c r="J44" s="2629"/>
      <c r="K44" s="3399"/>
      <c r="L44" s="2247"/>
      <c r="M44" s="2629"/>
      <c r="N44" s="1994" t="s">
        <v>1274</v>
      </c>
      <c r="O44" s="2629"/>
      <c r="P44" s="2630"/>
      <c r="Q44" s="2669"/>
      <c r="R44" s="2732"/>
      <c r="S44" s="2630"/>
      <c r="T44" s="2630"/>
      <c r="U44" s="2630"/>
      <c r="V44" s="1996">
        <v>29461261</v>
      </c>
      <c r="W44" s="1992">
        <v>3</v>
      </c>
      <c r="X44" s="1990" t="s">
        <v>1275</v>
      </c>
      <c r="Y44" s="2729"/>
      <c r="Z44" s="2729"/>
      <c r="AA44" s="2729"/>
      <c r="AB44" s="2729"/>
      <c r="AC44" s="2729"/>
      <c r="AD44" s="2729"/>
      <c r="AE44" s="2729"/>
      <c r="AF44" s="2729"/>
      <c r="AG44" s="2729"/>
      <c r="AH44" s="2729"/>
      <c r="AI44" s="2729"/>
      <c r="AJ44" s="2729"/>
      <c r="AK44" s="2729"/>
      <c r="AL44" s="2729"/>
      <c r="AM44" s="2729"/>
      <c r="AN44" s="2729"/>
      <c r="AO44" s="2724"/>
      <c r="AP44" s="2724"/>
      <c r="AQ44" s="3401"/>
    </row>
    <row r="45" spans="1:43" s="467" customFormat="1" ht="26.25" customHeight="1" x14ac:dyDescent="0.2">
      <c r="A45" s="2015"/>
      <c r="B45" s="1667"/>
      <c r="C45" s="531"/>
      <c r="D45" s="1982"/>
      <c r="E45" s="1983"/>
      <c r="F45" s="1983"/>
      <c r="G45" s="1982"/>
      <c r="H45" s="1983"/>
      <c r="I45" s="1983"/>
      <c r="J45" s="2639"/>
      <c r="K45" s="3399"/>
      <c r="L45" s="2247"/>
      <c r="M45" s="2629"/>
      <c r="N45" s="1994" t="s">
        <v>1276</v>
      </c>
      <c r="O45" s="2639"/>
      <c r="P45" s="2648"/>
      <c r="Q45" s="2670"/>
      <c r="R45" s="3186"/>
      <c r="S45" s="2648"/>
      <c r="T45" s="2648"/>
      <c r="U45" s="2648"/>
      <c r="V45" s="1996">
        <v>16000000</v>
      </c>
      <c r="W45" s="1992">
        <v>7</v>
      </c>
      <c r="X45" s="1990" t="s">
        <v>1269</v>
      </c>
      <c r="Y45" s="2740"/>
      <c r="Z45" s="2740"/>
      <c r="AA45" s="2740"/>
      <c r="AB45" s="2740"/>
      <c r="AC45" s="2740"/>
      <c r="AD45" s="2740"/>
      <c r="AE45" s="2740"/>
      <c r="AF45" s="2740"/>
      <c r="AG45" s="2740"/>
      <c r="AH45" s="2740"/>
      <c r="AI45" s="2740"/>
      <c r="AJ45" s="2740"/>
      <c r="AK45" s="2740"/>
      <c r="AL45" s="2740"/>
      <c r="AM45" s="2740"/>
      <c r="AN45" s="2740"/>
      <c r="AO45" s="2738"/>
      <c r="AP45" s="2738"/>
      <c r="AQ45" s="3402"/>
    </row>
    <row r="46" spans="1:43" s="467" customFormat="1" ht="23.25" customHeight="1" x14ac:dyDescent="0.2">
      <c r="A46" s="2015"/>
      <c r="B46" s="1667"/>
      <c r="C46" s="531"/>
      <c r="D46" s="1982"/>
      <c r="E46" s="1983"/>
      <c r="F46" s="1983"/>
      <c r="G46" s="2016">
        <v>73</v>
      </c>
      <c r="H46" s="2017" t="s">
        <v>1277</v>
      </c>
      <c r="I46" s="2017"/>
      <c r="J46" s="2017"/>
      <c r="K46" s="2018"/>
      <c r="L46" s="2017"/>
      <c r="M46" s="2017"/>
      <c r="N46" s="2017"/>
      <c r="O46" s="2019"/>
      <c r="P46" s="2018"/>
      <c r="Q46" s="2020"/>
      <c r="R46" s="2027"/>
      <c r="S46" s="2018" t="s">
        <v>388</v>
      </c>
      <c r="T46" s="2018" t="s">
        <v>388</v>
      </c>
      <c r="U46" s="2018"/>
      <c r="V46" s="2028"/>
      <c r="W46" s="2023"/>
      <c r="X46" s="2019"/>
      <c r="Y46" s="2029"/>
      <c r="Z46" s="2029"/>
      <c r="AA46" s="2029"/>
      <c r="AB46" s="2029"/>
      <c r="AC46" s="2029"/>
      <c r="AD46" s="2029"/>
      <c r="AE46" s="2029"/>
      <c r="AF46" s="2029"/>
      <c r="AG46" s="2029"/>
      <c r="AH46" s="2029"/>
      <c r="AI46" s="2029"/>
      <c r="AJ46" s="2029"/>
      <c r="AK46" s="2029"/>
      <c r="AL46" s="2029"/>
      <c r="AM46" s="2029"/>
      <c r="AN46" s="2029"/>
      <c r="AO46" s="2024"/>
      <c r="AP46" s="2024"/>
      <c r="AQ46" s="2030"/>
    </row>
    <row r="47" spans="1:43" s="467" customFormat="1" ht="68.25" customHeight="1" x14ac:dyDescent="0.2">
      <c r="A47" s="2015"/>
      <c r="B47" s="1667"/>
      <c r="C47" s="531"/>
      <c r="D47" s="1982"/>
      <c r="E47" s="1983"/>
      <c r="F47" s="1983"/>
      <c r="G47" s="1982"/>
      <c r="H47" s="1983"/>
      <c r="I47" s="1983"/>
      <c r="J47" s="2754">
        <v>212</v>
      </c>
      <c r="K47" s="2056" t="s">
        <v>1278</v>
      </c>
      <c r="L47" s="2049" t="s">
        <v>1279</v>
      </c>
      <c r="M47" s="2754">
        <v>1</v>
      </c>
      <c r="N47" s="1994" t="s">
        <v>1280</v>
      </c>
      <c r="O47" s="2754" t="s">
        <v>1281</v>
      </c>
      <c r="P47" s="2056" t="s">
        <v>1282</v>
      </c>
      <c r="Q47" s="1995">
        <f>+V47/R47</f>
        <v>0.2671154883563624</v>
      </c>
      <c r="R47" s="2542">
        <v>149747962</v>
      </c>
      <c r="S47" s="2057" t="s">
        <v>1283</v>
      </c>
      <c r="T47" s="2057" t="s">
        <v>1284</v>
      </c>
      <c r="U47" s="2056" t="s">
        <v>1285</v>
      </c>
      <c r="V47" s="1989">
        <v>40000000</v>
      </c>
      <c r="W47" s="1988">
        <v>3</v>
      </c>
      <c r="X47" s="1994" t="s">
        <v>1258</v>
      </c>
      <c r="Y47" s="2243">
        <v>3292</v>
      </c>
      <c r="Z47" s="2243">
        <v>2586</v>
      </c>
      <c r="AA47" s="2243"/>
      <c r="AB47" s="2243">
        <v>833</v>
      </c>
      <c r="AC47" s="2243">
        <v>5045</v>
      </c>
      <c r="AD47" s="2243"/>
      <c r="AE47" s="2243"/>
      <c r="AF47" s="2243"/>
      <c r="AG47" s="2243"/>
      <c r="AH47" s="2243"/>
      <c r="AI47" s="2243"/>
      <c r="AJ47" s="2243"/>
      <c r="AK47" s="2243"/>
      <c r="AL47" s="2243"/>
      <c r="AM47" s="2243"/>
      <c r="AN47" s="2243">
        <f>+Y47+Z47</f>
        <v>5878</v>
      </c>
      <c r="AO47" s="2723">
        <v>43101</v>
      </c>
      <c r="AP47" s="2723">
        <v>43465</v>
      </c>
      <c r="AQ47" s="2090" t="s">
        <v>1191</v>
      </c>
    </row>
    <row r="48" spans="1:43" s="467" customFormat="1" ht="68.25" customHeight="1" x14ac:dyDescent="0.2">
      <c r="A48" s="2015"/>
      <c r="B48" s="1667"/>
      <c r="C48" s="531"/>
      <c r="D48" s="1982"/>
      <c r="E48" s="1983"/>
      <c r="F48" s="1983"/>
      <c r="G48" s="1982"/>
      <c r="H48" s="1983"/>
      <c r="I48" s="1983"/>
      <c r="J48" s="2754"/>
      <c r="K48" s="2056"/>
      <c r="L48" s="2049"/>
      <c r="M48" s="2754"/>
      <c r="N48" s="1994" t="s">
        <v>1286</v>
      </c>
      <c r="O48" s="2754"/>
      <c r="P48" s="2056"/>
      <c r="Q48" s="1995">
        <f>+V48/R47</f>
        <v>0.20033661626727181</v>
      </c>
      <c r="R48" s="2542"/>
      <c r="S48" s="2630"/>
      <c r="T48" s="2630"/>
      <c r="U48" s="2056"/>
      <c r="V48" s="1989">
        <v>30000000</v>
      </c>
      <c r="W48" s="1988">
        <v>4</v>
      </c>
      <c r="X48" s="1994" t="s">
        <v>1266</v>
      </c>
      <c r="Y48" s="2729"/>
      <c r="Z48" s="2729"/>
      <c r="AA48" s="2729"/>
      <c r="AB48" s="2729"/>
      <c r="AC48" s="2729"/>
      <c r="AD48" s="2729"/>
      <c r="AE48" s="2729"/>
      <c r="AF48" s="2729"/>
      <c r="AG48" s="2729"/>
      <c r="AH48" s="2729"/>
      <c r="AI48" s="2729"/>
      <c r="AJ48" s="2729"/>
      <c r="AK48" s="2729"/>
      <c r="AL48" s="2729"/>
      <c r="AM48" s="2729"/>
      <c r="AN48" s="2729"/>
      <c r="AO48" s="2724"/>
      <c r="AP48" s="2724"/>
      <c r="AQ48" s="3397"/>
    </row>
    <row r="49" spans="1:43" s="467" customFormat="1" ht="72" customHeight="1" x14ac:dyDescent="0.2">
      <c r="A49" s="2015"/>
      <c r="B49" s="1667"/>
      <c r="C49" s="531"/>
      <c r="D49" s="1982"/>
      <c r="E49" s="1983"/>
      <c r="F49" s="1983"/>
      <c r="G49" s="1982"/>
      <c r="H49" s="1983"/>
      <c r="I49" s="1983"/>
      <c r="J49" s="2754"/>
      <c r="K49" s="2056"/>
      <c r="L49" s="2049"/>
      <c r="M49" s="2754"/>
      <c r="N49" s="1994" t="s">
        <v>1287</v>
      </c>
      <c r="O49" s="2754"/>
      <c r="P49" s="2056"/>
      <c r="Q49" s="1995">
        <f>+V49/R47</f>
        <v>0.53254789537636582</v>
      </c>
      <c r="R49" s="2542"/>
      <c r="S49" s="2648"/>
      <c r="T49" s="2648"/>
      <c r="U49" s="2056"/>
      <c r="V49" s="1989">
        <v>79747962</v>
      </c>
      <c r="W49" s="1988">
        <v>7</v>
      </c>
      <c r="X49" s="1994" t="s">
        <v>1269</v>
      </c>
      <c r="Y49" s="2740"/>
      <c r="Z49" s="2740"/>
      <c r="AA49" s="2740"/>
      <c r="AB49" s="2740"/>
      <c r="AC49" s="2740"/>
      <c r="AD49" s="2740"/>
      <c r="AE49" s="2740"/>
      <c r="AF49" s="2740"/>
      <c r="AG49" s="2740"/>
      <c r="AH49" s="2740"/>
      <c r="AI49" s="2740"/>
      <c r="AJ49" s="2740"/>
      <c r="AK49" s="2740"/>
      <c r="AL49" s="2740"/>
      <c r="AM49" s="2740"/>
      <c r="AN49" s="2740"/>
      <c r="AO49" s="2738"/>
      <c r="AP49" s="2738"/>
      <c r="AQ49" s="2091"/>
    </row>
    <row r="50" spans="1:43" s="467" customFormat="1" ht="20.25" customHeight="1" x14ac:dyDescent="0.2">
      <c r="A50" s="2003"/>
      <c r="B50" s="2004"/>
      <c r="C50" s="535"/>
      <c r="D50" s="2005">
        <v>22</v>
      </c>
      <c r="E50" s="2006" t="s">
        <v>1288</v>
      </c>
      <c r="F50" s="2006"/>
      <c r="G50" s="2006"/>
      <c r="H50" s="2006"/>
      <c r="I50" s="2006"/>
      <c r="J50" s="2006"/>
      <c r="K50" s="2007"/>
      <c r="L50" s="2006"/>
      <c r="M50" s="2006"/>
      <c r="N50" s="2006"/>
      <c r="O50" s="2008"/>
      <c r="P50" s="2007"/>
      <c r="Q50" s="2009"/>
      <c r="R50" s="2031"/>
      <c r="S50" s="2007" t="s">
        <v>388</v>
      </c>
      <c r="T50" s="2007" t="s">
        <v>388</v>
      </c>
      <c r="U50" s="2007"/>
      <c r="V50" s="2032"/>
      <c r="W50" s="2012"/>
      <c r="X50" s="2008"/>
      <c r="Y50" s="2006"/>
      <c r="Z50" s="2006"/>
      <c r="AA50" s="2006"/>
      <c r="AB50" s="2006"/>
      <c r="AC50" s="2006"/>
      <c r="AD50" s="2006"/>
      <c r="AE50" s="2006"/>
      <c r="AF50" s="2006"/>
      <c r="AG50" s="2006"/>
      <c r="AH50" s="2006"/>
      <c r="AI50" s="2006"/>
      <c r="AJ50" s="2006"/>
      <c r="AK50" s="2006"/>
      <c r="AL50" s="2006"/>
      <c r="AM50" s="2006"/>
      <c r="AN50" s="2006"/>
      <c r="AO50" s="2013"/>
      <c r="AP50" s="2013"/>
      <c r="AQ50" s="2014"/>
    </row>
    <row r="51" spans="1:43" s="467" customFormat="1" ht="23.25" customHeight="1" x14ac:dyDescent="0.2">
      <c r="A51" s="2015"/>
      <c r="B51" s="1667"/>
      <c r="C51" s="531"/>
      <c r="D51" s="1982"/>
      <c r="E51" s="1983"/>
      <c r="F51" s="1983"/>
      <c r="G51" s="2016">
        <v>74</v>
      </c>
      <c r="H51" s="2017" t="s">
        <v>1277</v>
      </c>
      <c r="I51" s="2017"/>
      <c r="J51" s="2017"/>
      <c r="K51" s="2018"/>
      <c r="L51" s="2017"/>
      <c r="M51" s="2017"/>
      <c r="N51" s="2017"/>
      <c r="O51" s="2019"/>
      <c r="P51" s="2018"/>
      <c r="Q51" s="2020"/>
      <c r="R51" s="2027"/>
      <c r="S51" s="2018" t="s">
        <v>388</v>
      </c>
      <c r="T51" s="2018" t="s">
        <v>388</v>
      </c>
      <c r="U51" s="2018"/>
      <c r="V51" s="2028"/>
      <c r="W51" s="2023"/>
      <c r="X51" s="2019"/>
      <c r="Y51" s="2029"/>
      <c r="Z51" s="2029"/>
      <c r="AA51" s="2029"/>
      <c r="AB51" s="2029"/>
      <c r="AC51" s="2029"/>
      <c r="AD51" s="2029"/>
      <c r="AE51" s="2029"/>
      <c r="AF51" s="2029"/>
      <c r="AG51" s="2029"/>
      <c r="AH51" s="2029"/>
      <c r="AI51" s="2029"/>
      <c r="AJ51" s="2029"/>
      <c r="AK51" s="2029"/>
      <c r="AL51" s="2029"/>
      <c r="AM51" s="2029"/>
      <c r="AN51" s="2029"/>
      <c r="AO51" s="2024"/>
      <c r="AP51" s="2024"/>
      <c r="AQ51" s="2034"/>
    </row>
    <row r="52" spans="1:43" s="467" customFormat="1" ht="58.5" customHeight="1" x14ac:dyDescent="0.2">
      <c r="A52" s="2015"/>
      <c r="B52" s="1667"/>
      <c r="C52" s="531"/>
      <c r="D52" s="1982"/>
      <c r="E52" s="1983"/>
      <c r="F52" s="1983"/>
      <c r="G52" s="1982"/>
      <c r="H52" s="1983"/>
      <c r="I52" s="1983"/>
      <c r="J52" s="2628">
        <v>213</v>
      </c>
      <c r="K52" s="2057" t="s">
        <v>1289</v>
      </c>
      <c r="L52" s="2088" t="s">
        <v>1290</v>
      </c>
      <c r="M52" s="2628">
        <v>12</v>
      </c>
      <c r="N52" s="2628" t="s">
        <v>1291</v>
      </c>
      <c r="O52" s="2628" t="s">
        <v>1292</v>
      </c>
      <c r="P52" s="3395" t="s">
        <v>1293</v>
      </c>
      <c r="Q52" s="2668">
        <f>+V52/R52</f>
        <v>1</v>
      </c>
      <c r="R52" s="2731">
        <v>244500000</v>
      </c>
      <c r="S52" s="2057" t="s">
        <v>1294</v>
      </c>
      <c r="T52" s="2057" t="s">
        <v>1295</v>
      </c>
      <c r="U52" s="2057" t="s">
        <v>1296</v>
      </c>
      <c r="V52" s="2731">
        <v>244500000</v>
      </c>
      <c r="W52" s="2243">
        <v>2</v>
      </c>
      <c r="X52" s="2628" t="s">
        <v>1297</v>
      </c>
      <c r="Y52" s="2243">
        <v>279394</v>
      </c>
      <c r="Z52" s="2243">
        <v>289394</v>
      </c>
      <c r="AA52" s="2243">
        <v>56459</v>
      </c>
      <c r="AB52" s="2243">
        <v>64535</v>
      </c>
      <c r="AC52" s="2243">
        <f>336006+15489</f>
        <v>351495</v>
      </c>
      <c r="AD52" s="2243">
        <v>81384</v>
      </c>
      <c r="AE52" s="2243">
        <v>1187</v>
      </c>
      <c r="AF52" s="2243">
        <v>13208</v>
      </c>
      <c r="AG52" s="2243"/>
      <c r="AH52" s="2243"/>
      <c r="AI52" s="2243"/>
      <c r="AJ52" s="2243"/>
      <c r="AK52" s="2243">
        <v>520</v>
      </c>
      <c r="AL52" s="2243"/>
      <c r="AM52" s="2243"/>
      <c r="AN52" s="2243">
        <f>+Y52+Z52</f>
        <v>568788</v>
      </c>
      <c r="AO52" s="2723">
        <v>43101</v>
      </c>
      <c r="AP52" s="2723">
        <v>43465</v>
      </c>
      <c r="AQ52" s="1984" t="s">
        <v>1191</v>
      </c>
    </row>
    <row r="53" spans="1:43" ht="52.5" customHeight="1" thickBot="1" x14ac:dyDescent="0.25">
      <c r="A53" s="2015"/>
      <c r="B53" s="1667"/>
      <c r="C53" s="531"/>
      <c r="D53" s="1982"/>
      <c r="E53" s="2084"/>
      <c r="F53" s="2085"/>
      <c r="G53" s="1982"/>
      <c r="H53" s="2084"/>
      <c r="I53" s="2085"/>
      <c r="J53" s="2629"/>
      <c r="K53" s="2630"/>
      <c r="L53" s="2185"/>
      <c r="M53" s="2629"/>
      <c r="N53" s="2629"/>
      <c r="O53" s="2629"/>
      <c r="P53" s="3396"/>
      <c r="Q53" s="2669"/>
      <c r="R53" s="2732"/>
      <c r="S53" s="2630"/>
      <c r="T53" s="2630" t="s">
        <v>388</v>
      </c>
      <c r="U53" s="2630"/>
      <c r="V53" s="2732"/>
      <c r="W53" s="2729"/>
      <c r="X53" s="2629"/>
      <c r="Y53" s="2729"/>
      <c r="Z53" s="2729"/>
      <c r="AA53" s="2729"/>
      <c r="AB53" s="2729"/>
      <c r="AC53" s="2729"/>
      <c r="AD53" s="2729"/>
      <c r="AE53" s="2729"/>
      <c r="AF53" s="2729"/>
      <c r="AG53" s="2729"/>
      <c r="AH53" s="2729"/>
      <c r="AI53" s="2729"/>
      <c r="AJ53" s="2729"/>
      <c r="AK53" s="2729"/>
      <c r="AL53" s="2729"/>
      <c r="AM53" s="2729"/>
      <c r="AN53" s="2729"/>
      <c r="AO53" s="2724"/>
      <c r="AP53" s="2724"/>
      <c r="AQ53" s="1993"/>
    </row>
    <row r="54" spans="1:43" ht="16.5" thickBot="1" x14ac:dyDescent="0.25">
      <c r="A54" s="660"/>
      <c r="B54" s="661"/>
      <c r="C54" s="661"/>
      <c r="D54" s="661"/>
      <c r="E54" s="661"/>
      <c r="F54" s="661"/>
      <c r="G54" s="661"/>
      <c r="H54" s="661"/>
      <c r="I54" s="661"/>
      <c r="J54" s="661"/>
      <c r="K54" s="455"/>
      <c r="L54" s="452"/>
      <c r="M54" s="452"/>
      <c r="N54" s="452"/>
      <c r="O54" s="662"/>
      <c r="P54" s="2035" t="s">
        <v>30</v>
      </c>
      <c r="Q54" s="1068"/>
      <c r="R54" s="1069">
        <f>SUM(R12:R53)</f>
        <v>3102910466.4899998</v>
      </c>
      <c r="S54" s="455"/>
      <c r="T54" s="455"/>
      <c r="U54" s="455"/>
      <c r="V54" s="2036">
        <f>+V52+V49+V48+V47+V45+V44+V43+V42+V41+V39+V40+V38+V37+V36+V33+V32+V31+V30+V29+V28+V27+V26+V24+V23+V22+V21+V19+V18+V16+V15+V14+V13+V12</f>
        <v>3102910466.4899998</v>
      </c>
      <c r="W54" s="463"/>
      <c r="X54" s="665"/>
      <c r="Y54" s="661"/>
      <c r="Z54" s="661"/>
      <c r="AA54" s="661"/>
      <c r="AB54" s="661"/>
      <c r="AC54" s="661"/>
      <c r="AD54" s="661"/>
      <c r="AE54" s="661"/>
      <c r="AF54" s="661"/>
      <c r="AG54" s="661"/>
      <c r="AH54" s="661"/>
      <c r="AI54" s="661"/>
      <c r="AJ54" s="661"/>
      <c r="AK54" s="661"/>
      <c r="AL54" s="661"/>
      <c r="AM54" s="661"/>
      <c r="AN54" s="661"/>
      <c r="AO54" s="666"/>
      <c r="AP54" s="667"/>
      <c r="AQ54" s="2037"/>
    </row>
    <row r="61" spans="1:43" ht="38.25" customHeight="1" x14ac:dyDescent="0.2">
      <c r="E61" s="3394" t="s">
        <v>1298</v>
      </c>
      <c r="F61" s="3394"/>
      <c r="G61" s="3394"/>
      <c r="H61" s="3394"/>
      <c r="I61" s="3394"/>
      <c r="J61" s="3394"/>
      <c r="K61" s="3394"/>
      <c r="S61" s="1073"/>
      <c r="T61" s="1073"/>
      <c r="U61" s="1073"/>
      <c r="V61" s="1073"/>
    </row>
    <row r="62" spans="1:43" ht="56.25" customHeight="1" x14ac:dyDescent="0.2">
      <c r="E62" s="3394"/>
      <c r="F62" s="3394"/>
      <c r="G62" s="3394"/>
      <c r="H62" s="3394"/>
      <c r="I62" s="3394"/>
      <c r="J62" s="3394"/>
      <c r="K62" s="3394"/>
    </row>
    <row r="63" spans="1:43" ht="24.75" customHeight="1" x14ac:dyDescent="0.2">
      <c r="E63" s="3394"/>
      <c r="F63" s="3394"/>
      <c r="G63" s="3394"/>
      <c r="H63" s="3394"/>
      <c r="I63" s="3394"/>
      <c r="J63" s="3394"/>
      <c r="K63" s="3394"/>
    </row>
  </sheetData>
  <sheetProtection password="CBEB" sheet="1" objects="1" scenarios="1"/>
  <mergeCells count="272">
    <mergeCell ref="A1:AP4"/>
    <mergeCell ref="A5:O6"/>
    <mergeCell ref="P5:AQ6"/>
    <mergeCell ref="A7:A8"/>
    <mergeCell ref="B7:C8"/>
    <mergeCell ref="D7:D8"/>
    <mergeCell ref="E7:F8"/>
    <mergeCell ref="G7:G8"/>
    <mergeCell ref="H7:I8"/>
    <mergeCell ref="J7:J8"/>
    <mergeCell ref="AQ7:AQ8"/>
    <mergeCell ref="AA7:AD7"/>
    <mergeCell ref="AE7:AJ7"/>
    <mergeCell ref="AK7:AM7"/>
    <mergeCell ref="K7:K8"/>
    <mergeCell ref="L7:L8"/>
    <mergeCell ref="M7:M8"/>
    <mergeCell ref="N7:N8"/>
    <mergeCell ref="O7:O8"/>
    <mergeCell ref="Y7:Z7"/>
    <mergeCell ref="AN7:AN8"/>
    <mergeCell ref="AO7:AO8"/>
    <mergeCell ref="AP7:AP8"/>
    <mergeCell ref="O12:O16"/>
    <mergeCell ref="P12:P16"/>
    <mergeCell ref="W7:W8"/>
    <mergeCell ref="X7:X8"/>
    <mergeCell ref="Q7:Q8"/>
    <mergeCell ref="R7:R8"/>
    <mergeCell ref="S7:S8"/>
    <mergeCell ref="T7:T8"/>
    <mergeCell ref="U7:U8"/>
    <mergeCell ref="V7:V8"/>
    <mergeCell ref="AB12:AB16"/>
    <mergeCell ref="AC12:AC16"/>
    <mergeCell ref="AD12:AD16"/>
    <mergeCell ref="AE12:AE16"/>
    <mergeCell ref="Q12:Q15"/>
    <mergeCell ref="R12:R16"/>
    <mergeCell ref="S12:S16"/>
    <mergeCell ref="T12:T16"/>
    <mergeCell ref="P7:P8"/>
    <mergeCell ref="AQ12:AQ16"/>
    <mergeCell ref="AF12:AF16"/>
    <mergeCell ref="AG12:AG16"/>
    <mergeCell ref="AH12:AH16"/>
    <mergeCell ref="AI12:AI16"/>
    <mergeCell ref="AJ12:AJ16"/>
    <mergeCell ref="AK12:AK16"/>
    <mergeCell ref="AF18:AF19"/>
    <mergeCell ref="AG18:AG19"/>
    <mergeCell ref="AL12:AL16"/>
    <mergeCell ref="AM12:AM16"/>
    <mergeCell ref="AN12:AN16"/>
    <mergeCell ref="AO12:AO16"/>
    <mergeCell ref="AP12:AP16"/>
    <mergeCell ref="S18:S19"/>
    <mergeCell ref="T18:T19"/>
    <mergeCell ref="U18:U19"/>
    <mergeCell ref="Y18:Y19"/>
    <mergeCell ref="Z18:Z19"/>
    <mergeCell ref="AA18:AA19"/>
    <mergeCell ref="E14:F14"/>
    <mergeCell ref="U14:U15"/>
    <mergeCell ref="J18:J19"/>
    <mergeCell ref="K18:K19"/>
    <mergeCell ref="L18:L19"/>
    <mergeCell ref="M18:M19"/>
    <mergeCell ref="O18:O19"/>
    <mergeCell ref="P18:P19"/>
    <mergeCell ref="Q18:Q19"/>
    <mergeCell ref="R18:R19"/>
    <mergeCell ref="Z12:Z16"/>
    <mergeCell ref="AA12:AA16"/>
    <mergeCell ref="U12:U13"/>
    <mergeCell ref="Y12:Y16"/>
    <mergeCell ref="J12:J15"/>
    <mergeCell ref="K12:K15"/>
    <mergeCell ref="L12:L15"/>
    <mergeCell ref="M12:M15"/>
    <mergeCell ref="T21:T24"/>
    <mergeCell ref="U21:U24"/>
    <mergeCell ref="Y21:Y24"/>
    <mergeCell ref="Z21:Z24"/>
    <mergeCell ref="AN18:AN19"/>
    <mergeCell ref="AO18:AO19"/>
    <mergeCell ref="AP18:AP19"/>
    <mergeCell ref="J21:J24"/>
    <mergeCell ref="K21:K24"/>
    <mergeCell ref="L21:L24"/>
    <mergeCell ref="M21:M24"/>
    <mergeCell ref="O21:O24"/>
    <mergeCell ref="P21:P24"/>
    <mergeCell ref="Q21:Q24"/>
    <mergeCell ref="AH18:AH19"/>
    <mergeCell ref="AI18:AI19"/>
    <mergeCell ref="AJ18:AJ19"/>
    <mergeCell ref="AK18:AK19"/>
    <mergeCell ref="AL18:AL19"/>
    <mergeCell ref="AM18:AM19"/>
    <mergeCell ref="AB18:AB19"/>
    <mergeCell ref="AC18:AC19"/>
    <mergeCell ref="AD18:AD19"/>
    <mergeCell ref="AE18:AE19"/>
    <mergeCell ref="AM21:AM24"/>
    <mergeCell ref="AN21:AN24"/>
    <mergeCell ref="AO21:AO24"/>
    <mergeCell ref="AP21:AP24"/>
    <mergeCell ref="AQ21:AQ24"/>
    <mergeCell ref="J26:J27"/>
    <mergeCell ref="K26:K27"/>
    <mergeCell ref="L26:L27"/>
    <mergeCell ref="M26:M27"/>
    <mergeCell ref="O26:O33"/>
    <mergeCell ref="AG21:AG24"/>
    <mergeCell ref="AH21:AH24"/>
    <mergeCell ref="AI21:AI24"/>
    <mergeCell ref="AJ21:AJ24"/>
    <mergeCell ref="AK21:AK24"/>
    <mergeCell ref="AL21:AL24"/>
    <mergeCell ref="AA21:AA24"/>
    <mergeCell ref="AB21:AB24"/>
    <mergeCell ref="AC21:AC24"/>
    <mergeCell ref="AD21:AD24"/>
    <mergeCell ref="AE21:AE24"/>
    <mergeCell ref="AF21:AF24"/>
    <mergeCell ref="R21:R24"/>
    <mergeCell ref="S21:S24"/>
    <mergeCell ref="AF26:AF33"/>
    <mergeCell ref="AG26:AG33"/>
    <mergeCell ref="AH26:AH33"/>
    <mergeCell ref="AI26:AI33"/>
    <mergeCell ref="AJ26:AJ33"/>
    <mergeCell ref="Y26:Y33"/>
    <mergeCell ref="Z26:Z33"/>
    <mergeCell ref="AA26:AA33"/>
    <mergeCell ref="AB26:AB33"/>
    <mergeCell ref="AC26:AC33"/>
    <mergeCell ref="AD26:AD33"/>
    <mergeCell ref="J36:J38"/>
    <mergeCell ref="K36:K38"/>
    <mergeCell ref="L36:L38"/>
    <mergeCell ref="M36:M38"/>
    <mergeCell ref="O36:O45"/>
    <mergeCell ref="P36:P45"/>
    <mergeCell ref="Q36:Q38"/>
    <mergeCell ref="AQ26:AQ33"/>
    <mergeCell ref="J28:J30"/>
    <mergeCell ref="K28:K30"/>
    <mergeCell ref="L28:L30"/>
    <mergeCell ref="M28:M30"/>
    <mergeCell ref="Q28:Q30"/>
    <mergeCell ref="U28:U30"/>
    <mergeCell ref="J31:J33"/>
    <mergeCell ref="K31:K33"/>
    <mergeCell ref="L31:L33"/>
    <mergeCell ref="AK26:AK33"/>
    <mergeCell ref="AL26:AL33"/>
    <mergeCell ref="AM26:AM33"/>
    <mergeCell ref="AN26:AN33"/>
    <mergeCell ref="AO26:AO33"/>
    <mergeCell ref="AP26:AP33"/>
    <mergeCell ref="AE26:AE33"/>
    <mergeCell ref="T36:T45"/>
    <mergeCell ref="U36:U38"/>
    <mergeCell ref="Y36:Y45"/>
    <mergeCell ref="Z36:Z45"/>
    <mergeCell ref="U39:U42"/>
    <mergeCell ref="M31:M33"/>
    <mergeCell ref="Q31:Q33"/>
    <mergeCell ref="U31:U33"/>
    <mergeCell ref="P26:P33"/>
    <mergeCell ref="Q26:Q27"/>
    <mergeCell ref="R26:R33"/>
    <mergeCell ref="S26:S33"/>
    <mergeCell ref="T26:T33"/>
    <mergeCell ref="U26:U27"/>
    <mergeCell ref="Q43:Q45"/>
    <mergeCell ref="U43:U45"/>
    <mergeCell ref="AM36:AM45"/>
    <mergeCell ref="AN36:AN45"/>
    <mergeCell ref="AO36:AO45"/>
    <mergeCell ref="AP36:AP45"/>
    <mergeCell ref="AQ36:AQ45"/>
    <mergeCell ref="J39:J42"/>
    <mergeCell ref="K39:K42"/>
    <mergeCell ref="L39:L42"/>
    <mergeCell ref="M39:M42"/>
    <mergeCell ref="Q39:Q42"/>
    <mergeCell ref="AG36:AG45"/>
    <mergeCell ref="AH36:AH45"/>
    <mergeCell ref="AI36:AI45"/>
    <mergeCell ref="AJ36:AJ45"/>
    <mergeCell ref="AK36:AK45"/>
    <mergeCell ref="AL36:AL45"/>
    <mergeCell ref="AA36:AA45"/>
    <mergeCell ref="AB36:AB45"/>
    <mergeCell ref="AC36:AC45"/>
    <mergeCell ref="AD36:AD45"/>
    <mergeCell ref="AE36:AE45"/>
    <mergeCell ref="AF36:AF45"/>
    <mergeCell ref="R36:R45"/>
    <mergeCell ref="S36:S45"/>
    <mergeCell ref="J47:J49"/>
    <mergeCell ref="K47:K49"/>
    <mergeCell ref="L47:L49"/>
    <mergeCell ref="M47:M49"/>
    <mergeCell ref="O47:O49"/>
    <mergeCell ref="P47:P49"/>
    <mergeCell ref="J43:J45"/>
    <mergeCell ref="K43:K45"/>
    <mergeCell ref="L43:L45"/>
    <mergeCell ref="M43:M45"/>
    <mergeCell ref="AO47:AO49"/>
    <mergeCell ref="AP47:AP49"/>
    <mergeCell ref="AQ47:AQ49"/>
    <mergeCell ref="J52:J53"/>
    <mergeCell ref="K52:K53"/>
    <mergeCell ref="L52:L53"/>
    <mergeCell ref="M52:M53"/>
    <mergeCell ref="N52:N53"/>
    <mergeCell ref="AG47:AG49"/>
    <mergeCell ref="AH47:AH49"/>
    <mergeCell ref="AI47:AI49"/>
    <mergeCell ref="AJ47:AJ49"/>
    <mergeCell ref="AK47:AK49"/>
    <mergeCell ref="AL47:AL49"/>
    <mergeCell ref="AA47:AA49"/>
    <mergeCell ref="AB47:AB49"/>
    <mergeCell ref="AC47:AC49"/>
    <mergeCell ref="AD47:AD49"/>
    <mergeCell ref="AE47:AE49"/>
    <mergeCell ref="AF47:AF49"/>
    <mergeCell ref="R47:R49"/>
    <mergeCell ref="S47:S49"/>
    <mergeCell ref="T47:T49"/>
    <mergeCell ref="U47:U49"/>
    <mergeCell ref="Z52:Z53"/>
    <mergeCell ref="O52:O53"/>
    <mergeCell ref="P52:P53"/>
    <mergeCell ref="Q52:Q53"/>
    <mergeCell ref="R52:R53"/>
    <mergeCell ref="S52:S53"/>
    <mergeCell ref="T52:T53"/>
    <mergeCell ref="AM47:AM49"/>
    <mergeCell ref="AN47:AN49"/>
    <mergeCell ref="Y47:Y49"/>
    <mergeCell ref="Z47:Z49"/>
    <mergeCell ref="E61:K63"/>
    <mergeCell ref="AM52:AM53"/>
    <mergeCell ref="AN52:AN53"/>
    <mergeCell ref="AO52:AO53"/>
    <mergeCell ref="AP52:AP53"/>
    <mergeCell ref="E53:F53"/>
    <mergeCell ref="H53:I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X52:X53"/>
    <mergeCell ref="Y52:Y53"/>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Q21"/>
  <sheetViews>
    <sheetView showGridLines="0" topLeftCell="O1" zoomScale="50" zoomScaleNormal="50" workbookViewId="0">
      <pane ySplit="1" topLeftCell="A2" activePane="bottomLeft" state="frozen"/>
      <selection pane="bottomLeft" sqref="A1:AO4"/>
    </sheetView>
  </sheetViews>
  <sheetFormatPr baseColWidth="10" defaultColWidth="18.28515625" defaultRowHeight="15" x14ac:dyDescent="0.2"/>
  <cols>
    <col min="1" max="10" width="18.28515625" style="485"/>
    <col min="11" max="11" width="22.28515625" style="485" customWidth="1"/>
    <col min="12" max="12" width="18.28515625" style="485"/>
    <col min="13" max="13" width="25.140625" style="485" customWidth="1"/>
    <col min="14" max="14" width="30.28515625" style="485" customWidth="1"/>
    <col min="15" max="17" width="18.28515625" style="485"/>
    <col min="18" max="18" width="25.42578125" style="485" customWidth="1"/>
    <col min="19" max="20" width="18.28515625" style="485"/>
    <col min="21" max="21" width="30.28515625" style="485" customWidth="1"/>
    <col min="22" max="22" width="25.85546875" style="485" customWidth="1"/>
    <col min="23" max="42" width="18.28515625" style="485"/>
    <col min="43" max="43" width="23.140625" style="485" customWidth="1"/>
    <col min="44" max="16384" width="18.28515625" style="485"/>
  </cols>
  <sheetData>
    <row r="1" spans="1:43" ht="30" customHeight="1" x14ac:dyDescent="0.2">
      <c r="A1" s="2153" t="s">
        <v>2527</v>
      </c>
      <c r="B1" s="2154"/>
      <c r="C1" s="2154"/>
      <c r="D1" s="2154"/>
      <c r="E1" s="2154"/>
      <c r="F1" s="2154"/>
      <c r="G1" s="2154"/>
      <c r="H1" s="2154"/>
      <c r="I1" s="2154"/>
      <c r="J1" s="2154"/>
      <c r="K1" s="2154"/>
      <c r="L1" s="2154"/>
      <c r="M1" s="2154"/>
      <c r="N1" s="2154"/>
      <c r="O1" s="2154"/>
      <c r="P1" s="2154"/>
      <c r="Q1" s="2154"/>
      <c r="R1" s="2154"/>
      <c r="S1" s="2154"/>
      <c r="T1" s="2154"/>
      <c r="U1" s="2154"/>
      <c r="V1" s="2154"/>
      <c r="W1" s="2154"/>
      <c r="X1" s="2154"/>
      <c r="Y1" s="2154"/>
      <c r="Z1" s="2154"/>
      <c r="AA1" s="2154"/>
      <c r="AB1" s="2154"/>
      <c r="AC1" s="2154"/>
      <c r="AD1" s="2154"/>
      <c r="AE1" s="2154"/>
      <c r="AF1" s="2154"/>
      <c r="AG1" s="2154"/>
      <c r="AH1" s="2154"/>
      <c r="AI1" s="2154"/>
      <c r="AJ1" s="2154"/>
      <c r="AK1" s="2154"/>
      <c r="AL1" s="2154"/>
      <c r="AM1" s="2154"/>
      <c r="AN1" s="2154"/>
      <c r="AO1" s="2155"/>
      <c r="AP1" s="738" t="s">
        <v>0</v>
      </c>
      <c r="AQ1" s="739" t="s">
        <v>1</v>
      </c>
    </row>
    <row r="2" spans="1:43" x14ac:dyDescent="0.2">
      <c r="A2" s="2156"/>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c r="AC2" s="2124"/>
      <c r="AD2" s="2124"/>
      <c r="AE2" s="2124"/>
      <c r="AF2" s="2124"/>
      <c r="AG2" s="2124"/>
      <c r="AH2" s="2124"/>
      <c r="AI2" s="2124"/>
      <c r="AJ2" s="2124"/>
      <c r="AK2" s="2124"/>
      <c r="AL2" s="2124"/>
      <c r="AM2" s="2124"/>
      <c r="AN2" s="2124"/>
      <c r="AO2" s="2125"/>
      <c r="AP2" s="364" t="s">
        <v>2</v>
      </c>
      <c r="AQ2" s="740" t="s">
        <v>3</v>
      </c>
    </row>
    <row r="3" spans="1:43" x14ac:dyDescent="0.2">
      <c r="A3" s="2156"/>
      <c r="B3" s="2124"/>
      <c r="C3" s="2124"/>
      <c r="D3" s="2124"/>
      <c r="E3" s="2124"/>
      <c r="F3" s="2124"/>
      <c r="G3" s="2124"/>
      <c r="H3" s="2124"/>
      <c r="I3" s="2124"/>
      <c r="J3" s="2124"/>
      <c r="K3" s="2124"/>
      <c r="L3" s="2124"/>
      <c r="M3" s="2124"/>
      <c r="N3" s="2124"/>
      <c r="O3" s="2124"/>
      <c r="P3" s="2124"/>
      <c r="Q3" s="2124"/>
      <c r="R3" s="2124"/>
      <c r="S3" s="2124"/>
      <c r="T3" s="2124"/>
      <c r="U3" s="2124"/>
      <c r="V3" s="2124"/>
      <c r="W3" s="2124"/>
      <c r="X3" s="2124"/>
      <c r="Y3" s="2124"/>
      <c r="Z3" s="2124"/>
      <c r="AA3" s="2124"/>
      <c r="AB3" s="2124"/>
      <c r="AC3" s="2124"/>
      <c r="AD3" s="2124"/>
      <c r="AE3" s="2124"/>
      <c r="AF3" s="2124"/>
      <c r="AG3" s="2124"/>
      <c r="AH3" s="2124"/>
      <c r="AI3" s="2124"/>
      <c r="AJ3" s="2124"/>
      <c r="AK3" s="2124"/>
      <c r="AL3" s="2124"/>
      <c r="AM3" s="2124"/>
      <c r="AN3" s="2124"/>
      <c r="AO3" s="2125"/>
      <c r="AP3" s="362" t="s">
        <v>4</v>
      </c>
      <c r="AQ3" s="741" t="s">
        <v>5</v>
      </c>
    </row>
    <row r="4" spans="1:43" x14ac:dyDescent="0.2">
      <c r="A4" s="2157"/>
      <c r="B4" s="2126"/>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7"/>
      <c r="AP4" s="362" t="s">
        <v>6</v>
      </c>
      <c r="AQ4" s="742" t="s">
        <v>7</v>
      </c>
    </row>
    <row r="5" spans="1:43" ht="15.75" x14ac:dyDescent="0.2">
      <c r="A5" s="2254" t="s">
        <v>8</v>
      </c>
      <c r="B5" s="2128"/>
      <c r="C5" s="2128"/>
      <c r="D5" s="2128"/>
      <c r="E5" s="2128"/>
      <c r="F5" s="2128"/>
      <c r="G5" s="2128"/>
      <c r="H5" s="2128"/>
      <c r="I5" s="2128"/>
      <c r="J5" s="2128"/>
      <c r="K5" s="2128"/>
      <c r="L5" s="2128"/>
      <c r="M5" s="2128"/>
      <c r="N5" s="2130" t="s">
        <v>9</v>
      </c>
      <c r="O5" s="2130"/>
      <c r="P5" s="2130"/>
      <c r="Q5" s="2130"/>
      <c r="R5" s="2130"/>
      <c r="S5" s="2130"/>
      <c r="T5" s="2130"/>
      <c r="U5" s="2130"/>
      <c r="V5" s="2130"/>
      <c r="W5" s="2130"/>
      <c r="X5" s="2130"/>
      <c r="Y5" s="2130"/>
      <c r="Z5" s="2130"/>
      <c r="AA5" s="2130"/>
      <c r="AB5" s="2130"/>
      <c r="AC5" s="2130"/>
      <c r="AD5" s="2130"/>
      <c r="AE5" s="2130"/>
      <c r="AF5" s="2130"/>
      <c r="AG5" s="2130"/>
      <c r="AH5" s="2130"/>
      <c r="AI5" s="2130"/>
      <c r="AJ5" s="2130"/>
      <c r="AK5" s="2130"/>
      <c r="AL5" s="2130"/>
      <c r="AM5" s="2130"/>
      <c r="AN5" s="2130"/>
      <c r="AO5" s="2130"/>
      <c r="AP5" s="2130"/>
      <c r="AQ5" s="2162"/>
    </row>
    <row r="6" spans="1:43" ht="15.75" x14ac:dyDescent="0.2">
      <c r="A6" s="2255"/>
      <c r="B6" s="2129"/>
      <c r="C6" s="2129"/>
      <c r="D6" s="2129"/>
      <c r="E6" s="2129"/>
      <c r="F6" s="2129"/>
      <c r="G6" s="2129"/>
      <c r="H6" s="2129"/>
      <c r="I6" s="2129"/>
      <c r="J6" s="2129"/>
      <c r="K6" s="2129"/>
      <c r="L6" s="2129"/>
      <c r="M6" s="2129"/>
      <c r="N6" s="653"/>
      <c r="O6" s="370"/>
      <c r="P6" s="370"/>
      <c r="Q6" s="370"/>
      <c r="R6" s="370"/>
      <c r="S6" s="370"/>
      <c r="T6" s="370"/>
      <c r="U6" s="370"/>
      <c r="V6" s="370"/>
      <c r="W6" s="370"/>
      <c r="X6" s="370"/>
      <c r="Y6" s="2131" t="s">
        <v>10</v>
      </c>
      <c r="Z6" s="2129"/>
      <c r="AA6" s="2129"/>
      <c r="AB6" s="2129"/>
      <c r="AC6" s="2129"/>
      <c r="AD6" s="2129"/>
      <c r="AE6" s="2129"/>
      <c r="AF6" s="2129"/>
      <c r="AG6" s="2129"/>
      <c r="AH6" s="2129"/>
      <c r="AI6" s="2129"/>
      <c r="AJ6" s="2129"/>
      <c r="AK6" s="2129"/>
      <c r="AL6" s="2129"/>
      <c r="AM6" s="2132"/>
      <c r="AN6" s="926"/>
      <c r="AO6" s="370"/>
      <c r="AP6" s="370"/>
      <c r="AQ6" s="654"/>
    </row>
    <row r="7" spans="1:43" ht="25.5" customHeight="1" x14ac:dyDescent="0.2">
      <c r="A7" s="3428" t="s">
        <v>11</v>
      </c>
      <c r="B7" s="3040" t="s">
        <v>12</v>
      </c>
      <c r="C7" s="3031"/>
      <c r="D7" s="3031" t="s">
        <v>11</v>
      </c>
      <c r="E7" s="3040" t="s">
        <v>13</v>
      </c>
      <c r="F7" s="3031"/>
      <c r="G7" s="3031" t="s">
        <v>11</v>
      </c>
      <c r="H7" s="3040" t="s">
        <v>14</v>
      </c>
      <c r="I7" s="3031"/>
      <c r="J7" s="3031" t="s">
        <v>11</v>
      </c>
      <c r="K7" s="3040" t="s">
        <v>15</v>
      </c>
      <c r="L7" s="3034" t="s">
        <v>16</v>
      </c>
      <c r="M7" s="3034" t="s">
        <v>17</v>
      </c>
      <c r="N7" s="3034" t="s">
        <v>18</v>
      </c>
      <c r="O7" s="3034" t="s">
        <v>19</v>
      </c>
      <c r="P7" s="3034" t="s">
        <v>9</v>
      </c>
      <c r="Q7" s="3430" t="s">
        <v>20</v>
      </c>
      <c r="R7" s="3050" t="s">
        <v>21</v>
      </c>
      <c r="S7" s="3034" t="s">
        <v>22</v>
      </c>
      <c r="T7" s="3040" t="s">
        <v>23</v>
      </c>
      <c r="U7" s="3034" t="s">
        <v>24</v>
      </c>
      <c r="V7" s="3037" t="s">
        <v>21</v>
      </c>
      <c r="W7" s="1083"/>
      <c r="X7" s="3034" t="s">
        <v>25</v>
      </c>
      <c r="Y7" s="2175" t="s">
        <v>26</v>
      </c>
      <c r="Z7" s="2175"/>
      <c r="AA7" s="2176" t="s">
        <v>27</v>
      </c>
      <c r="AB7" s="2176"/>
      <c r="AC7" s="2176"/>
      <c r="AD7" s="2176"/>
      <c r="AE7" s="2177" t="s">
        <v>28</v>
      </c>
      <c r="AF7" s="2178"/>
      <c r="AG7" s="2178"/>
      <c r="AH7" s="2178"/>
      <c r="AI7" s="2178"/>
      <c r="AJ7" s="2179"/>
      <c r="AK7" s="2176" t="s">
        <v>29</v>
      </c>
      <c r="AL7" s="2176"/>
      <c r="AM7" s="2176"/>
      <c r="AN7" s="2287" t="s">
        <v>30</v>
      </c>
      <c r="AO7" s="3433" t="s">
        <v>31</v>
      </c>
      <c r="AP7" s="3433" t="s">
        <v>32</v>
      </c>
      <c r="AQ7" s="3435" t="s">
        <v>33</v>
      </c>
    </row>
    <row r="8" spans="1:43" ht="122.25" customHeight="1" x14ac:dyDescent="0.2">
      <c r="A8" s="3429"/>
      <c r="B8" s="3041"/>
      <c r="C8" s="3032"/>
      <c r="D8" s="3032"/>
      <c r="E8" s="3041"/>
      <c r="F8" s="3032"/>
      <c r="G8" s="3032"/>
      <c r="H8" s="3041"/>
      <c r="I8" s="3032"/>
      <c r="J8" s="3032"/>
      <c r="K8" s="3041"/>
      <c r="L8" s="3035"/>
      <c r="M8" s="3035"/>
      <c r="N8" s="3035"/>
      <c r="O8" s="3035"/>
      <c r="P8" s="3035"/>
      <c r="Q8" s="3431"/>
      <c r="R8" s="3051"/>
      <c r="S8" s="3036"/>
      <c r="T8" s="3041"/>
      <c r="U8" s="3035"/>
      <c r="V8" s="3038"/>
      <c r="W8" s="1084" t="s">
        <v>11</v>
      </c>
      <c r="X8" s="3035"/>
      <c r="Y8" s="1085" t="s">
        <v>34</v>
      </c>
      <c r="Z8" s="1086" t="s">
        <v>35</v>
      </c>
      <c r="AA8" s="1087" t="s">
        <v>36</v>
      </c>
      <c r="AB8" s="1087" t="s">
        <v>37</v>
      </c>
      <c r="AC8" s="1087" t="s">
        <v>38</v>
      </c>
      <c r="AD8" s="1087" t="s">
        <v>39</v>
      </c>
      <c r="AE8" s="1087" t="s">
        <v>40</v>
      </c>
      <c r="AF8" s="1087" t="s">
        <v>41</v>
      </c>
      <c r="AG8" s="1087" t="s">
        <v>42</v>
      </c>
      <c r="AH8" s="1087" t="s">
        <v>43</v>
      </c>
      <c r="AI8" s="1087" t="s">
        <v>44</v>
      </c>
      <c r="AJ8" s="1087" t="s">
        <v>45</v>
      </c>
      <c r="AK8" s="1087" t="s">
        <v>46</v>
      </c>
      <c r="AL8" s="1087" t="s">
        <v>47</v>
      </c>
      <c r="AM8" s="1087" t="s">
        <v>48</v>
      </c>
      <c r="AN8" s="2288"/>
      <c r="AO8" s="3434"/>
      <c r="AP8" s="3434"/>
      <c r="AQ8" s="3436"/>
    </row>
    <row r="9" spans="1:43" ht="15.75" x14ac:dyDescent="0.2">
      <c r="A9" s="1088">
        <v>4</v>
      </c>
      <c r="B9" s="1089" t="s">
        <v>1039</v>
      </c>
      <c r="C9" s="1090"/>
      <c r="D9" s="1090"/>
      <c r="E9" s="1090"/>
      <c r="F9" s="1090"/>
      <c r="G9" s="1090"/>
      <c r="H9" s="1090"/>
      <c r="I9" s="1090"/>
      <c r="J9" s="1090"/>
      <c r="K9" s="1091"/>
      <c r="L9" s="1090"/>
      <c r="M9" s="1090"/>
      <c r="N9" s="1090"/>
      <c r="O9" s="1092"/>
      <c r="P9" s="1091"/>
      <c r="Q9" s="1093"/>
      <c r="R9" s="1094"/>
      <c r="S9" s="1091"/>
      <c r="T9" s="1091"/>
      <c r="U9" s="1091"/>
      <c r="V9" s="1095"/>
      <c r="W9" s="1096"/>
      <c r="X9" s="1092"/>
      <c r="Y9" s="1090"/>
      <c r="Z9" s="1090"/>
      <c r="AA9" s="1090"/>
      <c r="AB9" s="1090"/>
      <c r="AC9" s="1090"/>
      <c r="AD9" s="1090"/>
      <c r="AE9" s="1090"/>
      <c r="AF9" s="1090"/>
      <c r="AG9" s="1090"/>
      <c r="AH9" s="1090"/>
      <c r="AI9" s="1090"/>
      <c r="AJ9" s="1090"/>
      <c r="AK9" s="1090"/>
      <c r="AL9" s="1090"/>
      <c r="AM9" s="1090"/>
      <c r="AN9" s="1090"/>
      <c r="AO9" s="1097"/>
      <c r="AP9" s="1097"/>
      <c r="AQ9" s="1098"/>
    </row>
    <row r="10" spans="1:43" ht="15.75" x14ac:dyDescent="0.2">
      <c r="A10" s="945"/>
      <c r="B10" s="929"/>
      <c r="C10" s="930"/>
      <c r="D10" s="1099">
        <v>23</v>
      </c>
      <c r="E10" s="1100" t="s">
        <v>1040</v>
      </c>
      <c r="F10" s="1100"/>
      <c r="G10" s="1101"/>
      <c r="H10" s="1101"/>
      <c r="I10" s="1101"/>
      <c r="J10" s="1101"/>
      <c r="K10" s="1102"/>
      <c r="L10" s="1101"/>
      <c r="M10" s="1101"/>
      <c r="N10" s="1101"/>
      <c r="O10" s="1103"/>
      <c r="P10" s="1102"/>
      <c r="Q10" s="1104"/>
      <c r="R10" s="1105"/>
      <c r="S10" s="1102"/>
      <c r="T10" s="1102"/>
      <c r="U10" s="1102"/>
      <c r="V10" s="1106"/>
      <c r="W10" s="1107"/>
      <c r="X10" s="1103"/>
      <c r="Y10" s="1101"/>
      <c r="Z10" s="1101"/>
      <c r="AA10" s="1101"/>
      <c r="AB10" s="1101"/>
      <c r="AC10" s="1101"/>
      <c r="AD10" s="1101"/>
      <c r="AE10" s="1101"/>
      <c r="AF10" s="1101"/>
      <c r="AG10" s="1101"/>
      <c r="AH10" s="1101"/>
      <c r="AI10" s="1101"/>
      <c r="AJ10" s="1101"/>
      <c r="AK10" s="1101"/>
      <c r="AL10" s="1101"/>
      <c r="AM10" s="1101"/>
      <c r="AN10" s="1101"/>
      <c r="AO10" s="1108"/>
      <c r="AP10" s="1108"/>
      <c r="AQ10" s="1109"/>
    </row>
    <row r="11" spans="1:43" ht="15.75" x14ac:dyDescent="0.2">
      <c r="A11" s="946"/>
      <c r="B11" s="931"/>
      <c r="C11" s="932"/>
      <c r="D11" s="928"/>
      <c r="E11" s="929"/>
      <c r="F11" s="930"/>
      <c r="G11" s="1110">
        <v>77</v>
      </c>
      <c r="H11" s="1111" t="s">
        <v>1041</v>
      </c>
      <c r="I11" s="1111"/>
      <c r="J11" s="1111"/>
      <c r="K11" s="1112"/>
      <c r="L11" s="1111"/>
      <c r="M11" s="1111"/>
      <c r="N11" s="1111"/>
      <c r="O11" s="1113"/>
      <c r="P11" s="1112"/>
      <c r="Q11" s="1114"/>
      <c r="R11" s="1115"/>
      <c r="S11" s="1112"/>
      <c r="T11" s="1112"/>
      <c r="U11" s="1112"/>
      <c r="V11" s="1116"/>
      <c r="W11" s="1117"/>
      <c r="X11" s="1113"/>
      <c r="Y11" s="1111"/>
      <c r="Z11" s="1111"/>
      <c r="AA11" s="1111"/>
      <c r="AB11" s="1111"/>
      <c r="AC11" s="1111"/>
      <c r="AD11" s="1111"/>
      <c r="AE11" s="1111"/>
      <c r="AF11" s="1111"/>
      <c r="AG11" s="1111"/>
      <c r="AH11" s="1111"/>
      <c r="AI11" s="1111"/>
      <c r="AJ11" s="1111"/>
      <c r="AK11" s="1111"/>
      <c r="AL11" s="1111"/>
      <c r="AM11" s="1111"/>
      <c r="AN11" s="1111"/>
      <c r="AO11" s="1118"/>
      <c r="AP11" s="1118"/>
      <c r="AQ11" s="1119"/>
    </row>
    <row r="12" spans="1:43" ht="71.25" customHeight="1" x14ac:dyDescent="0.2">
      <c r="A12" s="757"/>
      <c r="B12" s="935"/>
      <c r="C12" s="936"/>
      <c r="D12" s="3432"/>
      <c r="E12" s="935"/>
      <c r="F12" s="936"/>
      <c r="G12" s="933"/>
      <c r="H12" s="935"/>
      <c r="I12" s="935"/>
      <c r="J12" s="2754">
        <v>223</v>
      </c>
      <c r="K12" s="2049" t="s">
        <v>244</v>
      </c>
      <c r="L12" s="2056" t="s">
        <v>1042</v>
      </c>
      <c r="M12" s="2065">
        <v>1</v>
      </c>
      <c r="N12" s="2628"/>
      <c r="O12" s="2754" t="s">
        <v>1043</v>
      </c>
      <c r="P12" s="2049" t="s">
        <v>1044</v>
      </c>
      <c r="Q12" s="2051">
        <f>(V12+V13)/R12</f>
        <v>0.89333217391304343</v>
      </c>
      <c r="R12" s="2626">
        <f>SUM(V12:V15)</f>
        <v>115000000</v>
      </c>
      <c r="S12" s="2056" t="s">
        <v>1045</v>
      </c>
      <c r="T12" s="2056" t="s">
        <v>1046</v>
      </c>
      <c r="U12" s="1120" t="s">
        <v>1047</v>
      </c>
      <c r="V12" s="942">
        <v>100000000</v>
      </c>
      <c r="W12" s="2243"/>
      <c r="X12" s="2056" t="s">
        <v>1048</v>
      </c>
      <c r="Y12" s="2044">
        <v>292684</v>
      </c>
      <c r="Z12" s="2044">
        <v>282326</v>
      </c>
      <c r="AA12" s="2044">
        <v>135912</v>
      </c>
      <c r="AB12" s="2044">
        <v>45122</v>
      </c>
      <c r="AC12" s="2044">
        <v>307101</v>
      </c>
      <c r="AD12" s="2044">
        <v>86875</v>
      </c>
      <c r="AE12" s="2044">
        <v>2145</v>
      </c>
      <c r="AF12" s="2044">
        <v>12718</v>
      </c>
      <c r="AG12" s="2044">
        <v>26</v>
      </c>
      <c r="AH12" s="2044">
        <v>37</v>
      </c>
      <c r="AI12" s="2044"/>
      <c r="AJ12" s="2044"/>
      <c r="AK12" s="2044">
        <v>53164</v>
      </c>
      <c r="AL12" s="2044">
        <v>16982</v>
      </c>
      <c r="AM12" s="2044">
        <v>60013</v>
      </c>
      <c r="AN12" s="2044">
        <v>575010</v>
      </c>
      <c r="AO12" s="2723">
        <v>43101</v>
      </c>
      <c r="AP12" s="2723">
        <v>43465</v>
      </c>
      <c r="AQ12" s="2090" t="s">
        <v>1049</v>
      </c>
    </row>
    <row r="13" spans="1:43" ht="71.25" customHeight="1" x14ac:dyDescent="0.2">
      <c r="A13" s="757"/>
      <c r="B13" s="2084"/>
      <c r="C13" s="2085"/>
      <c r="D13" s="3432"/>
      <c r="E13" s="2084"/>
      <c r="F13" s="2085"/>
      <c r="G13" s="934"/>
      <c r="H13" s="2084"/>
      <c r="I13" s="2084"/>
      <c r="J13" s="2754"/>
      <c r="K13" s="2049"/>
      <c r="L13" s="2056"/>
      <c r="M13" s="2065"/>
      <c r="N13" s="2629"/>
      <c r="O13" s="2754"/>
      <c r="P13" s="2049"/>
      <c r="Q13" s="2052"/>
      <c r="R13" s="2627"/>
      <c r="S13" s="2056"/>
      <c r="T13" s="2056"/>
      <c r="U13" s="1120" t="s">
        <v>1050</v>
      </c>
      <c r="V13" s="1121">
        <v>2733200</v>
      </c>
      <c r="W13" s="2729"/>
      <c r="X13" s="2056"/>
      <c r="Y13" s="2600"/>
      <c r="Z13" s="2600">
        <v>282326</v>
      </c>
      <c r="AA13" s="2600">
        <v>135912</v>
      </c>
      <c r="AB13" s="2600">
        <v>45122</v>
      </c>
      <c r="AC13" s="2600">
        <v>307101</v>
      </c>
      <c r="AD13" s="2600">
        <v>86875</v>
      </c>
      <c r="AE13" s="2600">
        <v>2145</v>
      </c>
      <c r="AF13" s="2600">
        <v>12718</v>
      </c>
      <c r="AG13" s="2600">
        <v>26</v>
      </c>
      <c r="AH13" s="2600">
        <v>37</v>
      </c>
      <c r="AI13" s="2600"/>
      <c r="AJ13" s="2600"/>
      <c r="AK13" s="2600">
        <v>53164</v>
      </c>
      <c r="AL13" s="2600">
        <v>16982</v>
      </c>
      <c r="AM13" s="2600">
        <v>60013</v>
      </c>
      <c r="AN13" s="2600"/>
      <c r="AO13" s="2724"/>
      <c r="AP13" s="2724"/>
      <c r="AQ13" s="3397"/>
    </row>
    <row r="14" spans="1:43" ht="110.25" customHeight="1" x14ac:dyDescent="0.2">
      <c r="A14" s="757"/>
      <c r="B14" s="935"/>
      <c r="C14" s="936"/>
      <c r="D14" s="1122"/>
      <c r="E14" s="935"/>
      <c r="F14" s="936"/>
      <c r="G14" s="934"/>
      <c r="H14" s="935"/>
      <c r="I14" s="935"/>
      <c r="J14" s="1123">
        <v>224</v>
      </c>
      <c r="K14" s="939" t="s">
        <v>1051</v>
      </c>
      <c r="L14" s="263" t="s">
        <v>1052</v>
      </c>
      <c r="M14" s="938">
        <v>1</v>
      </c>
      <c r="N14" s="2629"/>
      <c r="O14" s="2754"/>
      <c r="P14" s="2049"/>
      <c r="Q14" s="944">
        <f>V14/R12</f>
        <v>9.2173913043478259E-2</v>
      </c>
      <c r="R14" s="2627"/>
      <c r="S14" s="2056"/>
      <c r="T14" s="2056"/>
      <c r="U14" s="1120" t="s">
        <v>1053</v>
      </c>
      <c r="V14" s="942">
        <v>10600000</v>
      </c>
      <c r="W14" s="2729"/>
      <c r="X14" s="2056"/>
      <c r="Y14" s="2600"/>
      <c r="Z14" s="2600">
        <v>282326</v>
      </c>
      <c r="AA14" s="2600">
        <v>135912</v>
      </c>
      <c r="AB14" s="2600">
        <v>45122</v>
      </c>
      <c r="AC14" s="2600">
        <v>307101</v>
      </c>
      <c r="AD14" s="2600">
        <v>86875</v>
      </c>
      <c r="AE14" s="2600">
        <v>2145</v>
      </c>
      <c r="AF14" s="2600">
        <v>12718</v>
      </c>
      <c r="AG14" s="2600">
        <v>26</v>
      </c>
      <c r="AH14" s="2600">
        <v>37</v>
      </c>
      <c r="AI14" s="2600"/>
      <c r="AJ14" s="2600"/>
      <c r="AK14" s="2600">
        <v>53164</v>
      </c>
      <c r="AL14" s="2600">
        <v>16982</v>
      </c>
      <c r="AM14" s="2600">
        <v>60013</v>
      </c>
      <c r="AN14" s="2600"/>
      <c r="AO14" s="2724"/>
      <c r="AP14" s="2724"/>
      <c r="AQ14" s="3397"/>
    </row>
    <row r="15" spans="1:43" ht="195.75" thickBot="1" x14ac:dyDescent="0.25">
      <c r="A15" s="757"/>
      <c r="B15" s="935"/>
      <c r="C15" s="936"/>
      <c r="D15" s="1122"/>
      <c r="E15" s="935"/>
      <c r="F15" s="936"/>
      <c r="G15" s="934"/>
      <c r="H15" s="935"/>
      <c r="I15" s="935"/>
      <c r="J15" s="943">
        <v>225</v>
      </c>
      <c r="K15" s="937" t="s">
        <v>1054</v>
      </c>
      <c r="L15" s="1124" t="s">
        <v>1055</v>
      </c>
      <c r="M15" s="927">
        <v>1</v>
      </c>
      <c r="N15" s="2629"/>
      <c r="O15" s="2628"/>
      <c r="P15" s="2088"/>
      <c r="Q15" s="1125">
        <f>V15/R12</f>
        <v>1.4493913043478262E-2</v>
      </c>
      <c r="R15" s="2627"/>
      <c r="S15" s="2057"/>
      <c r="T15" s="940" t="s">
        <v>1056</v>
      </c>
      <c r="U15" s="1126" t="s">
        <v>1057</v>
      </c>
      <c r="V15" s="941">
        <v>1666800</v>
      </c>
      <c r="W15" s="3437"/>
      <c r="X15" s="2057"/>
      <c r="Y15" s="2600"/>
      <c r="Z15" s="2600">
        <v>282326</v>
      </c>
      <c r="AA15" s="2600">
        <v>135912</v>
      </c>
      <c r="AB15" s="2600">
        <v>45122</v>
      </c>
      <c r="AC15" s="2600">
        <v>307101</v>
      </c>
      <c r="AD15" s="2600">
        <v>86875</v>
      </c>
      <c r="AE15" s="2600">
        <v>2145</v>
      </c>
      <c r="AF15" s="2600">
        <v>12718</v>
      </c>
      <c r="AG15" s="2600">
        <v>26</v>
      </c>
      <c r="AH15" s="2600">
        <v>37</v>
      </c>
      <c r="AI15" s="2600"/>
      <c r="AJ15" s="2600"/>
      <c r="AK15" s="2600">
        <v>53164</v>
      </c>
      <c r="AL15" s="2600">
        <v>16982</v>
      </c>
      <c r="AM15" s="2600">
        <v>60013</v>
      </c>
      <c r="AN15" s="2600"/>
      <c r="AO15" s="2724"/>
      <c r="AP15" s="2724"/>
      <c r="AQ15" s="3397"/>
    </row>
    <row r="16" spans="1:43" ht="16.5" thickBot="1" x14ac:dyDescent="0.3">
      <c r="A16" s="1127"/>
      <c r="B16" s="661"/>
      <c r="C16" s="661"/>
      <c r="D16" s="661"/>
      <c r="E16" s="661"/>
      <c r="F16" s="661"/>
      <c r="G16" s="661"/>
      <c r="H16" s="661"/>
      <c r="I16" s="661"/>
      <c r="J16" s="661"/>
      <c r="K16" s="661"/>
      <c r="L16" s="661"/>
      <c r="M16" s="661"/>
      <c r="N16" s="661"/>
      <c r="O16" s="661"/>
      <c r="P16" s="661"/>
      <c r="Q16" s="661"/>
      <c r="R16" s="1128">
        <f>SUM(R12:R15)</f>
        <v>115000000</v>
      </c>
      <c r="S16" s="661"/>
      <c r="T16" s="661"/>
      <c r="U16" s="1129"/>
      <c r="V16" s="1128">
        <f>SUM(V12:V15)</f>
        <v>115000000</v>
      </c>
      <c r="W16" s="1127"/>
      <c r="X16" s="661"/>
      <c r="Y16" s="661"/>
      <c r="Z16" s="661"/>
      <c r="AA16" s="661"/>
      <c r="AB16" s="661"/>
      <c r="AC16" s="661"/>
      <c r="AD16" s="661"/>
      <c r="AE16" s="661"/>
      <c r="AF16" s="661"/>
      <c r="AG16" s="661"/>
      <c r="AH16" s="661"/>
      <c r="AI16" s="661"/>
      <c r="AJ16" s="661"/>
      <c r="AK16" s="661"/>
      <c r="AL16" s="661"/>
      <c r="AM16" s="661"/>
      <c r="AN16" s="661"/>
      <c r="AO16" s="661"/>
      <c r="AP16" s="661"/>
      <c r="AQ16" s="1129"/>
    </row>
    <row r="19" spans="5:5" ht="15.75" x14ac:dyDescent="0.25">
      <c r="E19" s="1130" t="s">
        <v>1058</v>
      </c>
    </row>
    <row r="20" spans="5:5" ht="15.75" x14ac:dyDescent="0.25">
      <c r="E20" s="568" t="s">
        <v>1059</v>
      </c>
    </row>
    <row r="21" spans="5:5" x14ac:dyDescent="0.2">
      <c r="E21" s="488"/>
    </row>
  </sheetData>
  <sheetProtection password="CBEB" sheet="1" objects="1" scenarios="1"/>
  <mergeCells count="68">
    <mergeCell ref="AO12:AO15"/>
    <mergeCell ref="AP12:AP15"/>
    <mergeCell ref="AQ12:AQ15"/>
    <mergeCell ref="B13:C13"/>
    <mergeCell ref="E13:F13"/>
    <mergeCell ref="H13:I13"/>
    <mergeCell ref="AI12:AI15"/>
    <mergeCell ref="AJ12:AJ15"/>
    <mergeCell ref="AK12:AK15"/>
    <mergeCell ref="AL12:AL15"/>
    <mergeCell ref="AM12:AM15"/>
    <mergeCell ref="AN12:AN15"/>
    <mergeCell ref="AC12:AC15"/>
    <mergeCell ref="AD12:AD15"/>
    <mergeCell ref="AE12:AE15"/>
    <mergeCell ref="AF12:AF15"/>
    <mergeCell ref="R12:R15"/>
    <mergeCell ref="S12:S15"/>
    <mergeCell ref="AG12:AG15"/>
    <mergeCell ref="AH12:AH15"/>
    <mergeCell ref="W12:W15"/>
    <mergeCell ref="X12:X15"/>
    <mergeCell ref="Y12:Y15"/>
    <mergeCell ref="Z12:Z15"/>
    <mergeCell ref="AA12:AA15"/>
    <mergeCell ref="AB12:AB15"/>
    <mergeCell ref="AO7:AO8"/>
    <mergeCell ref="AP7:AP8"/>
    <mergeCell ref="AQ7:AQ8"/>
    <mergeCell ref="AE7:AJ7"/>
    <mergeCell ref="AK7:AM7"/>
    <mergeCell ref="D12:D13"/>
    <mergeCell ref="J12:J13"/>
    <mergeCell ref="K12:K13"/>
    <mergeCell ref="L12:L13"/>
    <mergeCell ref="M12:M13"/>
    <mergeCell ref="N12:N15"/>
    <mergeCell ref="V7:V8"/>
    <mergeCell ref="X7:X8"/>
    <mergeCell ref="Y7:Z7"/>
    <mergeCell ref="AA7:AD7"/>
    <mergeCell ref="P7:P8"/>
    <mergeCell ref="Q7:Q8"/>
    <mergeCell ref="R7:R8"/>
    <mergeCell ref="S7:S8"/>
    <mergeCell ref="T7:T8"/>
    <mergeCell ref="U7:U8"/>
    <mergeCell ref="O7:O8"/>
    <mergeCell ref="T12:T14"/>
    <mergeCell ref="O12:O15"/>
    <mergeCell ref="P12:P15"/>
    <mergeCell ref="Q12:Q13"/>
    <mergeCell ref="A1:AO4"/>
    <mergeCell ref="A5:M6"/>
    <mergeCell ref="N5:AQ5"/>
    <mergeCell ref="Y6:AM6"/>
    <mergeCell ref="A7:A8"/>
    <mergeCell ref="B7:C8"/>
    <mergeCell ref="D7:D8"/>
    <mergeCell ref="E7:F8"/>
    <mergeCell ref="G7:G8"/>
    <mergeCell ref="H7:I8"/>
    <mergeCell ref="J7:J8"/>
    <mergeCell ref="K7:K8"/>
    <mergeCell ref="L7:L8"/>
    <mergeCell ref="M7:M8"/>
    <mergeCell ref="N7:N8"/>
    <mergeCell ref="AN7:AN8"/>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N40"/>
  <sheetViews>
    <sheetView showGridLines="0" zoomScale="70" zoomScaleNormal="70" workbookViewId="0">
      <pane ySplit="1" topLeftCell="A5" activePane="bottomLeft" state="frozen"/>
      <selection pane="bottomLeft" activeCell="I12" sqref="I12"/>
    </sheetView>
  </sheetViews>
  <sheetFormatPr baseColWidth="10" defaultColWidth="11.42578125" defaultRowHeight="15.75" x14ac:dyDescent="0.25"/>
  <cols>
    <col min="1" max="1" width="13.42578125" style="363" customWidth="1"/>
    <col min="2" max="2" width="20.140625" style="363" customWidth="1"/>
    <col min="3" max="3" width="12.85546875" style="363" customWidth="1"/>
    <col min="4" max="4" width="20" style="363" customWidth="1"/>
    <col min="5" max="5" width="13.5703125" style="363" customWidth="1"/>
    <col min="6" max="6" width="23.140625" style="363" customWidth="1"/>
    <col min="7" max="7" width="15.42578125" style="363" customWidth="1"/>
    <col min="8" max="8" width="28.7109375" style="363" customWidth="1"/>
    <col min="9" max="10" width="23.7109375" style="363" customWidth="1"/>
    <col min="11" max="11" width="26" style="363" customWidth="1"/>
    <col min="12" max="12" width="13" style="363" customWidth="1"/>
    <col min="13" max="13" width="27.28515625" style="363" customWidth="1"/>
    <col min="14" max="14" width="17.5703125" style="363" customWidth="1"/>
    <col min="15" max="15" width="30" style="363" customWidth="1"/>
    <col min="16" max="16" width="28" style="363" customWidth="1"/>
    <col min="17" max="17" width="30.85546875" style="363" customWidth="1"/>
    <col min="18" max="18" width="30.140625" style="363" customWidth="1"/>
    <col min="19" max="19" width="28" style="363" customWidth="1"/>
    <col min="20" max="20" width="18.28515625" style="363" customWidth="1"/>
    <col min="21" max="21" width="22.7109375" style="363" customWidth="1"/>
    <col min="22" max="22" width="16.85546875" style="363" customWidth="1"/>
    <col min="23" max="23" width="11.42578125" style="363"/>
    <col min="24" max="33" width="12" style="363" customWidth="1"/>
    <col min="34" max="36" width="14.5703125" style="363" customWidth="1"/>
    <col min="37" max="37" width="12" style="363" customWidth="1"/>
    <col min="38" max="38" width="23.140625" style="363" customWidth="1"/>
    <col min="39" max="39" width="24.28515625" style="363" customWidth="1"/>
    <col min="40" max="40" width="25.28515625" style="363" customWidth="1"/>
    <col min="41" max="16384" width="11.42578125" style="363"/>
  </cols>
  <sheetData>
    <row r="1" spans="1:40" ht="21" customHeight="1" x14ac:dyDescent="0.25">
      <c r="A1" s="2262" t="s">
        <v>1780</v>
      </c>
      <c r="B1" s="3438"/>
      <c r="C1" s="3438"/>
      <c r="D1" s="3438"/>
      <c r="E1" s="3438"/>
      <c r="F1" s="3438"/>
      <c r="G1" s="3438"/>
      <c r="H1" s="3438"/>
      <c r="I1" s="3438"/>
      <c r="J1" s="3438"/>
      <c r="K1" s="3438"/>
      <c r="L1" s="3438"/>
      <c r="M1" s="3438"/>
      <c r="N1" s="3438"/>
      <c r="O1" s="3438"/>
      <c r="P1" s="3438"/>
      <c r="Q1" s="3438"/>
      <c r="R1" s="3438"/>
      <c r="S1" s="3438"/>
      <c r="T1" s="3438"/>
      <c r="U1" s="3438"/>
      <c r="V1" s="3438"/>
      <c r="W1" s="3438"/>
      <c r="X1" s="3438"/>
      <c r="Y1" s="3438"/>
      <c r="Z1" s="3438"/>
      <c r="AA1" s="3438"/>
      <c r="AB1" s="3438"/>
      <c r="AC1" s="3438"/>
      <c r="AD1" s="3438"/>
      <c r="AE1" s="3438"/>
      <c r="AF1" s="3438"/>
      <c r="AG1" s="3438"/>
      <c r="AH1" s="3438"/>
      <c r="AI1" s="3438"/>
      <c r="AJ1" s="3438"/>
      <c r="AK1" s="3438"/>
      <c r="AL1" s="3438"/>
      <c r="AM1" s="738" t="s">
        <v>0</v>
      </c>
      <c r="AN1" s="739" t="s">
        <v>1</v>
      </c>
    </row>
    <row r="2" spans="1:40" ht="27" customHeight="1" x14ac:dyDescent="0.25">
      <c r="A2" s="3439"/>
      <c r="B2" s="3440"/>
      <c r="C2" s="3440"/>
      <c r="D2" s="3440"/>
      <c r="E2" s="3440"/>
      <c r="F2" s="3440"/>
      <c r="G2" s="3440"/>
      <c r="H2" s="3440"/>
      <c r="I2" s="3440"/>
      <c r="J2" s="3440"/>
      <c r="K2" s="3440"/>
      <c r="L2" s="3440"/>
      <c r="M2" s="3440"/>
      <c r="N2" s="3440"/>
      <c r="O2" s="3440"/>
      <c r="P2" s="3440"/>
      <c r="Q2" s="3440"/>
      <c r="R2" s="3440"/>
      <c r="S2" s="3440"/>
      <c r="T2" s="3440"/>
      <c r="U2" s="3440"/>
      <c r="V2" s="3440"/>
      <c r="W2" s="3440"/>
      <c r="X2" s="3440"/>
      <c r="Y2" s="3440"/>
      <c r="Z2" s="3440"/>
      <c r="AA2" s="3440"/>
      <c r="AB2" s="3440"/>
      <c r="AC2" s="3440"/>
      <c r="AD2" s="3440"/>
      <c r="AE2" s="3440"/>
      <c r="AF2" s="3440"/>
      <c r="AG2" s="3440"/>
      <c r="AH2" s="3440"/>
      <c r="AI2" s="3440"/>
      <c r="AJ2" s="3440"/>
      <c r="AK2" s="3440"/>
      <c r="AL2" s="3440"/>
      <c r="AM2" s="364" t="s">
        <v>2</v>
      </c>
      <c r="AN2" s="740" t="s">
        <v>3</v>
      </c>
    </row>
    <row r="3" spans="1:40" ht="14.25" customHeight="1" x14ac:dyDescent="0.25">
      <c r="A3" s="3439"/>
      <c r="B3" s="3440"/>
      <c r="C3" s="3440"/>
      <c r="D3" s="3440"/>
      <c r="E3" s="3440"/>
      <c r="F3" s="3440"/>
      <c r="G3" s="3440"/>
      <c r="H3" s="3440"/>
      <c r="I3" s="3440"/>
      <c r="J3" s="3440"/>
      <c r="K3" s="3440"/>
      <c r="L3" s="3440"/>
      <c r="M3" s="3440"/>
      <c r="N3" s="3440"/>
      <c r="O3" s="3440"/>
      <c r="P3" s="3440"/>
      <c r="Q3" s="3440"/>
      <c r="R3" s="3440"/>
      <c r="S3" s="3440"/>
      <c r="T3" s="3440"/>
      <c r="U3" s="3440"/>
      <c r="V3" s="3440"/>
      <c r="W3" s="3440"/>
      <c r="X3" s="3440"/>
      <c r="Y3" s="3440"/>
      <c r="Z3" s="3440"/>
      <c r="AA3" s="3440"/>
      <c r="AB3" s="3440"/>
      <c r="AC3" s="3440"/>
      <c r="AD3" s="3440"/>
      <c r="AE3" s="3440"/>
      <c r="AF3" s="3440"/>
      <c r="AG3" s="3440"/>
      <c r="AH3" s="3440"/>
      <c r="AI3" s="3440"/>
      <c r="AJ3" s="3440"/>
      <c r="AK3" s="3440"/>
      <c r="AL3" s="3440"/>
      <c r="AM3" s="362" t="s">
        <v>4</v>
      </c>
      <c r="AN3" s="741" t="s">
        <v>5</v>
      </c>
    </row>
    <row r="4" spans="1:40" ht="14.25" customHeight="1" x14ac:dyDescent="0.25">
      <c r="A4" s="3439"/>
      <c r="B4" s="3440"/>
      <c r="C4" s="3440"/>
      <c r="D4" s="3440"/>
      <c r="E4" s="3440"/>
      <c r="F4" s="3440"/>
      <c r="G4" s="3440"/>
      <c r="H4" s="3440"/>
      <c r="I4" s="3440"/>
      <c r="J4" s="3440"/>
      <c r="K4" s="3440"/>
      <c r="L4" s="3440"/>
      <c r="M4" s="3440"/>
      <c r="N4" s="3440"/>
      <c r="O4" s="3440"/>
      <c r="P4" s="3440"/>
      <c r="Q4" s="3440"/>
      <c r="R4" s="3440"/>
      <c r="S4" s="3440"/>
      <c r="T4" s="3440"/>
      <c r="U4" s="3440"/>
      <c r="V4" s="3440"/>
      <c r="W4" s="3440"/>
      <c r="X4" s="3440"/>
      <c r="Y4" s="3440"/>
      <c r="Z4" s="3440"/>
      <c r="AA4" s="3440"/>
      <c r="AB4" s="3440"/>
      <c r="AC4" s="3440"/>
      <c r="AD4" s="3440"/>
      <c r="AE4" s="3440"/>
      <c r="AF4" s="3440"/>
      <c r="AG4" s="3440"/>
      <c r="AH4" s="3440"/>
      <c r="AI4" s="3440"/>
      <c r="AJ4" s="3440"/>
      <c r="AK4" s="3440"/>
      <c r="AL4" s="3440"/>
      <c r="AM4" s="1461" t="s">
        <v>6</v>
      </c>
      <c r="AN4" s="1462" t="s">
        <v>7</v>
      </c>
    </row>
    <row r="5" spans="1:40" ht="14.25" customHeight="1" x14ac:dyDescent="0.25">
      <c r="A5" s="3441" t="s">
        <v>8</v>
      </c>
      <c r="B5" s="2275"/>
      <c r="C5" s="2275"/>
      <c r="D5" s="2275"/>
      <c r="E5" s="2275"/>
      <c r="F5" s="2275"/>
      <c r="G5" s="2275"/>
      <c r="H5" s="2275"/>
      <c r="I5" s="2275"/>
      <c r="J5" s="2275"/>
      <c r="K5" s="3442" t="s">
        <v>9</v>
      </c>
      <c r="L5" s="3442"/>
      <c r="M5" s="3442"/>
      <c r="N5" s="3442"/>
      <c r="O5" s="3442"/>
      <c r="P5" s="3442"/>
      <c r="Q5" s="3442"/>
      <c r="R5" s="3442"/>
      <c r="S5" s="3442"/>
      <c r="T5" s="3442"/>
      <c r="U5" s="3442"/>
      <c r="V5" s="3442"/>
      <c r="W5" s="3442"/>
      <c r="X5" s="3442"/>
      <c r="Y5" s="3442"/>
      <c r="Z5" s="3442"/>
      <c r="AA5" s="3442"/>
      <c r="AB5" s="3442"/>
      <c r="AC5" s="3442"/>
      <c r="AD5" s="3442"/>
      <c r="AE5" s="3442"/>
      <c r="AF5" s="3442"/>
      <c r="AG5" s="3442"/>
      <c r="AH5" s="3442"/>
      <c r="AI5" s="3442"/>
      <c r="AJ5" s="3442"/>
      <c r="AK5" s="3442"/>
      <c r="AL5" s="3443"/>
      <c r="AM5" s="3443"/>
      <c r="AN5" s="3444"/>
    </row>
    <row r="6" spans="1:40" ht="14.25" customHeight="1" x14ac:dyDescent="0.25">
      <c r="A6" s="3441"/>
      <c r="B6" s="2275"/>
      <c r="C6" s="2275"/>
      <c r="D6" s="2275"/>
      <c r="E6" s="2275"/>
      <c r="F6" s="2275"/>
      <c r="G6" s="2275"/>
      <c r="H6" s="2275"/>
      <c r="I6" s="2275"/>
      <c r="J6" s="2275"/>
      <c r="K6" s="3442"/>
      <c r="L6" s="3442"/>
      <c r="M6" s="3442"/>
      <c r="N6" s="3442"/>
      <c r="O6" s="3442"/>
      <c r="P6" s="3442"/>
      <c r="Q6" s="3442"/>
      <c r="R6" s="3442"/>
      <c r="S6" s="3442"/>
      <c r="T6" s="3442"/>
      <c r="U6" s="3442"/>
      <c r="V6" s="3442" t="s">
        <v>1781</v>
      </c>
      <c r="W6" s="3442"/>
      <c r="X6" s="3442"/>
      <c r="Y6" s="3442"/>
      <c r="Z6" s="3442"/>
      <c r="AA6" s="3442"/>
      <c r="AB6" s="3442"/>
      <c r="AC6" s="3442"/>
      <c r="AD6" s="3442"/>
      <c r="AE6" s="3442"/>
      <c r="AF6" s="3442"/>
      <c r="AG6" s="3442"/>
      <c r="AH6" s="3442"/>
      <c r="AI6" s="3442"/>
      <c r="AJ6" s="3442"/>
      <c r="AK6" s="3442"/>
      <c r="AL6" s="3445" t="s">
        <v>31</v>
      </c>
      <c r="AM6" s="3445" t="s">
        <v>32</v>
      </c>
      <c r="AN6" s="3446" t="s">
        <v>33</v>
      </c>
    </row>
    <row r="7" spans="1:40" ht="27.75" customHeight="1" x14ac:dyDescent="0.25">
      <c r="A7" s="3447" t="s">
        <v>11</v>
      </c>
      <c r="B7" s="3451" t="s">
        <v>1782</v>
      </c>
      <c r="C7" s="3451" t="s">
        <v>11</v>
      </c>
      <c r="D7" s="3451" t="s">
        <v>1783</v>
      </c>
      <c r="E7" s="3451" t="s">
        <v>11</v>
      </c>
      <c r="F7" s="3451" t="s">
        <v>1784</v>
      </c>
      <c r="G7" s="3451" t="s">
        <v>11</v>
      </c>
      <c r="H7" s="3449" t="s">
        <v>1785</v>
      </c>
      <c r="I7" s="3449" t="s">
        <v>16</v>
      </c>
      <c r="J7" s="3453" t="s">
        <v>17</v>
      </c>
      <c r="K7" s="3449" t="s">
        <v>18</v>
      </c>
      <c r="L7" s="3449" t="s">
        <v>1786</v>
      </c>
      <c r="M7" s="3449" t="s">
        <v>9</v>
      </c>
      <c r="N7" s="3449" t="s">
        <v>20</v>
      </c>
      <c r="O7" s="3449" t="s">
        <v>1787</v>
      </c>
      <c r="P7" s="3449" t="s">
        <v>22</v>
      </c>
      <c r="Q7" s="3449" t="s">
        <v>23</v>
      </c>
      <c r="R7" s="3449" t="s">
        <v>24</v>
      </c>
      <c r="S7" s="3455" t="s">
        <v>21</v>
      </c>
      <c r="T7" s="3449" t="s">
        <v>11</v>
      </c>
      <c r="U7" s="3449" t="s">
        <v>25</v>
      </c>
      <c r="V7" s="2122" t="s">
        <v>26</v>
      </c>
      <c r="W7" s="2122"/>
      <c r="X7" s="2109" t="s">
        <v>27</v>
      </c>
      <c r="Y7" s="2109"/>
      <c r="Z7" s="2109"/>
      <c r="AA7" s="2109"/>
      <c r="AB7" s="2106" t="s">
        <v>28</v>
      </c>
      <c r="AC7" s="2107"/>
      <c r="AD7" s="2107"/>
      <c r="AE7" s="2107"/>
      <c r="AF7" s="2107"/>
      <c r="AG7" s="2108"/>
      <c r="AH7" s="2109" t="s">
        <v>29</v>
      </c>
      <c r="AI7" s="2109"/>
      <c r="AJ7" s="2109"/>
      <c r="AK7" s="2884" t="s">
        <v>30</v>
      </c>
      <c r="AL7" s="3445"/>
      <c r="AM7" s="3445"/>
      <c r="AN7" s="3446"/>
    </row>
    <row r="8" spans="1:40" ht="129" customHeight="1" x14ac:dyDescent="0.25">
      <c r="A8" s="3448"/>
      <c r="B8" s="3452"/>
      <c r="C8" s="3452"/>
      <c r="D8" s="3452"/>
      <c r="E8" s="3452"/>
      <c r="F8" s="3452"/>
      <c r="G8" s="3452"/>
      <c r="H8" s="3450"/>
      <c r="I8" s="3450"/>
      <c r="J8" s="3454"/>
      <c r="K8" s="3450"/>
      <c r="L8" s="3450"/>
      <c r="M8" s="3450"/>
      <c r="N8" s="3450"/>
      <c r="O8" s="3450"/>
      <c r="P8" s="3450"/>
      <c r="Q8" s="3450"/>
      <c r="R8" s="3450"/>
      <c r="S8" s="3456"/>
      <c r="T8" s="3450"/>
      <c r="U8" s="3450"/>
      <c r="V8" s="1170" t="s">
        <v>34</v>
      </c>
      <c r="W8" s="1171" t="s">
        <v>35</v>
      </c>
      <c r="X8" s="655" t="s">
        <v>36</v>
      </c>
      <c r="Y8" s="655" t="s">
        <v>37</v>
      </c>
      <c r="Z8" s="655" t="s">
        <v>257</v>
      </c>
      <c r="AA8" s="655" t="s">
        <v>39</v>
      </c>
      <c r="AB8" s="655" t="s">
        <v>40</v>
      </c>
      <c r="AC8" s="655" t="s">
        <v>41</v>
      </c>
      <c r="AD8" s="655" t="s">
        <v>42</v>
      </c>
      <c r="AE8" s="655" t="s">
        <v>43</v>
      </c>
      <c r="AF8" s="655" t="s">
        <v>44</v>
      </c>
      <c r="AG8" s="655" t="s">
        <v>45</v>
      </c>
      <c r="AH8" s="655" t="s">
        <v>46</v>
      </c>
      <c r="AI8" s="655" t="s">
        <v>47</v>
      </c>
      <c r="AJ8" s="655" t="s">
        <v>48</v>
      </c>
      <c r="AK8" s="2885"/>
      <c r="AL8" s="3445"/>
      <c r="AM8" s="3445"/>
      <c r="AN8" s="3446"/>
    </row>
    <row r="9" spans="1:40" ht="18" customHeight="1" x14ac:dyDescent="0.25">
      <c r="A9" s="1463">
        <v>2</v>
      </c>
      <c r="B9" s="3459" t="s">
        <v>1060</v>
      </c>
      <c r="C9" s="3460"/>
      <c r="D9" s="3460"/>
      <c r="E9" s="1464"/>
      <c r="F9" s="1464"/>
      <c r="G9" s="1464"/>
      <c r="H9" s="1464"/>
      <c r="I9" s="1464"/>
      <c r="J9" s="1464"/>
      <c r="K9" s="1464"/>
      <c r="L9" s="1464"/>
      <c r="M9" s="1464"/>
      <c r="N9" s="1464"/>
      <c r="O9" s="1464"/>
      <c r="P9" s="1464"/>
      <c r="Q9" s="1464"/>
      <c r="R9" s="1464"/>
      <c r="S9" s="1464"/>
      <c r="T9" s="1464"/>
      <c r="U9" s="1464"/>
      <c r="V9" s="1464"/>
      <c r="W9" s="1464"/>
      <c r="X9" s="1464"/>
      <c r="Y9" s="1464"/>
      <c r="Z9" s="1464"/>
      <c r="AA9" s="1464"/>
      <c r="AB9" s="1464"/>
      <c r="AC9" s="1464"/>
      <c r="AD9" s="1464"/>
      <c r="AE9" s="1464"/>
      <c r="AF9" s="1464"/>
      <c r="AG9" s="1464"/>
      <c r="AH9" s="1464"/>
      <c r="AI9" s="1464"/>
      <c r="AJ9" s="1464"/>
      <c r="AK9" s="1464"/>
      <c r="AL9" s="1465"/>
      <c r="AM9" s="1465"/>
      <c r="AN9" s="1466"/>
    </row>
    <row r="10" spans="1:40" ht="18" customHeight="1" x14ac:dyDescent="0.25">
      <c r="A10" s="1467"/>
      <c r="B10" s="1468"/>
      <c r="C10" s="1469">
        <v>4</v>
      </c>
      <c r="D10" s="3461" t="s">
        <v>1788</v>
      </c>
      <c r="E10" s="3462"/>
      <c r="F10" s="3462"/>
      <c r="G10" s="3462"/>
      <c r="H10" s="3462"/>
      <c r="I10" s="3462"/>
      <c r="J10" s="3462"/>
      <c r="K10" s="3462"/>
      <c r="L10" s="3462"/>
      <c r="M10" s="3462"/>
      <c r="N10" s="3462"/>
      <c r="O10" s="3462"/>
      <c r="P10" s="3462"/>
      <c r="Q10" s="3462"/>
      <c r="R10" s="3462"/>
      <c r="S10" s="3462"/>
      <c r="T10" s="3462"/>
      <c r="U10" s="3462"/>
      <c r="V10" s="3462"/>
      <c r="W10" s="3462"/>
      <c r="X10" s="3462"/>
      <c r="Y10" s="3462"/>
      <c r="Z10" s="3462"/>
      <c r="AA10" s="3462"/>
      <c r="AB10" s="3462"/>
      <c r="AC10" s="3462"/>
      <c r="AD10" s="3462"/>
      <c r="AE10" s="3462"/>
      <c r="AF10" s="3462"/>
      <c r="AG10" s="3462"/>
      <c r="AH10" s="3462"/>
      <c r="AI10" s="3462"/>
      <c r="AJ10" s="3462"/>
      <c r="AK10" s="3462"/>
      <c r="AL10" s="3462"/>
      <c r="AM10" s="3462"/>
      <c r="AN10" s="3463"/>
    </row>
    <row r="11" spans="1:40" ht="18" customHeight="1" x14ac:dyDescent="0.25">
      <c r="A11" s="1470"/>
      <c r="B11" s="1471"/>
      <c r="C11" s="1468"/>
      <c r="D11" s="1472"/>
      <c r="E11" s="1473">
        <v>14</v>
      </c>
      <c r="F11" s="3464" t="s">
        <v>1789</v>
      </c>
      <c r="G11" s="3464"/>
      <c r="H11" s="3464"/>
      <c r="I11" s="3464"/>
      <c r="J11" s="3464"/>
      <c r="K11" s="3464"/>
      <c r="L11" s="3464"/>
      <c r="M11" s="3464"/>
      <c r="N11" s="3464"/>
      <c r="O11" s="3464"/>
      <c r="P11" s="3464"/>
      <c r="Q11" s="3464"/>
      <c r="R11" s="3464"/>
      <c r="S11" s="3464"/>
      <c r="T11" s="3464"/>
      <c r="U11" s="3464"/>
      <c r="V11" s="3464"/>
      <c r="W11" s="3464"/>
      <c r="X11" s="3464"/>
      <c r="Y11" s="3464"/>
      <c r="Z11" s="3464"/>
      <c r="AA11" s="3464"/>
      <c r="AB11" s="3464"/>
      <c r="AC11" s="3464"/>
      <c r="AD11" s="3464"/>
      <c r="AE11" s="3464"/>
      <c r="AF11" s="3464"/>
      <c r="AG11" s="3464"/>
      <c r="AH11" s="3464"/>
      <c r="AI11" s="3464"/>
      <c r="AJ11" s="3464"/>
      <c r="AK11" s="3464"/>
      <c r="AL11" s="3464"/>
      <c r="AM11" s="3464"/>
      <c r="AN11" s="3465"/>
    </row>
    <row r="12" spans="1:40" ht="160.5" customHeight="1" x14ac:dyDescent="0.25">
      <c r="A12" s="1474"/>
      <c r="B12" s="283"/>
      <c r="C12" s="1475"/>
      <c r="D12" s="283"/>
      <c r="E12" s="1476"/>
      <c r="F12" s="282"/>
      <c r="G12" s="1477">
        <v>54</v>
      </c>
      <c r="H12" s="1176" t="s">
        <v>172</v>
      </c>
      <c r="I12" s="1175" t="s">
        <v>173</v>
      </c>
      <c r="J12" s="1175">
        <v>130</v>
      </c>
      <c r="K12" s="1175" t="s">
        <v>1790</v>
      </c>
      <c r="L12" s="1175" t="s">
        <v>1791</v>
      </c>
      <c r="M12" s="1176" t="s">
        <v>1792</v>
      </c>
      <c r="N12" s="1174">
        <f>+O12/$O$19</f>
        <v>9.7258826121759956E-2</v>
      </c>
      <c r="O12" s="287">
        <f>+S12</f>
        <v>240000000</v>
      </c>
      <c r="P12" s="1176" t="s">
        <v>1793</v>
      </c>
      <c r="Q12" s="1176" t="s">
        <v>1794</v>
      </c>
      <c r="R12" s="1176" t="s">
        <v>1795</v>
      </c>
      <c r="S12" s="287">
        <v>240000000</v>
      </c>
      <c r="T12" s="1478"/>
      <c r="U12" s="1478" t="s">
        <v>1796</v>
      </c>
      <c r="V12" s="1479">
        <v>1382.4</v>
      </c>
      <c r="W12" s="1479">
        <v>1317.6</v>
      </c>
      <c r="X12" s="1479">
        <v>459</v>
      </c>
      <c r="Y12" s="1479">
        <v>248</v>
      </c>
      <c r="Z12" s="1479">
        <v>1615</v>
      </c>
      <c r="AA12" s="1479">
        <v>378</v>
      </c>
      <c r="AB12" s="1479"/>
      <c r="AC12" s="1479"/>
      <c r="AD12" s="1479"/>
      <c r="AE12" s="1479"/>
      <c r="AF12" s="1479"/>
      <c r="AG12" s="1479"/>
      <c r="AH12" s="1479"/>
      <c r="AI12" s="1479"/>
      <c r="AJ12" s="1479"/>
      <c r="AK12" s="1479">
        <f>+X12+Y12+Z12+AA12</f>
        <v>2700</v>
      </c>
      <c r="AL12" s="1480">
        <v>43101</v>
      </c>
      <c r="AM12" s="1480">
        <v>43464</v>
      </c>
      <c r="AN12" s="1481" t="s">
        <v>1797</v>
      </c>
    </row>
    <row r="13" spans="1:40" ht="18" customHeight="1" x14ac:dyDescent="0.25">
      <c r="A13" s="1470"/>
      <c r="B13" s="1471"/>
      <c r="C13" s="1471"/>
      <c r="D13" s="1482"/>
      <c r="E13" s="1473">
        <v>15</v>
      </c>
      <c r="F13" s="3464" t="s">
        <v>1798</v>
      </c>
      <c r="G13" s="3464"/>
      <c r="H13" s="3464"/>
      <c r="I13" s="3464"/>
      <c r="J13" s="3464"/>
      <c r="K13" s="1483"/>
      <c r="L13" s="1483"/>
      <c r="M13" s="1483"/>
      <c r="N13" s="1483"/>
      <c r="O13" s="1484"/>
      <c r="P13" s="1483"/>
      <c r="Q13" s="1483"/>
      <c r="R13" s="1483"/>
      <c r="S13" s="1484"/>
      <c r="T13" s="1483"/>
      <c r="U13" s="1483"/>
      <c r="V13" s="1483"/>
      <c r="W13" s="1483"/>
      <c r="X13" s="1483"/>
      <c r="Y13" s="1483"/>
      <c r="Z13" s="1483"/>
      <c r="AA13" s="1483"/>
      <c r="AB13" s="1483"/>
      <c r="AC13" s="1483"/>
      <c r="AD13" s="1483"/>
      <c r="AE13" s="1483"/>
      <c r="AF13" s="1483"/>
      <c r="AG13" s="1483"/>
      <c r="AH13" s="1483"/>
      <c r="AI13" s="1483"/>
      <c r="AJ13" s="1483"/>
      <c r="AK13" s="1483"/>
      <c r="AL13" s="1485"/>
      <c r="AM13" s="1485"/>
      <c r="AN13" s="1486"/>
    </row>
    <row r="14" spans="1:40" ht="116.25" customHeight="1" x14ac:dyDescent="0.25">
      <c r="A14" s="1487"/>
      <c r="B14" s="283"/>
      <c r="C14" s="1475"/>
      <c r="D14" s="283"/>
      <c r="E14" s="3466"/>
      <c r="F14" s="2314"/>
      <c r="G14" s="1182">
        <v>59</v>
      </c>
      <c r="H14" s="1179" t="s">
        <v>212</v>
      </c>
      <c r="I14" s="1182" t="s">
        <v>213</v>
      </c>
      <c r="J14" s="1182">
        <v>12</v>
      </c>
      <c r="K14" s="1182" t="s">
        <v>1790</v>
      </c>
      <c r="L14" s="2334" t="s">
        <v>1791</v>
      </c>
      <c r="M14" s="2308" t="s">
        <v>1792</v>
      </c>
      <c r="N14" s="1177">
        <f>+O14/O19</f>
        <v>0.22288480986236658</v>
      </c>
      <c r="O14" s="1184">
        <f>+S14</f>
        <v>550000000</v>
      </c>
      <c r="P14" s="2308" t="s">
        <v>1793</v>
      </c>
      <c r="Q14" s="2308" t="s">
        <v>1799</v>
      </c>
      <c r="R14" s="1179" t="s">
        <v>1800</v>
      </c>
      <c r="S14" s="1121">
        <v>550000000</v>
      </c>
      <c r="T14" s="1488" t="s">
        <v>114</v>
      </c>
      <c r="U14" s="1489" t="s">
        <v>1801</v>
      </c>
      <c r="V14" s="3457">
        <f>+[1]Hoja1!$E$12</f>
        <v>284400.12800000003</v>
      </c>
      <c r="W14" s="3457">
        <f>+[1]Hoja1!$D$12</f>
        <v>271068.87199999997</v>
      </c>
      <c r="X14" s="3457">
        <f>+X12</f>
        <v>459</v>
      </c>
      <c r="Y14" s="3457">
        <f>+Y12</f>
        <v>248</v>
      </c>
      <c r="Z14" s="3457">
        <f>+Z12</f>
        <v>1615</v>
      </c>
      <c r="AA14" s="3457">
        <f>+AA12</f>
        <v>378</v>
      </c>
      <c r="AB14" s="3470"/>
      <c r="AC14" s="3470"/>
      <c r="AD14" s="3470"/>
      <c r="AE14" s="3470"/>
      <c r="AF14" s="3470"/>
      <c r="AG14" s="3470"/>
      <c r="AH14" s="3470"/>
      <c r="AI14" s="3470"/>
      <c r="AJ14" s="3470"/>
      <c r="AK14" s="3470">
        <f>+X14+Y14+Z14+AA14</f>
        <v>2700</v>
      </c>
      <c r="AL14" s="3468">
        <v>43101</v>
      </c>
      <c r="AM14" s="3468">
        <v>43464</v>
      </c>
      <c r="AN14" s="3475" t="s">
        <v>1802</v>
      </c>
    </row>
    <row r="15" spans="1:40" ht="116.25" customHeight="1" x14ac:dyDescent="0.25">
      <c r="A15" s="1487"/>
      <c r="B15" s="283"/>
      <c r="C15" s="1475"/>
      <c r="D15" s="283"/>
      <c r="E15" s="3467"/>
      <c r="F15" s="2307"/>
      <c r="G15" s="1182">
        <v>57</v>
      </c>
      <c r="H15" s="1179" t="s">
        <v>202</v>
      </c>
      <c r="I15" s="1182" t="s">
        <v>203</v>
      </c>
      <c r="J15" s="1182">
        <v>12</v>
      </c>
      <c r="K15" s="1182" t="s">
        <v>1790</v>
      </c>
      <c r="L15" s="2334"/>
      <c r="M15" s="2309"/>
      <c r="N15" s="1177">
        <f>+O15/O19</f>
        <v>0.22288480986236658</v>
      </c>
      <c r="O15" s="1184">
        <f>+S15</f>
        <v>550000000</v>
      </c>
      <c r="P15" s="2309"/>
      <c r="Q15" s="2309"/>
      <c r="R15" s="1179" t="s">
        <v>1803</v>
      </c>
      <c r="S15" s="1121">
        <v>550000000</v>
      </c>
      <c r="T15" s="1488" t="s">
        <v>114</v>
      </c>
      <c r="U15" s="1489" t="s">
        <v>1801</v>
      </c>
      <c r="V15" s="3458"/>
      <c r="W15" s="3458"/>
      <c r="X15" s="3458"/>
      <c r="Y15" s="3458"/>
      <c r="Z15" s="3458"/>
      <c r="AA15" s="3458"/>
      <c r="AB15" s="3471"/>
      <c r="AC15" s="3471"/>
      <c r="AD15" s="3471"/>
      <c r="AE15" s="3471"/>
      <c r="AF15" s="3471"/>
      <c r="AG15" s="3471"/>
      <c r="AH15" s="3471"/>
      <c r="AI15" s="3471"/>
      <c r="AJ15" s="3471"/>
      <c r="AK15" s="3471"/>
      <c r="AL15" s="3469"/>
      <c r="AM15" s="3469"/>
      <c r="AN15" s="3476"/>
    </row>
    <row r="16" spans="1:40" ht="116.25" customHeight="1" x14ac:dyDescent="0.25">
      <c r="A16" s="1487"/>
      <c r="B16" s="1183"/>
      <c r="C16" s="1186"/>
      <c r="D16" s="1180"/>
      <c r="E16" s="3467"/>
      <c r="F16" s="2307"/>
      <c r="G16" s="1182">
        <v>60</v>
      </c>
      <c r="H16" s="1179" t="s">
        <v>1804</v>
      </c>
      <c r="I16" s="1182" t="s">
        <v>1805</v>
      </c>
      <c r="J16" s="1182">
        <v>12</v>
      </c>
      <c r="K16" s="1182" t="s">
        <v>1790</v>
      </c>
      <c r="L16" s="2334"/>
      <c r="M16" s="2309"/>
      <c r="N16" s="1490">
        <f>+O16/O19</f>
        <v>0.17735242905344703</v>
      </c>
      <c r="O16" s="1184">
        <f>+S16</f>
        <v>437642368</v>
      </c>
      <c r="P16" s="2309"/>
      <c r="Q16" s="2309"/>
      <c r="R16" s="1179" t="s">
        <v>1806</v>
      </c>
      <c r="S16" s="1181">
        <f>388000000+49642368</f>
        <v>437642368</v>
      </c>
      <c r="T16" s="1491" t="s">
        <v>1807</v>
      </c>
      <c r="U16" s="1492" t="s">
        <v>1796</v>
      </c>
      <c r="V16" s="3458"/>
      <c r="W16" s="3458"/>
      <c r="X16" s="3458"/>
      <c r="Y16" s="3458"/>
      <c r="Z16" s="3458"/>
      <c r="AA16" s="3458"/>
      <c r="AB16" s="3471"/>
      <c r="AC16" s="3471"/>
      <c r="AD16" s="3471"/>
      <c r="AE16" s="3471"/>
      <c r="AF16" s="3471"/>
      <c r="AG16" s="3471"/>
      <c r="AH16" s="3471"/>
      <c r="AI16" s="3471"/>
      <c r="AJ16" s="3471"/>
      <c r="AK16" s="3471"/>
      <c r="AL16" s="3469"/>
      <c r="AM16" s="3469"/>
      <c r="AN16" s="3476"/>
    </row>
    <row r="17" spans="1:40" ht="59.25" customHeight="1" x14ac:dyDescent="0.25">
      <c r="A17" s="1487"/>
      <c r="B17" s="1183"/>
      <c r="C17" s="1186"/>
      <c r="D17" s="1180"/>
      <c r="E17" s="3467"/>
      <c r="F17" s="2307"/>
      <c r="G17" s="2314">
        <v>63</v>
      </c>
      <c r="H17" s="2308" t="s">
        <v>227</v>
      </c>
      <c r="I17" s="2314" t="s">
        <v>228</v>
      </c>
      <c r="J17" s="2314">
        <v>250</v>
      </c>
      <c r="K17" s="2314" t="s">
        <v>1790</v>
      </c>
      <c r="L17" s="2334"/>
      <c r="M17" s="2309"/>
      <c r="N17" s="3477">
        <f>+O17/O19</f>
        <v>0.27961912510005987</v>
      </c>
      <c r="O17" s="2353">
        <f>+S17+S18</f>
        <v>690000000</v>
      </c>
      <c r="P17" s="2309"/>
      <c r="Q17" s="2309"/>
      <c r="R17" s="2308" t="s">
        <v>1808</v>
      </c>
      <c r="S17" s="1121">
        <v>550000000</v>
      </c>
      <c r="T17" s="1488"/>
      <c r="U17" s="1489" t="s">
        <v>1801</v>
      </c>
      <c r="V17" s="3458"/>
      <c r="W17" s="3458"/>
      <c r="X17" s="3458"/>
      <c r="Y17" s="3458"/>
      <c r="Z17" s="3458"/>
      <c r="AA17" s="3458"/>
      <c r="AB17" s="3471"/>
      <c r="AC17" s="3471"/>
      <c r="AD17" s="3471"/>
      <c r="AE17" s="3471"/>
      <c r="AF17" s="3471"/>
      <c r="AG17" s="3471"/>
      <c r="AH17" s="3471"/>
      <c r="AI17" s="3471"/>
      <c r="AJ17" s="3471"/>
      <c r="AK17" s="3471"/>
      <c r="AL17" s="3469"/>
      <c r="AM17" s="3469"/>
      <c r="AN17" s="3476"/>
    </row>
    <row r="18" spans="1:40" ht="59.25" customHeight="1" thickBot="1" x14ac:dyDescent="0.3">
      <c r="A18" s="1487"/>
      <c r="B18" s="1183"/>
      <c r="C18" s="1186"/>
      <c r="D18" s="1180"/>
      <c r="E18" s="3467"/>
      <c r="F18" s="2307"/>
      <c r="G18" s="2307"/>
      <c r="H18" s="2309"/>
      <c r="I18" s="2307"/>
      <c r="J18" s="2307"/>
      <c r="K18" s="2307"/>
      <c r="L18" s="2314"/>
      <c r="M18" s="2309"/>
      <c r="N18" s="3478"/>
      <c r="O18" s="2350"/>
      <c r="P18" s="2309"/>
      <c r="Q18" s="2309"/>
      <c r="R18" s="2309"/>
      <c r="S18" s="1184">
        <v>140000000</v>
      </c>
      <c r="T18" s="1491"/>
      <c r="U18" s="1492" t="s">
        <v>1796</v>
      </c>
      <c r="V18" s="3458"/>
      <c r="W18" s="3458"/>
      <c r="X18" s="3458"/>
      <c r="Y18" s="3458"/>
      <c r="Z18" s="3458"/>
      <c r="AA18" s="3458"/>
      <c r="AB18" s="3471"/>
      <c r="AC18" s="3471"/>
      <c r="AD18" s="3471"/>
      <c r="AE18" s="3471"/>
      <c r="AF18" s="3471"/>
      <c r="AG18" s="3471"/>
      <c r="AH18" s="3471"/>
      <c r="AI18" s="3471"/>
      <c r="AJ18" s="3471"/>
      <c r="AK18" s="3471"/>
      <c r="AL18" s="3469"/>
      <c r="AM18" s="3469"/>
      <c r="AN18" s="3476"/>
    </row>
    <row r="19" spans="1:40" s="423" customFormat="1" ht="26.25" customHeight="1" thickBot="1" x14ac:dyDescent="0.3">
      <c r="A19" s="3472"/>
      <c r="B19" s="3473"/>
      <c r="C19" s="3473"/>
      <c r="D19" s="3473"/>
      <c r="E19" s="3473"/>
      <c r="F19" s="3473"/>
      <c r="G19" s="3473"/>
      <c r="H19" s="3473"/>
      <c r="I19" s="3473"/>
      <c r="J19" s="3473"/>
      <c r="K19" s="3473"/>
      <c r="L19" s="3473"/>
      <c r="M19" s="3473"/>
      <c r="N19" s="3474"/>
      <c r="O19" s="1493">
        <f>SUM(O12:O18)</f>
        <v>2467642368</v>
      </c>
      <c r="P19" s="1494"/>
      <c r="Q19" s="1495"/>
      <c r="R19" s="1496"/>
      <c r="S19" s="1497">
        <f>+S18+S17+S16+S15+S14+S12</f>
        <v>2467642368</v>
      </c>
      <c r="T19" s="1498"/>
      <c r="U19" s="1499"/>
      <c r="V19" s="327"/>
      <c r="W19" s="327"/>
      <c r="X19" s="327"/>
      <c r="Y19" s="327"/>
      <c r="Z19" s="327"/>
      <c r="AA19" s="327"/>
      <c r="AB19" s="327"/>
      <c r="AC19" s="327"/>
      <c r="AD19" s="327"/>
      <c r="AE19" s="327"/>
      <c r="AF19" s="327"/>
      <c r="AG19" s="327"/>
      <c r="AH19" s="327"/>
      <c r="AI19" s="327"/>
      <c r="AJ19" s="327"/>
      <c r="AK19" s="327"/>
      <c r="AL19" s="1500"/>
      <c r="AM19" s="1501"/>
      <c r="AN19" s="1502"/>
    </row>
    <row r="20" spans="1:40" ht="14.25" customHeight="1" x14ac:dyDescent="0.25">
      <c r="A20" s="1503"/>
      <c r="B20" s="1503"/>
      <c r="C20" s="1503"/>
      <c r="D20" s="1503"/>
      <c r="E20" s="1504"/>
      <c r="F20" s="1503"/>
      <c r="G20" s="1504"/>
      <c r="H20" s="1503"/>
      <c r="I20" s="1503"/>
      <c r="J20" s="1503"/>
      <c r="K20" s="1503"/>
      <c r="L20" s="1503"/>
      <c r="M20" s="1505"/>
      <c r="N20" s="1506"/>
      <c r="O20" s="1503"/>
      <c r="P20" s="1503"/>
      <c r="Q20" s="1503"/>
      <c r="R20" s="1507"/>
      <c r="S20" s="1507"/>
      <c r="T20" s="1507"/>
      <c r="U20" s="1507"/>
      <c r="V20" s="1503"/>
      <c r="W20" s="1503"/>
      <c r="X20" s="1503"/>
      <c r="Y20" s="1503"/>
      <c r="Z20" s="1503"/>
      <c r="AA20" s="1503"/>
      <c r="AB20" s="1503"/>
      <c r="AC20" s="1503"/>
      <c r="AD20" s="1503"/>
      <c r="AE20" s="1503"/>
      <c r="AF20" s="1503"/>
      <c r="AG20" s="1503"/>
      <c r="AH20" s="1503"/>
      <c r="AI20" s="1503"/>
      <c r="AJ20" s="1503"/>
      <c r="AK20" s="1503"/>
      <c r="AL20" s="1508"/>
      <c r="AM20" s="1509"/>
      <c r="AN20" s="1503"/>
    </row>
    <row r="21" spans="1:40" ht="14.25" customHeight="1" x14ac:dyDescent="0.25">
      <c r="A21" s="1503"/>
      <c r="B21" s="1503"/>
      <c r="C21" s="1503"/>
      <c r="D21" s="1503"/>
      <c r="E21" s="1504"/>
      <c r="F21" s="1503"/>
      <c r="G21" s="1504"/>
      <c r="H21" s="1503"/>
      <c r="I21" s="1503"/>
      <c r="J21" s="1503"/>
      <c r="K21" s="1503"/>
      <c r="L21" s="1503"/>
      <c r="M21" s="1505"/>
      <c r="N21" s="1506"/>
      <c r="O21" s="1503"/>
      <c r="P21" s="1503"/>
      <c r="Q21" s="1503"/>
      <c r="R21" s="1507"/>
      <c r="S21" s="1507"/>
      <c r="T21" s="1507"/>
      <c r="U21" s="1507"/>
      <c r="V21" s="1503"/>
      <c r="W21" s="1503"/>
      <c r="X21" s="1503"/>
      <c r="Y21" s="1503"/>
      <c r="Z21" s="1503"/>
      <c r="AA21" s="1503"/>
      <c r="AB21" s="1503"/>
      <c r="AC21" s="1503"/>
      <c r="AD21" s="1503"/>
      <c r="AE21" s="1503"/>
      <c r="AF21" s="1503"/>
      <c r="AG21" s="1503"/>
      <c r="AH21" s="1503"/>
      <c r="AI21" s="1503"/>
      <c r="AJ21" s="1503"/>
      <c r="AK21" s="1503"/>
      <c r="AL21" s="1508"/>
      <c r="AM21" s="1509"/>
      <c r="AN21" s="1503"/>
    </row>
    <row r="22" spans="1:40" ht="14.25" customHeight="1" x14ac:dyDescent="0.25">
      <c r="A22" s="1503"/>
      <c r="B22" s="1503"/>
      <c r="C22" s="1503"/>
      <c r="D22" s="1503"/>
      <c r="E22" s="1504"/>
      <c r="F22" s="1503"/>
      <c r="G22" s="1504"/>
      <c r="H22" s="1503"/>
      <c r="I22" s="1503"/>
      <c r="J22" s="1503"/>
      <c r="K22" s="1503"/>
      <c r="L22" s="1503"/>
      <c r="M22" s="1505"/>
      <c r="N22" s="1506"/>
      <c r="O22" s="1503"/>
      <c r="P22" s="1503"/>
      <c r="Q22" s="1503"/>
      <c r="R22" s="1507"/>
      <c r="S22" s="1507"/>
      <c r="T22" s="1507"/>
      <c r="U22" s="1507"/>
      <c r="V22" s="1503"/>
      <c r="W22" s="1503"/>
      <c r="X22" s="1503"/>
      <c r="Y22" s="1503"/>
      <c r="Z22" s="1503"/>
      <c r="AA22" s="1503"/>
      <c r="AB22" s="1503"/>
      <c r="AC22" s="1503"/>
      <c r="AD22" s="1503"/>
      <c r="AE22" s="1503"/>
      <c r="AF22" s="1503"/>
      <c r="AG22" s="1503"/>
      <c r="AH22" s="1503"/>
      <c r="AI22" s="1503"/>
      <c r="AJ22" s="1503"/>
      <c r="AK22" s="1503"/>
      <c r="AL22" s="1508"/>
      <c r="AM22" s="1509"/>
      <c r="AN22" s="1503"/>
    </row>
    <row r="23" spans="1:40" ht="14.25" customHeight="1" x14ac:dyDescent="0.25">
      <c r="A23" s="1503"/>
      <c r="B23" s="1503"/>
      <c r="C23" s="1503"/>
      <c r="D23" s="1503"/>
      <c r="E23" s="1504"/>
      <c r="F23" s="1503"/>
      <c r="G23" s="1504"/>
      <c r="H23" s="1503"/>
      <c r="I23" s="1503"/>
      <c r="J23" s="1503"/>
      <c r="K23" s="1503"/>
      <c r="L23" s="1503"/>
      <c r="M23" s="1505"/>
      <c r="N23" s="1506"/>
      <c r="O23" s="1503"/>
      <c r="P23" s="1503"/>
      <c r="Q23" s="1503"/>
      <c r="R23" s="1507"/>
      <c r="S23" s="1507"/>
      <c r="T23" s="1507"/>
      <c r="U23" s="1507"/>
      <c r="V23" s="1503"/>
      <c r="W23" s="1503"/>
      <c r="X23" s="1503"/>
      <c r="Y23" s="1503"/>
      <c r="Z23" s="1503"/>
      <c r="AA23" s="1503"/>
      <c r="AB23" s="1503"/>
      <c r="AC23" s="1503"/>
      <c r="AD23" s="1503"/>
      <c r="AE23" s="1503"/>
      <c r="AF23" s="1503"/>
      <c r="AG23" s="1503"/>
      <c r="AH23" s="1503"/>
      <c r="AI23" s="1503"/>
      <c r="AJ23" s="1503"/>
      <c r="AK23" s="1503"/>
      <c r="AL23" s="1508"/>
      <c r="AM23" s="1509"/>
      <c r="AN23" s="1503"/>
    </row>
    <row r="24" spans="1:40" ht="14.25" customHeight="1" x14ac:dyDescent="0.25">
      <c r="A24" s="1510"/>
      <c r="B24" s="1510"/>
      <c r="C24" s="1510"/>
      <c r="D24" s="1510"/>
      <c r="E24" s="1511"/>
      <c r="F24" s="1510"/>
      <c r="G24" s="1511"/>
      <c r="H24" s="1510"/>
      <c r="I24" s="1510"/>
      <c r="J24" s="1510"/>
      <c r="K24" s="1510"/>
      <c r="L24" s="1512"/>
      <c r="M24" s="1513"/>
      <c r="N24" s="1510"/>
      <c r="O24" s="1510"/>
      <c r="P24" s="1510"/>
      <c r="Q24" s="1514"/>
      <c r="R24" s="1514"/>
      <c r="S24" s="1514"/>
      <c r="T24" s="1510"/>
      <c r="U24" s="1510"/>
      <c r="V24" s="1510"/>
      <c r="W24" s="1510"/>
      <c r="X24" s="1510"/>
      <c r="Y24" s="1510"/>
      <c r="Z24" s="1510"/>
      <c r="AA24" s="1510"/>
      <c r="AB24" s="1510"/>
      <c r="AC24" s="1510"/>
      <c r="AD24" s="1510"/>
      <c r="AE24" s="1510"/>
      <c r="AF24" s="1515"/>
      <c r="AG24" s="1516"/>
      <c r="AH24" s="1517"/>
      <c r="AI24" s="1510"/>
      <c r="AJ24" s="1510"/>
      <c r="AK24" s="1510"/>
      <c r="AL24" s="1510"/>
      <c r="AM24" s="1510"/>
      <c r="AN24" s="1510"/>
    </row>
    <row r="25" spans="1:40" ht="18.75" customHeight="1" x14ac:dyDescent="0.25">
      <c r="A25" s="1518" t="s">
        <v>1809</v>
      </c>
      <c r="B25" s="1510"/>
      <c r="C25" s="1510"/>
      <c r="D25" s="1510"/>
      <c r="E25" s="1511"/>
      <c r="F25" s="1510"/>
      <c r="G25" s="1511"/>
      <c r="H25" s="1510"/>
      <c r="I25" s="1510"/>
      <c r="J25" s="1510"/>
      <c r="K25" s="1510"/>
      <c r="L25" s="1512"/>
      <c r="M25" s="1513"/>
      <c r="N25" s="1510"/>
      <c r="O25" s="1510"/>
      <c r="P25" s="1510"/>
      <c r="Q25" s="1514"/>
      <c r="R25" s="1514"/>
      <c r="S25" s="1514"/>
      <c r="T25" s="1510"/>
      <c r="U25" s="1510"/>
      <c r="V25" s="1510"/>
      <c r="W25" s="1510"/>
      <c r="X25" s="1510"/>
      <c r="Y25" s="1510"/>
      <c r="Z25" s="1510"/>
      <c r="AA25" s="1510"/>
      <c r="AB25" s="1510"/>
      <c r="AC25" s="1510"/>
      <c r="AD25" s="1510"/>
      <c r="AE25" s="1510"/>
      <c r="AF25" s="1515"/>
      <c r="AG25" s="1516"/>
      <c r="AH25" s="1517"/>
      <c r="AI25" s="1510"/>
      <c r="AJ25" s="1510"/>
      <c r="AK25" s="1510"/>
      <c r="AL25" s="1510"/>
      <c r="AM25" s="1510"/>
      <c r="AN25" s="1510"/>
    </row>
    <row r="26" spans="1:40" ht="18.75" customHeight="1" x14ac:dyDescent="0.25">
      <c r="A26" s="1518" t="s">
        <v>1810</v>
      </c>
      <c r="B26" s="1510"/>
      <c r="C26" s="1510"/>
      <c r="D26" s="1510"/>
      <c r="E26" s="1511"/>
      <c r="F26" s="1510"/>
      <c r="G26" s="1511"/>
      <c r="H26" s="1510"/>
      <c r="I26" s="1510"/>
      <c r="J26" s="1510"/>
      <c r="K26" s="1510"/>
      <c r="L26" s="1512"/>
      <c r="M26" s="1513"/>
      <c r="N26" s="1510"/>
      <c r="O26" s="1510"/>
      <c r="P26" s="1510"/>
      <c r="Q26" s="1514"/>
      <c r="R26" s="1514"/>
      <c r="S26" s="1514"/>
      <c r="T26" s="1510"/>
      <c r="U26" s="1510"/>
      <c r="V26" s="1510"/>
      <c r="W26" s="1510"/>
      <c r="X26" s="1510"/>
      <c r="Y26" s="1510"/>
      <c r="Z26" s="1510"/>
      <c r="AA26" s="1510"/>
      <c r="AB26" s="1510"/>
      <c r="AC26" s="1510"/>
      <c r="AD26" s="1510"/>
      <c r="AE26" s="1510"/>
      <c r="AF26" s="1515"/>
      <c r="AG26" s="1516"/>
      <c r="AH26" s="1517"/>
      <c r="AI26" s="1510"/>
      <c r="AJ26" s="1510"/>
      <c r="AK26" s="1510"/>
      <c r="AL26" s="1510"/>
      <c r="AM26" s="1510"/>
      <c r="AN26" s="1510"/>
    </row>
    <row r="27" spans="1:40" ht="10.5" customHeight="1" x14ac:dyDescent="0.25">
      <c r="A27" s="1510"/>
      <c r="B27" s="1510"/>
      <c r="C27" s="1510"/>
      <c r="D27" s="1510"/>
      <c r="E27" s="1511"/>
      <c r="F27" s="1510"/>
      <c r="G27" s="1511"/>
      <c r="H27" s="1510"/>
      <c r="I27" s="1510"/>
      <c r="J27" s="1510"/>
      <c r="K27" s="1510"/>
      <c r="L27" s="1512"/>
      <c r="M27" s="1513"/>
      <c r="N27" s="1510"/>
      <c r="O27" s="1510"/>
      <c r="P27" s="1510"/>
      <c r="Q27" s="1514"/>
      <c r="R27" s="1514"/>
      <c r="S27" s="1514"/>
      <c r="T27" s="1510"/>
      <c r="U27" s="1510"/>
      <c r="V27" s="1510"/>
      <c r="W27" s="1510"/>
      <c r="X27" s="1510"/>
      <c r="Y27" s="1510"/>
      <c r="Z27" s="1510"/>
      <c r="AA27" s="1510"/>
      <c r="AB27" s="1510"/>
      <c r="AC27" s="1510"/>
      <c r="AD27" s="1510"/>
      <c r="AE27" s="1510"/>
      <c r="AF27" s="1515"/>
      <c r="AG27" s="1516"/>
      <c r="AH27" s="1517"/>
      <c r="AI27" s="1510"/>
      <c r="AJ27" s="1510"/>
      <c r="AK27" s="1510"/>
      <c r="AL27" s="1510"/>
      <c r="AM27" s="1510"/>
      <c r="AN27" s="1510"/>
    </row>
    <row r="28" spans="1:40" ht="10.5" customHeight="1" x14ac:dyDescent="0.25">
      <c r="A28" s="1510"/>
      <c r="B28" s="1510"/>
      <c r="C28" s="1510"/>
      <c r="D28" s="1510"/>
      <c r="E28" s="1511"/>
      <c r="F28" s="1510"/>
      <c r="G28" s="1511"/>
      <c r="H28" s="1510"/>
      <c r="I28" s="1510"/>
      <c r="J28" s="1510"/>
      <c r="K28" s="1510"/>
      <c r="L28" s="1512"/>
      <c r="M28" s="1513"/>
      <c r="N28" s="1510"/>
      <c r="O28" s="1510"/>
      <c r="P28" s="1510"/>
      <c r="Q28" s="1514"/>
      <c r="R28" s="1514"/>
      <c r="S28" s="1514"/>
      <c r="T28" s="1510"/>
      <c r="U28" s="1510"/>
      <c r="V28" s="1510"/>
      <c r="W28" s="1510"/>
      <c r="X28" s="1510"/>
      <c r="Y28" s="1510"/>
      <c r="Z28" s="1510"/>
      <c r="AA28" s="1510"/>
      <c r="AB28" s="1510"/>
      <c r="AC28" s="1510"/>
      <c r="AD28" s="1510"/>
      <c r="AE28" s="1510"/>
      <c r="AF28" s="1515"/>
      <c r="AG28" s="1516"/>
      <c r="AH28" s="1517"/>
      <c r="AI28" s="1510"/>
      <c r="AJ28" s="1510"/>
      <c r="AK28" s="1510"/>
      <c r="AL28" s="1510"/>
      <c r="AM28" s="1510"/>
      <c r="AN28" s="1510"/>
    </row>
    <row r="29" spans="1:40" ht="14.25" customHeight="1" x14ac:dyDescent="0.25">
      <c r="A29" s="1519" t="s">
        <v>1811</v>
      </c>
      <c r="B29" s="1510"/>
      <c r="C29" s="1510"/>
      <c r="D29" s="1510"/>
      <c r="E29" s="1511"/>
      <c r="F29" s="1510"/>
      <c r="G29" s="1511"/>
      <c r="H29" s="1510"/>
      <c r="I29" s="1510"/>
      <c r="J29" s="1510"/>
      <c r="K29" s="1510"/>
      <c r="L29" s="1512"/>
      <c r="M29" s="1513"/>
      <c r="N29" s="1510"/>
      <c r="O29" s="1510"/>
      <c r="P29" s="1510"/>
      <c r="Q29" s="1514"/>
      <c r="R29" s="1514"/>
      <c r="S29" s="1514"/>
      <c r="T29" s="1510"/>
      <c r="U29" s="1510"/>
      <c r="V29" s="1510"/>
      <c r="W29" s="1510"/>
      <c r="X29" s="1510"/>
      <c r="Y29" s="1510"/>
      <c r="Z29" s="1510"/>
      <c r="AA29" s="1510"/>
      <c r="AB29" s="1510"/>
      <c r="AC29" s="1510"/>
      <c r="AD29" s="1510"/>
      <c r="AE29" s="1510"/>
      <c r="AF29" s="1515"/>
      <c r="AG29" s="1516"/>
      <c r="AH29" s="1517"/>
      <c r="AI29" s="1510"/>
      <c r="AJ29" s="1510"/>
      <c r="AK29" s="1510"/>
      <c r="AL29" s="1510"/>
      <c r="AM29" s="1510"/>
      <c r="AN29" s="1510"/>
    </row>
    <row r="30" spans="1:40" ht="14.25" customHeight="1" x14ac:dyDescent="0.25">
      <c r="A30" s="1519" t="s">
        <v>1812</v>
      </c>
      <c r="B30" s="1510"/>
      <c r="C30" s="1510"/>
      <c r="D30" s="1510"/>
      <c r="E30" s="1511"/>
      <c r="F30" s="1510"/>
      <c r="G30" s="1511"/>
      <c r="H30" s="1510"/>
      <c r="I30" s="1510"/>
      <c r="J30" s="1510"/>
      <c r="K30" s="1510"/>
      <c r="L30" s="1512"/>
      <c r="M30" s="1513"/>
      <c r="N30" s="1510"/>
      <c r="O30" s="1510"/>
      <c r="P30" s="1510"/>
      <c r="Q30" s="1514"/>
      <c r="R30" s="1514"/>
      <c r="S30" s="1514"/>
      <c r="T30" s="1510"/>
      <c r="U30" s="1510"/>
      <c r="V30" s="1510"/>
      <c r="W30" s="1510"/>
      <c r="X30" s="1510"/>
      <c r="Y30" s="1510"/>
      <c r="Z30" s="1510"/>
      <c r="AA30" s="1510"/>
      <c r="AB30" s="1510"/>
      <c r="AC30" s="1510"/>
      <c r="AD30" s="1510"/>
      <c r="AE30" s="1510"/>
      <c r="AF30" s="1515"/>
      <c r="AG30" s="1516"/>
      <c r="AH30" s="1517"/>
      <c r="AI30" s="1510"/>
      <c r="AJ30" s="1510"/>
      <c r="AK30" s="1510"/>
      <c r="AL30" s="1510"/>
      <c r="AM30" s="1510"/>
      <c r="AN30" s="1510"/>
    </row>
    <row r="31" spans="1:40" ht="14.25" customHeight="1" x14ac:dyDescent="0.25"/>
    <row r="32" spans="1:40"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sheetData>
  <sheetProtection password="CBEB" sheet="1" objects="1" scenarios="1"/>
  <mergeCells count="73">
    <mergeCell ref="A19:N19"/>
    <mergeCell ref="AM14:AM18"/>
    <mergeCell ref="AN14:AN18"/>
    <mergeCell ref="G17:G18"/>
    <mergeCell ref="H17:H18"/>
    <mergeCell ref="I17:I18"/>
    <mergeCell ref="J17:J18"/>
    <mergeCell ref="K17:K18"/>
    <mergeCell ref="N17:N18"/>
    <mergeCell ref="O17:O18"/>
    <mergeCell ref="R17:R18"/>
    <mergeCell ref="AG14:AG18"/>
    <mergeCell ref="AH14:AH18"/>
    <mergeCell ref="AI14:AI18"/>
    <mergeCell ref="AJ14:AJ18"/>
    <mergeCell ref="AK14:AK18"/>
    <mergeCell ref="AL14:AL18"/>
    <mergeCell ref="AA14:AA18"/>
    <mergeCell ref="AB14:AB18"/>
    <mergeCell ref="AC14:AC18"/>
    <mergeCell ref="AD14:AD18"/>
    <mergeCell ref="AE14:AE18"/>
    <mergeCell ref="AF14:AF18"/>
    <mergeCell ref="Q14:Q18"/>
    <mergeCell ref="V14:V18"/>
    <mergeCell ref="W14:W18"/>
    <mergeCell ref="X14:X18"/>
    <mergeCell ref="Y14:Y18"/>
    <mergeCell ref="Z14:Z18"/>
    <mergeCell ref="AK7:AK8"/>
    <mergeCell ref="B9:D9"/>
    <mergeCell ref="D10:AN10"/>
    <mergeCell ref="F11:AN11"/>
    <mergeCell ref="F13:J13"/>
    <mergeCell ref="E14:E18"/>
    <mergeCell ref="F14:F18"/>
    <mergeCell ref="L14:L18"/>
    <mergeCell ref="M14:M18"/>
    <mergeCell ref="P14:P18"/>
    <mergeCell ref="T7:T8"/>
    <mergeCell ref="U7:U8"/>
    <mergeCell ref="V7:W7"/>
    <mergeCell ref="X7:AA7"/>
    <mergeCell ref="AB7:AG7"/>
    <mergeCell ref="L7:L8"/>
    <mergeCell ref="AH7:AJ7"/>
    <mergeCell ref="N7:N8"/>
    <mergeCell ref="O7:O8"/>
    <mergeCell ref="P7:P8"/>
    <mergeCell ref="Q7:Q8"/>
    <mergeCell ref="R7:R8"/>
    <mergeCell ref="S7:S8"/>
    <mergeCell ref="G7:G8"/>
    <mergeCell ref="H7:H8"/>
    <mergeCell ref="I7:I8"/>
    <mergeCell ref="J7:J8"/>
    <mergeCell ref="K7:K8"/>
    <mergeCell ref="A1:AL4"/>
    <mergeCell ref="A5:J6"/>
    <mergeCell ref="K5:AK5"/>
    <mergeCell ref="AL5:AN5"/>
    <mergeCell ref="K6:U6"/>
    <mergeCell ref="V6:AK6"/>
    <mergeCell ref="AL6:AL8"/>
    <mergeCell ref="AM6:AM8"/>
    <mergeCell ref="AN6:AN8"/>
    <mergeCell ref="A7:A8"/>
    <mergeCell ref="M7:M8"/>
    <mergeCell ref="B7:B8"/>
    <mergeCell ref="C7:C8"/>
    <mergeCell ref="D7:D8"/>
    <mergeCell ref="E7:E8"/>
    <mergeCell ref="F7:F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59999389629810485"/>
  </sheetPr>
  <dimension ref="A1:BK132"/>
  <sheetViews>
    <sheetView showGridLines="0" topLeftCell="S5" zoomScale="70" zoomScaleNormal="70" workbookViewId="0">
      <selection activeCell="V9" sqref="V9"/>
    </sheetView>
  </sheetViews>
  <sheetFormatPr baseColWidth="10" defaultColWidth="11.42578125" defaultRowHeight="27" customHeight="1" x14ac:dyDescent="0.2"/>
  <cols>
    <col min="1" max="1" width="15.28515625" style="1652" customWidth="1"/>
    <col min="2" max="2" width="4" style="134" customWidth="1"/>
    <col min="3" max="3" width="17" style="134" customWidth="1"/>
    <col min="4" max="4" width="14.42578125" style="134" customWidth="1"/>
    <col min="5" max="5" width="18" style="134" customWidth="1"/>
    <col min="6" max="6" width="2" style="134" hidden="1" customWidth="1"/>
    <col min="7" max="7" width="13.42578125" style="134" customWidth="1"/>
    <col min="8" max="8" width="6" style="134" customWidth="1"/>
    <col min="9" max="9" width="18.85546875" style="134" customWidth="1"/>
    <col min="10" max="10" width="13.7109375" style="1523" customWidth="1"/>
    <col min="11" max="11" width="41.42578125" style="111" customWidth="1"/>
    <col min="12" max="12" width="23.28515625" style="112" customWidth="1"/>
    <col min="13" max="13" width="26" style="112" customWidth="1"/>
    <col min="14" max="14" width="36.7109375" style="112" customWidth="1"/>
    <col min="15" max="15" width="24.28515625" style="112" customWidth="1"/>
    <col min="16" max="16" width="25.42578125" style="111" customWidth="1"/>
    <col min="17" max="17" width="18.42578125" style="1653" customWidth="1"/>
    <col min="18" max="18" width="28.28515625" style="1654" customWidth="1"/>
    <col min="19" max="19" width="43.5703125" style="111" customWidth="1"/>
    <col min="20" max="20" width="49.5703125" style="111" customWidth="1"/>
    <col min="21" max="21" width="58.7109375" style="111" customWidth="1"/>
    <col min="22" max="22" width="27.85546875" style="1655" customWidth="1"/>
    <col min="23" max="23" width="14.5703125" style="116" customWidth="1"/>
    <col min="24" max="24" width="19.28515625" style="673" customWidth="1"/>
    <col min="25" max="25" width="10.140625" style="4" bestFit="1" customWidth="1"/>
    <col min="26" max="26" width="12" style="135" customWidth="1"/>
    <col min="27" max="27" width="8.85546875" style="4" customWidth="1"/>
    <col min="28" max="28" width="8.28515625" style="4" bestFit="1" customWidth="1"/>
    <col min="29" max="29" width="11.42578125" style="4" customWidth="1"/>
    <col min="30" max="30" width="9.5703125" style="4" customWidth="1"/>
    <col min="31" max="31" width="6.85546875" style="4" bestFit="1" customWidth="1"/>
    <col min="32" max="32" width="8.7109375" style="4" customWidth="1"/>
    <col min="33" max="33" width="8.28515625" style="4" customWidth="1"/>
    <col min="34" max="34" width="7.85546875" style="4" customWidth="1"/>
    <col min="35" max="35" width="8" style="4" customWidth="1"/>
    <col min="36" max="36" width="9" style="4" customWidth="1"/>
    <col min="37" max="37" width="8.7109375" style="4" bestFit="1" customWidth="1"/>
    <col min="38" max="38" width="7.85546875" style="4" customWidth="1"/>
    <col min="39" max="39" width="8.28515625" style="4" bestFit="1" customWidth="1"/>
    <col min="40" max="40" width="11.28515625" style="4" customWidth="1"/>
    <col min="41" max="41" width="20.5703125" style="674" customWidth="1"/>
    <col min="42" max="42" width="20.140625" style="675" customWidth="1"/>
    <col min="43" max="43" width="20.85546875" style="676" customWidth="1"/>
    <col min="44" max="16384" width="11.42578125" style="4"/>
  </cols>
  <sheetData>
    <row r="1" spans="1:63" ht="20.25" customHeight="1" x14ac:dyDescent="0.2">
      <c r="A1" s="2153" t="s">
        <v>1813</v>
      </c>
      <c r="B1" s="2154"/>
      <c r="C1" s="2154"/>
      <c r="D1" s="2154"/>
      <c r="E1" s="2154"/>
      <c r="F1" s="2154"/>
      <c r="G1" s="2154"/>
      <c r="H1" s="2154"/>
      <c r="I1" s="2154"/>
      <c r="J1" s="2154"/>
      <c r="K1" s="2154"/>
      <c r="L1" s="2154"/>
      <c r="M1" s="2154"/>
      <c r="N1" s="2154"/>
      <c r="O1" s="2154"/>
      <c r="P1" s="2154"/>
      <c r="Q1" s="2154"/>
      <c r="R1" s="2154"/>
      <c r="S1" s="2154"/>
      <c r="T1" s="2154"/>
      <c r="U1" s="2154"/>
      <c r="V1" s="2154"/>
      <c r="W1" s="2154"/>
      <c r="X1" s="2154"/>
      <c r="Y1" s="2154"/>
      <c r="Z1" s="2154"/>
      <c r="AA1" s="2154"/>
      <c r="AB1" s="2154"/>
      <c r="AC1" s="2154"/>
      <c r="AD1" s="2154"/>
      <c r="AE1" s="2154"/>
      <c r="AF1" s="2154"/>
      <c r="AG1" s="2154"/>
      <c r="AH1" s="2154"/>
      <c r="AI1" s="2154"/>
      <c r="AJ1" s="2154"/>
      <c r="AK1" s="2154"/>
      <c r="AL1" s="2154"/>
      <c r="AM1" s="2154"/>
      <c r="AN1" s="2154"/>
      <c r="AO1" s="2155"/>
      <c r="AP1" s="1" t="s">
        <v>0</v>
      </c>
      <c r="AQ1" s="649" t="s">
        <v>1</v>
      </c>
      <c r="AR1" s="3"/>
      <c r="AS1" s="3"/>
      <c r="AT1" s="3"/>
      <c r="AU1" s="3"/>
      <c r="AV1" s="3"/>
      <c r="AW1" s="3"/>
      <c r="AX1" s="3"/>
      <c r="AY1" s="3"/>
      <c r="AZ1" s="3"/>
      <c r="BA1" s="3"/>
      <c r="BB1" s="3"/>
      <c r="BC1" s="3"/>
      <c r="BD1" s="3"/>
      <c r="BE1" s="3"/>
      <c r="BF1" s="3"/>
      <c r="BG1" s="3"/>
      <c r="BH1" s="3"/>
      <c r="BI1" s="3"/>
      <c r="BJ1" s="3"/>
      <c r="BK1" s="3"/>
    </row>
    <row r="2" spans="1:63" ht="22.5" customHeight="1" x14ac:dyDescent="0.2">
      <c r="A2" s="2156"/>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c r="AC2" s="2124"/>
      <c r="AD2" s="2124"/>
      <c r="AE2" s="2124"/>
      <c r="AF2" s="2124"/>
      <c r="AG2" s="2124"/>
      <c r="AH2" s="2124"/>
      <c r="AI2" s="2124"/>
      <c r="AJ2" s="2124"/>
      <c r="AK2" s="2124"/>
      <c r="AL2" s="2124"/>
      <c r="AM2" s="2124"/>
      <c r="AN2" s="2124"/>
      <c r="AO2" s="2125"/>
      <c r="AP2" s="5" t="s">
        <v>2</v>
      </c>
      <c r="AQ2" s="650" t="s">
        <v>3</v>
      </c>
      <c r="AR2" s="3"/>
      <c r="AS2" s="3"/>
      <c r="AT2" s="3"/>
      <c r="AU2" s="3"/>
      <c r="AV2" s="3"/>
      <c r="AW2" s="3"/>
      <c r="AX2" s="3"/>
      <c r="AY2" s="3"/>
      <c r="AZ2" s="3"/>
      <c r="BA2" s="3"/>
      <c r="BB2" s="3"/>
      <c r="BC2" s="3"/>
      <c r="BD2" s="3"/>
      <c r="BE2" s="3"/>
      <c r="BF2" s="3"/>
      <c r="BG2" s="3"/>
      <c r="BH2" s="3"/>
      <c r="BI2" s="3"/>
      <c r="BJ2" s="3"/>
      <c r="BK2" s="3"/>
    </row>
    <row r="3" spans="1:63" ht="17.25" customHeight="1" x14ac:dyDescent="0.2">
      <c r="A3" s="2156"/>
      <c r="B3" s="2124"/>
      <c r="C3" s="2124"/>
      <c r="D3" s="2124"/>
      <c r="E3" s="2124"/>
      <c r="F3" s="2124"/>
      <c r="G3" s="2124"/>
      <c r="H3" s="2124"/>
      <c r="I3" s="2124"/>
      <c r="J3" s="2124"/>
      <c r="K3" s="2124"/>
      <c r="L3" s="2124"/>
      <c r="M3" s="2124"/>
      <c r="N3" s="2124"/>
      <c r="O3" s="2124"/>
      <c r="P3" s="2124"/>
      <c r="Q3" s="2124"/>
      <c r="R3" s="2124"/>
      <c r="S3" s="2124"/>
      <c r="T3" s="2124"/>
      <c r="U3" s="2124"/>
      <c r="V3" s="2124"/>
      <c r="W3" s="2124"/>
      <c r="X3" s="2124"/>
      <c r="Y3" s="2124"/>
      <c r="Z3" s="2124"/>
      <c r="AA3" s="2124"/>
      <c r="AB3" s="2124"/>
      <c r="AC3" s="2124"/>
      <c r="AD3" s="2124"/>
      <c r="AE3" s="2124"/>
      <c r="AF3" s="2124"/>
      <c r="AG3" s="2124"/>
      <c r="AH3" s="2124"/>
      <c r="AI3" s="2124"/>
      <c r="AJ3" s="2124"/>
      <c r="AK3" s="2124"/>
      <c r="AL3" s="2124"/>
      <c r="AM3" s="2124"/>
      <c r="AN3" s="2124"/>
      <c r="AO3" s="2125"/>
      <c r="AP3" s="7" t="s">
        <v>4</v>
      </c>
      <c r="AQ3" s="651" t="s">
        <v>5</v>
      </c>
      <c r="AR3" s="3"/>
      <c r="AS3" s="3"/>
      <c r="AT3" s="3"/>
      <c r="AU3" s="3"/>
      <c r="AV3" s="3"/>
      <c r="AW3" s="3"/>
      <c r="AX3" s="3"/>
      <c r="AY3" s="3"/>
      <c r="AZ3" s="3"/>
      <c r="BA3" s="3"/>
      <c r="BB3" s="3"/>
      <c r="BC3" s="3"/>
      <c r="BD3" s="3"/>
      <c r="BE3" s="3"/>
      <c r="BF3" s="3"/>
      <c r="BG3" s="3"/>
      <c r="BH3" s="3"/>
      <c r="BI3" s="3"/>
      <c r="BJ3" s="3"/>
      <c r="BK3" s="3"/>
    </row>
    <row r="4" spans="1:63" ht="20.25" customHeight="1" x14ac:dyDescent="0.2">
      <c r="A4" s="2157"/>
      <c r="B4" s="2126"/>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7"/>
      <c r="AP4" s="7" t="s">
        <v>6</v>
      </c>
      <c r="AQ4" s="652" t="s">
        <v>7</v>
      </c>
      <c r="AR4" s="3"/>
      <c r="AS4" s="3"/>
      <c r="AT4" s="3"/>
      <c r="AU4" s="3"/>
      <c r="AV4" s="3"/>
      <c r="AW4" s="3"/>
      <c r="AX4" s="3"/>
      <c r="AY4" s="3"/>
      <c r="AZ4" s="3"/>
      <c r="BA4" s="3"/>
      <c r="BB4" s="3"/>
      <c r="BC4" s="3"/>
      <c r="BD4" s="3"/>
      <c r="BE4" s="3"/>
      <c r="BF4" s="3"/>
      <c r="BG4" s="3"/>
      <c r="BH4" s="3"/>
      <c r="BI4" s="3"/>
      <c r="BJ4" s="3"/>
      <c r="BK4" s="3"/>
    </row>
    <row r="5" spans="1:63" ht="24" customHeight="1" x14ac:dyDescent="0.2">
      <c r="A5" s="2158" t="s">
        <v>8</v>
      </c>
      <c r="B5" s="2159"/>
      <c r="C5" s="2159"/>
      <c r="D5" s="2159"/>
      <c r="E5" s="2159"/>
      <c r="F5" s="2159"/>
      <c r="G5" s="2159"/>
      <c r="H5" s="2159"/>
      <c r="I5" s="2159"/>
      <c r="J5" s="2159"/>
      <c r="K5" s="2159"/>
      <c r="L5" s="2159"/>
      <c r="M5" s="2159"/>
      <c r="N5" s="2130" t="s">
        <v>9</v>
      </c>
      <c r="O5" s="2130"/>
      <c r="P5" s="2130"/>
      <c r="Q5" s="2130"/>
      <c r="R5" s="2130"/>
      <c r="S5" s="2130"/>
      <c r="T5" s="2130"/>
      <c r="U5" s="2130"/>
      <c r="V5" s="2130"/>
      <c r="W5" s="2130"/>
      <c r="X5" s="2130"/>
      <c r="Y5" s="2130"/>
      <c r="Z5" s="2130"/>
      <c r="AA5" s="2130"/>
      <c r="AB5" s="2130"/>
      <c r="AC5" s="2130"/>
      <c r="AD5" s="2130"/>
      <c r="AE5" s="2130"/>
      <c r="AF5" s="2130"/>
      <c r="AG5" s="2130"/>
      <c r="AH5" s="2130"/>
      <c r="AI5" s="2130"/>
      <c r="AJ5" s="2130"/>
      <c r="AK5" s="2130"/>
      <c r="AL5" s="2130"/>
      <c r="AM5" s="2130"/>
      <c r="AN5" s="2130"/>
      <c r="AO5" s="2130"/>
      <c r="AP5" s="2130"/>
      <c r="AQ5" s="2162"/>
      <c r="AR5" s="3"/>
      <c r="AS5" s="3"/>
      <c r="AT5" s="3"/>
      <c r="AU5" s="3"/>
      <c r="AV5" s="3"/>
      <c r="AW5" s="3"/>
      <c r="AX5" s="3"/>
      <c r="AY5" s="3"/>
      <c r="AZ5" s="3"/>
      <c r="BA5" s="3"/>
      <c r="BB5" s="3"/>
      <c r="BC5" s="3"/>
      <c r="BD5" s="3"/>
      <c r="BE5" s="3"/>
      <c r="BF5" s="3"/>
      <c r="BG5" s="3"/>
      <c r="BH5" s="3"/>
      <c r="BI5" s="3"/>
      <c r="BJ5" s="3"/>
      <c r="BK5" s="3"/>
    </row>
    <row r="6" spans="1:63" ht="25.5" customHeight="1" x14ac:dyDescent="0.2">
      <c r="A6" s="2160"/>
      <c r="B6" s="2161"/>
      <c r="C6" s="2161"/>
      <c r="D6" s="2161"/>
      <c r="E6" s="2161"/>
      <c r="F6" s="2161"/>
      <c r="G6" s="2161"/>
      <c r="H6" s="2161"/>
      <c r="I6" s="2161"/>
      <c r="J6" s="2161"/>
      <c r="K6" s="2161"/>
      <c r="L6" s="2161"/>
      <c r="M6" s="2161"/>
      <c r="N6" s="367"/>
      <c r="O6" s="368"/>
      <c r="P6" s="368"/>
      <c r="Q6" s="368"/>
      <c r="R6" s="368"/>
      <c r="S6" s="368"/>
      <c r="T6" s="368"/>
      <c r="U6" s="1520"/>
      <c r="V6" s="1521"/>
      <c r="W6" s="370"/>
      <c r="X6" s="370"/>
      <c r="Y6" s="2163" t="s">
        <v>10</v>
      </c>
      <c r="Z6" s="2164"/>
      <c r="AA6" s="2164"/>
      <c r="AB6" s="2164"/>
      <c r="AC6" s="2164"/>
      <c r="AD6" s="2164"/>
      <c r="AE6" s="2164"/>
      <c r="AF6" s="2164"/>
      <c r="AG6" s="2164"/>
      <c r="AH6" s="2164"/>
      <c r="AI6" s="2164"/>
      <c r="AJ6" s="2164"/>
      <c r="AK6" s="2164"/>
      <c r="AL6" s="2164"/>
      <c r="AM6" s="2164"/>
      <c r="AN6" s="2164"/>
      <c r="AO6" s="370"/>
      <c r="AP6" s="370"/>
      <c r="AQ6" s="654"/>
      <c r="AR6" s="3"/>
      <c r="AS6" s="3"/>
      <c r="AT6" s="3"/>
      <c r="AU6" s="3"/>
      <c r="AV6" s="3"/>
      <c r="AW6" s="3"/>
      <c r="AX6" s="3"/>
      <c r="AY6" s="3"/>
      <c r="AZ6" s="3"/>
      <c r="BA6" s="3"/>
      <c r="BB6" s="3"/>
      <c r="BC6" s="3"/>
      <c r="BD6" s="3"/>
      <c r="BE6" s="3"/>
      <c r="BF6" s="3"/>
      <c r="BG6" s="3"/>
      <c r="BH6" s="3"/>
      <c r="BI6" s="3"/>
      <c r="BJ6" s="3"/>
      <c r="BK6" s="3"/>
    </row>
    <row r="7" spans="1:63" ht="35.25" customHeight="1" x14ac:dyDescent="0.2">
      <c r="A7" s="2165" t="s">
        <v>11</v>
      </c>
      <c r="B7" s="2136" t="s">
        <v>12</v>
      </c>
      <c r="C7" s="2137"/>
      <c r="D7" s="2137" t="s">
        <v>11</v>
      </c>
      <c r="E7" s="2136" t="s">
        <v>13</v>
      </c>
      <c r="F7" s="2137"/>
      <c r="G7" s="2137" t="s">
        <v>11</v>
      </c>
      <c r="H7" s="2136" t="s">
        <v>14</v>
      </c>
      <c r="I7" s="2137"/>
      <c r="J7" s="2137" t="s">
        <v>11</v>
      </c>
      <c r="K7" s="2136" t="s">
        <v>15</v>
      </c>
      <c r="L7" s="2119" t="s">
        <v>16</v>
      </c>
      <c r="M7" s="2119" t="s">
        <v>17</v>
      </c>
      <c r="N7" s="2119" t="s">
        <v>18</v>
      </c>
      <c r="O7" s="2119" t="s">
        <v>19</v>
      </c>
      <c r="P7" s="2119" t="s">
        <v>9</v>
      </c>
      <c r="Q7" s="2180" t="s">
        <v>20</v>
      </c>
      <c r="R7" s="2145" t="s">
        <v>21</v>
      </c>
      <c r="S7" s="2136" t="s">
        <v>22</v>
      </c>
      <c r="T7" s="2136" t="s">
        <v>23</v>
      </c>
      <c r="U7" s="2119" t="s">
        <v>24</v>
      </c>
      <c r="V7" s="2173" t="s">
        <v>21</v>
      </c>
      <c r="W7" s="373"/>
      <c r="X7" s="2119" t="s">
        <v>25</v>
      </c>
      <c r="Y7" s="2175" t="s">
        <v>26</v>
      </c>
      <c r="Z7" s="2175"/>
      <c r="AA7" s="2176" t="s">
        <v>27</v>
      </c>
      <c r="AB7" s="2176"/>
      <c r="AC7" s="2176"/>
      <c r="AD7" s="2176"/>
      <c r="AE7" s="2177" t="s">
        <v>28</v>
      </c>
      <c r="AF7" s="2178"/>
      <c r="AG7" s="2178"/>
      <c r="AH7" s="2178"/>
      <c r="AI7" s="2178"/>
      <c r="AJ7" s="2179"/>
      <c r="AK7" s="2176" t="s">
        <v>29</v>
      </c>
      <c r="AL7" s="2176"/>
      <c r="AM7" s="2176"/>
      <c r="AN7" s="2169" t="s">
        <v>30</v>
      </c>
      <c r="AO7" s="2095" t="s">
        <v>31</v>
      </c>
      <c r="AP7" s="2095" t="s">
        <v>32</v>
      </c>
      <c r="AQ7" s="2167" t="s">
        <v>33</v>
      </c>
      <c r="AR7" s="3"/>
      <c r="AS7" s="3"/>
      <c r="AT7" s="3"/>
      <c r="AU7" s="3"/>
      <c r="AV7" s="3"/>
      <c r="AW7" s="3"/>
      <c r="AX7" s="3"/>
      <c r="AY7" s="3"/>
      <c r="AZ7" s="3"/>
      <c r="BA7" s="3"/>
      <c r="BB7" s="3"/>
      <c r="BC7" s="3"/>
      <c r="BD7" s="3"/>
      <c r="BE7" s="3"/>
      <c r="BF7" s="3"/>
      <c r="BG7" s="3"/>
      <c r="BH7" s="3"/>
      <c r="BI7" s="3"/>
      <c r="BJ7" s="3"/>
      <c r="BK7" s="3"/>
    </row>
    <row r="8" spans="1:63" s="1523" customFormat="1" ht="141.75" customHeight="1" x14ac:dyDescent="0.25">
      <c r="A8" s="2166"/>
      <c r="B8" s="2138"/>
      <c r="C8" s="2139"/>
      <c r="D8" s="2139"/>
      <c r="E8" s="2138"/>
      <c r="F8" s="2139"/>
      <c r="G8" s="2139"/>
      <c r="H8" s="2138"/>
      <c r="I8" s="2139"/>
      <c r="J8" s="2139"/>
      <c r="K8" s="2138"/>
      <c r="L8" s="2120"/>
      <c r="M8" s="2120"/>
      <c r="N8" s="2120"/>
      <c r="O8" s="2120"/>
      <c r="P8" s="2120"/>
      <c r="Q8" s="2181"/>
      <c r="R8" s="2146"/>
      <c r="S8" s="2138"/>
      <c r="T8" s="2138"/>
      <c r="U8" s="2120"/>
      <c r="V8" s="2174"/>
      <c r="W8" s="1169" t="s">
        <v>11</v>
      </c>
      <c r="X8" s="2120"/>
      <c r="Y8" s="1170" t="s">
        <v>34</v>
      </c>
      <c r="Z8" s="1522" t="s">
        <v>35</v>
      </c>
      <c r="AA8" s="655" t="s">
        <v>36</v>
      </c>
      <c r="AB8" s="655" t="s">
        <v>37</v>
      </c>
      <c r="AC8" s="655" t="s">
        <v>38</v>
      </c>
      <c r="AD8" s="655" t="s">
        <v>39</v>
      </c>
      <c r="AE8" s="655" t="s">
        <v>40</v>
      </c>
      <c r="AF8" s="655" t="s">
        <v>41</v>
      </c>
      <c r="AG8" s="655" t="s">
        <v>42</v>
      </c>
      <c r="AH8" s="655" t="s">
        <v>43</v>
      </c>
      <c r="AI8" s="655" t="s">
        <v>44</v>
      </c>
      <c r="AJ8" s="655" t="s">
        <v>45</v>
      </c>
      <c r="AK8" s="655" t="s">
        <v>46</v>
      </c>
      <c r="AL8" s="655" t="s">
        <v>47</v>
      </c>
      <c r="AM8" s="655" t="s">
        <v>48</v>
      </c>
      <c r="AN8" s="2170"/>
      <c r="AO8" s="2096"/>
      <c r="AP8" s="2096"/>
      <c r="AQ8" s="2168"/>
      <c r="AR8" s="673"/>
      <c r="AS8" s="673"/>
      <c r="AT8" s="673"/>
      <c r="AU8" s="673"/>
      <c r="AV8" s="673"/>
      <c r="AW8" s="673"/>
      <c r="AX8" s="673"/>
      <c r="AY8" s="673"/>
      <c r="AZ8" s="673"/>
      <c r="BA8" s="673"/>
      <c r="BB8" s="673"/>
      <c r="BC8" s="673"/>
      <c r="BD8" s="673"/>
      <c r="BE8" s="673"/>
      <c r="BF8" s="673"/>
      <c r="BG8" s="673"/>
      <c r="BH8" s="673"/>
      <c r="BI8" s="673"/>
      <c r="BJ8" s="673"/>
      <c r="BK8" s="673"/>
    </row>
    <row r="9" spans="1:63" s="26" customFormat="1" ht="27" customHeight="1" x14ac:dyDescent="0.2">
      <c r="A9" s="1524">
        <v>5</v>
      </c>
      <c r="B9" s="2171" t="s">
        <v>49</v>
      </c>
      <c r="C9" s="2171"/>
      <c r="D9" s="2171"/>
      <c r="E9" s="2171"/>
      <c r="F9" s="2171"/>
      <c r="G9" s="2171"/>
      <c r="H9" s="2171"/>
      <c r="I9" s="2171"/>
      <c r="J9" s="2171"/>
      <c r="K9" s="2171"/>
      <c r="L9" s="379"/>
      <c r="M9" s="379"/>
      <c r="N9" s="379"/>
      <c r="O9" s="379"/>
      <c r="P9" s="379"/>
      <c r="Q9" s="744"/>
      <c r="R9" s="381"/>
      <c r="S9" s="379"/>
      <c r="T9" s="379"/>
      <c r="U9" s="1525"/>
      <c r="V9" s="1526"/>
      <c r="W9" s="383"/>
      <c r="X9" s="384"/>
      <c r="Y9" s="378"/>
      <c r="Z9" s="1527"/>
      <c r="AA9" s="378"/>
      <c r="AB9" s="378"/>
      <c r="AC9" s="378"/>
      <c r="AD9" s="378"/>
      <c r="AE9" s="378"/>
      <c r="AF9" s="378"/>
      <c r="AG9" s="378"/>
      <c r="AH9" s="378"/>
      <c r="AI9" s="378"/>
      <c r="AJ9" s="378"/>
      <c r="AK9" s="378"/>
      <c r="AL9" s="378"/>
      <c r="AM9" s="378"/>
      <c r="AN9" s="378"/>
      <c r="AO9" s="385"/>
      <c r="AP9" s="385"/>
      <c r="AQ9" s="745"/>
      <c r="AR9" s="3"/>
      <c r="AS9" s="3"/>
      <c r="AT9" s="3"/>
      <c r="AU9" s="3"/>
      <c r="AV9" s="3"/>
      <c r="AW9" s="3"/>
      <c r="AX9" s="3"/>
      <c r="AY9" s="3"/>
      <c r="AZ9" s="3"/>
      <c r="BA9" s="3"/>
      <c r="BB9" s="3"/>
      <c r="BC9" s="3"/>
      <c r="BD9" s="3"/>
      <c r="BE9" s="3"/>
      <c r="BF9" s="3"/>
      <c r="BG9" s="3"/>
      <c r="BH9" s="3"/>
      <c r="BI9" s="3"/>
      <c r="BJ9" s="3"/>
      <c r="BK9" s="3"/>
    </row>
    <row r="10" spans="1:63" s="3" customFormat="1" ht="27" customHeight="1" x14ac:dyDescent="0.2">
      <c r="A10" s="1528"/>
      <c r="B10" s="1529"/>
      <c r="C10" s="1530"/>
      <c r="D10" s="1531">
        <v>26</v>
      </c>
      <c r="E10" s="2172" t="s">
        <v>50</v>
      </c>
      <c r="F10" s="2172"/>
      <c r="G10" s="2172"/>
      <c r="H10" s="2172"/>
      <c r="I10" s="2172"/>
      <c r="J10" s="2172"/>
      <c r="K10" s="2172"/>
      <c r="L10" s="389"/>
      <c r="M10" s="389"/>
      <c r="N10" s="389"/>
      <c r="O10" s="389"/>
      <c r="P10" s="389"/>
      <c r="Q10" s="746"/>
      <c r="R10" s="391"/>
      <c r="S10" s="389"/>
      <c r="T10" s="389"/>
      <c r="U10" s="1532"/>
      <c r="V10" s="1533"/>
      <c r="W10" s="393"/>
      <c r="X10" s="394"/>
      <c r="Y10" s="388"/>
      <c r="Z10" s="1534"/>
      <c r="AA10" s="388"/>
      <c r="AB10" s="388"/>
      <c r="AC10" s="388"/>
      <c r="AD10" s="388"/>
      <c r="AE10" s="388"/>
      <c r="AF10" s="388"/>
      <c r="AG10" s="388"/>
      <c r="AH10" s="388"/>
      <c r="AI10" s="388"/>
      <c r="AJ10" s="388"/>
      <c r="AK10" s="388"/>
      <c r="AL10" s="388"/>
      <c r="AM10" s="388"/>
      <c r="AN10" s="388"/>
      <c r="AO10" s="395"/>
      <c r="AP10" s="395"/>
      <c r="AQ10" s="747"/>
    </row>
    <row r="11" spans="1:63" s="3" customFormat="1" ht="27" customHeight="1" x14ac:dyDescent="0.2">
      <c r="A11" s="1535"/>
      <c r="B11" s="1536"/>
      <c r="C11" s="1536"/>
      <c r="D11" s="1537"/>
      <c r="E11" s="1530"/>
      <c r="F11" s="1530"/>
      <c r="G11" s="1538">
        <v>83</v>
      </c>
      <c r="H11" s="2183" t="s">
        <v>610</v>
      </c>
      <c r="I11" s="2183"/>
      <c r="J11" s="2183"/>
      <c r="K11" s="2183"/>
      <c r="L11" s="400"/>
      <c r="M11" s="400"/>
      <c r="N11" s="400"/>
      <c r="O11" s="400"/>
      <c r="P11" s="400"/>
      <c r="Q11" s="1539"/>
      <c r="R11" s="752"/>
      <c r="S11" s="400"/>
      <c r="T11" s="400"/>
      <c r="U11" s="978"/>
      <c r="V11" s="1540"/>
      <c r="W11" s="1147"/>
      <c r="X11" s="1035"/>
      <c r="Y11" s="399"/>
      <c r="Z11" s="1541"/>
      <c r="AA11" s="399"/>
      <c r="AB11" s="399"/>
      <c r="AC11" s="399"/>
      <c r="AD11" s="399"/>
      <c r="AE11" s="399"/>
      <c r="AF11" s="399"/>
      <c r="AG11" s="399"/>
      <c r="AH11" s="399"/>
      <c r="AI11" s="399"/>
      <c r="AJ11" s="399"/>
      <c r="AK11" s="399"/>
      <c r="AL11" s="399"/>
      <c r="AM11" s="399"/>
      <c r="AN11" s="399"/>
      <c r="AO11" s="406"/>
      <c r="AP11" s="406"/>
      <c r="AQ11" s="1542"/>
    </row>
    <row r="12" spans="1:63" s="1549" customFormat="1" ht="179.25" customHeight="1" x14ac:dyDescent="0.2">
      <c r="A12" s="1543"/>
      <c r="B12" s="1544"/>
      <c r="C12" s="1544"/>
      <c r="D12" s="1545"/>
      <c r="E12" s="1193"/>
      <c r="F12" s="1193"/>
      <c r="G12" s="1546"/>
      <c r="H12" s="1544"/>
      <c r="I12" s="1544"/>
      <c r="J12" s="2065">
        <v>246</v>
      </c>
      <c r="K12" s="2049" t="s">
        <v>1814</v>
      </c>
      <c r="L12" s="2049" t="s">
        <v>1815</v>
      </c>
      <c r="M12" s="2065">
        <v>13</v>
      </c>
      <c r="N12" s="2049" t="s">
        <v>1816</v>
      </c>
      <c r="O12" s="2049" t="s">
        <v>1817</v>
      </c>
      <c r="P12" s="2049" t="s">
        <v>1818</v>
      </c>
      <c r="Q12" s="2182">
        <v>1</v>
      </c>
      <c r="R12" s="2184">
        <f>SUM(V12:V41)</f>
        <v>18000000</v>
      </c>
      <c r="S12" s="2088" t="s">
        <v>1819</v>
      </c>
      <c r="T12" s="419" t="s">
        <v>1820</v>
      </c>
      <c r="U12" s="1547" t="s">
        <v>1821</v>
      </c>
      <c r="V12" s="1548">
        <v>0</v>
      </c>
      <c r="W12" s="2186">
        <v>20</v>
      </c>
      <c r="X12" s="2191" t="s">
        <v>61</v>
      </c>
      <c r="Y12" s="2186">
        <v>282326</v>
      </c>
      <c r="Z12" s="2193">
        <v>292684</v>
      </c>
      <c r="AA12" s="2186">
        <v>135912</v>
      </c>
      <c r="AB12" s="2186">
        <v>45122</v>
      </c>
      <c r="AC12" s="2186">
        <v>307101</v>
      </c>
      <c r="AD12" s="2186">
        <v>86875</v>
      </c>
      <c r="AE12" s="2186">
        <v>2145</v>
      </c>
      <c r="AF12" s="2186">
        <v>12718</v>
      </c>
      <c r="AG12" s="2186">
        <v>26</v>
      </c>
      <c r="AH12" s="2186">
        <v>37</v>
      </c>
      <c r="AI12" s="2186"/>
      <c r="AJ12" s="2186"/>
      <c r="AK12" s="2186">
        <v>43029</v>
      </c>
      <c r="AL12" s="2186">
        <v>16982</v>
      </c>
      <c r="AM12" s="2186">
        <v>60013</v>
      </c>
      <c r="AN12" s="2186">
        <v>575010</v>
      </c>
      <c r="AO12" s="2187">
        <v>43102</v>
      </c>
      <c r="AP12" s="2187">
        <v>43465</v>
      </c>
      <c r="AQ12" s="2188" t="s">
        <v>1822</v>
      </c>
    </row>
    <row r="13" spans="1:63" s="1549" customFormat="1" ht="71.25" customHeight="1" x14ac:dyDescent="0.2">
      <c r="A13" s="1543"/>
      <c r="B13" s="1544"/>
      <c r="C13" s="1544"/>
      <c r="D13" s="1545"/>
      <c r="E13" s="1193"/>
      <c r="F13" s="1193"/>
      <c r="G13" s="1544"/>
      <c r="H13" s="1544"/>
      <c r="I13" s="1544"/>
      <c r="J13" s="2065"/>
      <c r="K13" s="2049"/>
      <c r="L13" s="2049"/>
      <c r="M13" s="2065"/>
      <c r="N13" s="2049"/>
      <c r="O13" s="2049"/>
      <c r="P13" s="2049"/>
      <c r="Q13" s="2182"/>
      <c r="R13" s="2184"/>
      <c r="S13" s="2185"/>
      <c r="T13" s="419"/>
      <c r="U13" s="1547" t="s">
        <v>1823</v>
      </c>
      <c r="V13" s="1548"/>
      <c r="W13" s="2186"/>
      <c r="X13" s="2191"/>
      <c r="Y13" s="2186"/>
      <c r="Z13" s="2193"/>
      <c r="AA13" s="2186"/>
      <c r="AB13" s="2186"/>
      <c r="AC13" s="2186"/>
      <c r="AD13" s="2186"/>
      <c r="AE13" s="2186"/>
      <c r="AF13" s="2186"/>
      <c r="AG13" s="2186"/>
      <c r="AH13" s="2186"/>
      <c r="AI13" s="2186"/>
      <c r="AJ13" s="2186"/>
      <c r="AK13" s="2186"/>
      <c r="AL13" s="2186"/>
      <c r="AM13" s="2186"/>
      <c r="AN13" s="2186"/>
      <c r="AO13" s="2187"/>
      <c r="AP13" s="2187"/>
      <c r="AQ13" s="2188"/>
    </row>
    <row r="14" spans="1:63" s="1549" customFormat="1" ht="71.25" customHeight="1" x14ac:dyDescent="0.2">
      <c r="A14" s="1543"/>
      <c r="B14" s="1544"/>
      <c r="C14" s="1544"/>
      <c r="D14" s="1545"/>
      <c r="E14" s="1193"/>
      <c r="F14" s="1193"/>
      <c r="G14" s="1544"/>
      <c r="H14" s="1544"/>
      <c r="I14" s="1544"/>
      <c r="J14" s="2065"/>
      <c r="K14" s="2049"/>
      <c r="L14" s="2049"/>
      <c r="M14" s="2065"/>
      <c r="N14" s="2049"/>
      <c r="O14" s="2049"/>
      <c r="P14" s="2049"/>
      <c r="Q14" s="2182"/>
      <c r="R14" s="2184"/>
      <c r="S14" s="2185"/>
      <c r="T14" s="419"/>
      <c r="U14" s="1547" t="s">
        <v>1824</v>
      </c>
      <c r="V14" s="1548">
        <v>4050000</v>
      </c>
      <c r="W14" s="2186"/>
      <c r="X14" s="2191"/>
      <c r="Y14" s="2186"/>
      <c r="Z14" s="2193"/>
      <c r="AA14" s="2186"/>
      <c r="AB14" s="2186"/>
      <c r="AC14" s="2186"/>
      <c r="AD14" s="2186"/>
      <c r="AE14" s="2186"/>
      <c r="AF14" s="2186"/>
      <c r="AG14" s="2186"/>
      <c r="AH14" s="2186"/>
      <c r="AI14" s="2186"/>
      <c r="AJ14" s="2186"/>
      <c r="AK14" s="2186"/>
      <c r="AL14" s="2186"/>
      <c r="AM14" s="2186"/>
      <c r="AN14" s="2186"/>
      <c r="AO14" s="2187"/>
      <c r="AP14" s="2187"/>
      <c r="AQ14" s="2188"/>
    </row>
    <row r="15" spans="1:63" s="1549" customFormat="1" ht="52.5" customHeight="1" x14ac:dyDescent="0.2">
      <c r="A15" s="1543"/>
      <c r="B15" s="1544"/>
      <c r="C15" s="1544"/>
      <c r="D15" s="1545"/>
      <c r="E15" s="1193"/>
      <c r="F15" s="1193"/>
      <c r="G15" s="1544"/>
      <c r="H15" s="1544"/>
      <c r="I15" s="1544"/>
      <c r="J15" s="2065"/>
      <c r="K15" s="2049"/>
      <c r="L15" s="2049"/>
      <c r="M15" s="2065"/>
      <c r="N15" s="2049"/>
      <c r="O15" s="2049"/>
      <c r="P15" s="2049"/>
      <c r="Q15" s="2182"/>
      <c r="R15" s="2184"/>
      <c r="S15" s="2185"/>
      <c r="T15" s="2049" t="s">
        <v>1825</v>
      </c>
      <c r="U15" s="1550" t="s">
        <v>1826</v>
      </c>
      <c r="V15" s="1548">
        <f>3000000-3000000</f>
        <v>0</v>
      </c>
      <c r="W15" s="2186"/>
      <c r="X15" s="2191"/>
      <c r="Y15" s="2186"/>
      <c r="Z15" s="2193"/>
      <c r="AA15" s="2186"/>
      <c r="AB15" s="2186"/>
      <c r="AC15" s="2186"/>
      <c r="AD15" s="2186"/>
      <c r="AE15" s="2186"/>
      <c r="AF15" s="2186"/>
      <c r="AG15" s="2186"/>
      <c r="AH15" s="2186"/>
      <c r="AI15" s="2186"/>
      <c r="AJ15" s="2186"/>
      <c r="AK15" s="2186"/>
      <c r="AL15" s="2186"/>
      <c r="AM15" s="2186"/>
      <c r="AN15" s="2186"/>
      <c r="AO15" s="2187"/>
      <c r="AP15" s="2187"/>
      <c r="AQ15" s="2188"/>
    </row>
    <row r="16" spans="1:63" s="1549" customFormat="1" ht="69.75" customHeight="1" x14ac:dyDescent="0.2">
      <c r="A16" s="1543"/>
      <c r="B16" s="1544"/>
      <c r="C16" s="1544"/>
      <c r="D16" s="1545"/>
      <c r="E16" s="1193"/>
      <c r="F16" s="1193"/>
      <c r="G16" s="1544"/>
      <c r="H16" s="1544"/>
      <c r="I16" s="1544"/>
      <c r="J16" s="2065"/>
      <c r="K16" s="2049"/>
      <c r="L16" s="2049"/>
      <c r="M16" s="2065"/>
      <c r="N16" s="2049"/>
      <c r="O16" s="2049"/>
      <c r="P16" s="2049"/>
      <c r="Q16" s="2182"/>
      <c r="R16" s="2184"/>
      <c r="S16" s="2185"/>
      <c r="T16" s="2049"/>
      <c r="U16" s="1550" t="s">
        <v>1827</v>
      </c>
      <c r="V16" s="1548">
        <f>1050000-1050000</f>
        <v>0</v>
      </c>
      <c r="W16" s="2186"/>
      <c r="X16" s="2191"/>
      <c r="Y16" s="2186"/>
      <c r="Z16" s="2193"/>
      <c r="AA16" s="2186"/>
      <c r="AB16" s="2186"/>
      <c r="AC16" s="2186"/>
      <c r="AD16" s="2186"/>
      <c r="AE16" s="2186"/>
      <c r="AF16" s="2186"/>
      <c r="AG16" s="2186"/>
      <c r="AH16" s="2186"/>
      <c r="AI16" s="2186"/>
      <c r="AJ16" s="2186"/>
      <c r="AK16" s="2186"/>
      <c r="AL16" s="2186"/>
      <c r="AM16" s="2186"/>
      <c r="AN16" s="2186"/>
      <c r="AO16" s="2187"/>
      <c r="AP16" s="2187"/>
      <c r="AQ16" s="2188"/>
    </row>
    <row r="17" spans="1:43" s="1549" customFormat="1" ht="57" customHeight="1" x14ac:dyDescent="0.2">
      <c r="A17" s="1543"/>
      <c r="B17" s="1544"/>
      <c r="C17" s="1544"/>
      <c r="D17" s="1545"/>
      <c r="E17" s="1193"/>
      <c r="F17" s="1193"/>
      <c r="G17" s="1544"/>
      <c r="H17" s="1544"/>
      <c r="I17" s="1544"/>
      <c r="J17" s="2065"/>
      <c r="K17" s="2049"/>
      <c r="L17" s="2049"/>
      <c r="M17" s="2065"/>
      <c r="N17" s="2049"/>
      <c r="O17" s="2049"/>
      <c r="P17" s="2049"/>
      <c r="Q17" s="2182"/>
      <c r="R17" s="2184"/>
      <c r="S17" s="2185"/>
      <c r="T17" s="2049"/>
      <c r="U17" s="1550" t="s">
        <v>1828</v>
      </c>
      <c r="V17" s="1548">
        <v>4500000</v>
      </c>
      <c r="W17" s="2186"/>
      <c r="X17" s="2191"/>
      <c r="Y17" s="2186"/>
      <c r="Z17" s="2193"/>
      <c r="AA17" s="2186"/>
      <c r="AB17" s="2186"/>
      <c r="AC17" s="2186"/>
      <c r="AD17" s="2186"/>
      <c r="AE17" s="2186"/>
      <c r="AF17" s="2186"/>
      <c r="AG17" s="2186"/>
      <c r="AH17" s="2186"/>
      <c r="AI17" s="2186"/>
      <c r="AJ17" s="2186"/>
      <c r="AK17" s="2186"/>
      <c r="AL17" s="2186"/>
      <c r="AM17" s="2186"/>
      <c r="AN17" s="2186"/>
      <c r="AO17" s="2187"/>
      <c r="AP17" s="2187"/>
      <c r="AQ17" s="2188"/>
    </row>
    <row r="18" spans="1:43" s="1549" customFormat="1" ht="151.5" customHeight="1" x14ac:dyDescent="0.2">
      <c r="A18" s="1543"/>
      <c r="B18" s="1544"/>
      <c r="C18" s="1544"/>
      <c r="D18" s="1545"/>
      <c r="E18" s="1193"/>
      <c r="F18" s="1193"/>
      <c r="G18" s="1544"/>
      <c r="H18" s="1544"/>
      <c r="I18" s="1544"/>
      <c r="J18" s="2065"/>
      <c r="K18" s="2049"/>
      <c r="L18" s="2049"/>
      <c r="M18" s="2065"/>
      <c r="N18" s="2049"/>
      <c r="O18" s="2049"/>
      <c r="P18" s="2049"/>
      <c r="Q18" s="2182"/>
      <c r="R18" s="2184"/>
      <c r="S18" s="2185"/>
      <c r="T18" s="2049"/>
      <c r="U18" s="1551" t="s">
        <v>1829</v>
      </c>
      <c r="V18" s="1548">
        <f t="shared" ref="V18:V32" si="0">300000-300000</f>
        <v>0</v>
      </c>
      <c r="W18" s="2186"/>
      <c r="X18" s="2191"/>
      <c r="Y18" s="2186"/>
      <c r="Z18" s="2193"/>
      <c r="AA18" s="2186"/>
      <c r="AB18" s="2186"/>
      <c r="AC18" s="2186"/>
      <c r="AD18" s="2186"/>
      <c r="AE18" s="2186"/>
      <c r="AF18" s="2186"/>
      <c r="AG18" s="2186"/>
      <c r="AH18" s="2186"/>
      <c r="AI18" s="2186"/>
      <c r="AJ18" s="2186"/>
      <c r="AK18" s="2186"/>
      <c r="AL18" s="2186"/>
      <c r="AM18" s="2186"/>
      <c r="AN18" s="2186"/>
      <c r="AO18" s="2187"/>
      <c r="AP18" s="2187"/>
      <c r="AQ18" s="2188"/>
    </row>
    <row r="19" spans="1:43" s="1549" customFormat="1" ht="84" customHeight="1" x14ac:dyDescent="0.2">
      <c r="A19" s="1543"/>
      <c r="B19" s="1544"/>
      <c r="C19" s="1544"/>
      <c r="D19" s="1545"/>
      <c r="E19" s="1193"/>
      <c r="F19" s="1193"/>
      <c r="G19" s="1544"/>
      <c r="H19" s="1544"/>
      <c r="I19" s="1544"/>
      <c r="J19" s="2065"/>
      <c r="K19" s="2049"/>
      <c r="L19" s="2049"/>
      <c r="M19" s="2065"/>
      <c r="N19" s="2049"/>
      <c r="O19" s="2049"/>
      <c r="P19" s="2049"/>
      <c r="Q19" s="2182"/>
      <c r="R19" s="2184"/>
      <c r="S19" s="2185"/>
      <c r="T19" s="2049"/>
      <c r="U19" s="1552" t="s">
        <v>1830</v>
      </c>
      <c r="V19" s="1548">
        <f t="shared" si="0"/>
        <v>0</v>
      </c>
      <c r="W19" s="2186"/>
      <c r="X19" s="2191"/>
      <c r="Y19" s="2186"/>
      <c r="Z19" s="2193"/>
      <c r="AA19" s="2186"/>
      <c r="AB19" s="2186"/>
      <c r="AC19" s="2186"/>
      <c r="AD19" s="2186"/>
      <c r="AE19" s="2186"/>
      <c r="AF19" s="2186"/>
      <c r="AG19" s="2186"/>
      <c r="AH19" s="2186"/>
      <c r="AI19" s="2186"/>
      <c r="AJ19" s="2186"/>
      <c r="AK19" s="2186"/>
      <c r="AL19" s="2186"/>
      <c r="AM19" s="2186"/>
      <c r="AN19" s="2186"/>
      <c r="AO19" s="2187"/>
      <c r="AP19" s="2187"/>
      <c r="AQ19" s="2188"/>
    </row>
    <row r="20" spans="1:43" s="1549" customFormat="1" ht="198" customHeight="1" x14ac:dyDescent="0.2">
      <c r="A20" s="1543"/>
      <c r="B20" s="1544"/>
      <c r="C20" s="1544"/>
      <c r="D20" s="1545"/>
      <c r="E20" s="1193"/>
      <c r="F20" s="1193"/>
      <c r="G20" s="1544"/>
      <c r="H20" s="1544"/>
      <c r="I20" s="1544"/>
      <c r="J20" s="2065"/>
      <c r="K20" s="2049"/>
      <c r="L20" s="2049"/>
      <c r="M20" s="2065"/>
      <c r="N20" s="2049"/>
      <c r="O20" s="2049"/>
      <c r="P20" s="2049"/>
      <c r="Q20" s="2182"/>
      <c r="R20" s="2184"/>
      <c r="S20" s="2185"/>
      <c r="T20" s="2049"/>
      <c r="U20" s="1552" t="s">
        <v>1831</v>
      </c>
      <c r="V20" s="1548">
        <f t="shared" si="0"/>
        <v>0</v>
      </c>
      <c r="W20" s="2186"/>
      <c r="X20" s="2191"/>
      <c r="Y20" s="2186"/>
      <c r="Z20" s="2193"/>
      <c r="AA20" s="2186"/>
      <c r="AB20" s="2186"/>
      <c r="AC20" s="2186"/>
      <c r="AD20" s="2186"/>
      <c r="AE20" s="2186"/>
      <c r="AF20" s="2186"/>
      <c r="AG20" s="2186"/>
      <c r="AH20" s="2186"/>
      <c r="AI20" s="2186"/>
      <c r="AJ20" s="2186"/>
      <c r="AK20" s="2186"/>
      <c r="AL20" s="2186"/>
      <c r="AM20" s="2186"/>
      <c r="AN20" s="2186"/>
      <c r="AO20" s="2187"/>
      <c r="AP20" s="2187"/>
      <c r="AQ20" s="2188"/>
    </row>
    <row r="21" spans="1:43" s="1549" customFormat="1" ht="38.25" customHeight="1" x14ac:dyDescent="0.2">
      <c r="A21" s="1543"/>
      <c r="B21" s="1544"/>
      <c r="C21" s="1544"/>
      <c r="D21" s="1545"/>
      <c r="E21" s="1193"/>
      <c r="F21" s="1193"/>
      <c r="G21" s="1544"/>
      <c r="H21" s="1544"/>
      <c r="I21" s="1544"/>
      <c r="J21" s="2065"/>
      <c r="K21" s="2049"/>
      <c r="L21" s="2049"/>
      <c r="M21" s="2065"/>
      <c r="N21" s="2049"/>
      <c r="O21" s="2049"/>
      <c r="P21" s="2049"/>
      <c r="Q21" s="2182"/>
      <c r="R21" s="2184"/>
      <c r="S21" s="2185"/>
      <c r="T21" s="2049"/>
      <c r="U21" s="1551" t="s">
        <v>1832</v>
      </c>
      <c r="V21" s="1548">
        <f t="shared" si="0"/>
        <v>0</v>
      </c>
      <c r="W21" s="2186"/>
      <c r="X21" s="2191"/>
      <c r="Y21" s="2186"/>
      <c r="Z21" s="2193"/>
      <c r="AA21" s="2186"/>
      <c r="AB21" s="2186"/>
      <c r="AC21" s="2186"/>
      <c r="AD21" s="2186"/>
      <c r="AE21" s="2186"/>
      <c r="AF21" s="2186"/>
      <c r="AG21" s="2186"/>
      <c r="AH21" s="2186"/>
      <c r="AI21" s="2186"/>
      <c r="AJ21" s="2186"/>
      <c r="AK21" s="2186"/>
      <c r="AL21" s="2186"/>
      <c r="AM21" s="2186"/>
      <c r="AN21" s="2186"/>
      <c r="AO21" s="2187"/>
      <c r="AP21" s="2187"/>
      <c r="AQ21" s="2188"/>
    </row>
    <row r="22" spans="1:43" s="1549" customFormat="1" ht="22.5" customHeight="1" x14ac:dyDescent="0.2">
      <c r="A22" s="1543"/>
      <c r="B22" s="1544"/>
      <c r="C22" s="1544"/>
      <c r="D22" s="1545"/>
      <c r="E22" s="1193"/>
      <c r="F22" s="1193"/>
      <c r="G22" s="1544"/>
      <c r="H22" s="1544"/>
      <c r="I22" s="1544"/>
      <c r="J22" s="2065"/>
      <c r="K22" s="2049"/>
      <c r="L22" s="2049"/>
      <c r="M22" s="2065"/>
      <c r="N22" s="2049"/>
      <c r="O22" s="2049"/>
      <c r="P22" s="2049"/>
      <c r="Q22" s="2182"/>
      <c r="R22" s="2184"/>
      <c r="S22" s="2185"/>
      <c r="T22" s="2049"/>
      <c r="U22" s="1551" t="s">
        <v>1833</v>
      </c>
      <c r="V22" s="1548">
        <f t="shared" si="0"/>
        <v>0</v>
      </c>
      <c r="W22" s="2186"/>
      <c r="X22" s="2191"/>
      <c r="Y22" s="2186"/>
      <c r="Z22" s="2193"/>
      <c r="AA22" s="2186"/>
      <c r="AB22" s="2186"/>
      <c r="AC22" s="2186"/>
      <c r="AD22" s="2186"/>
      <c r="AE22" s="2186"/>
      <c r="AF22" s="2186"/>
      <c r="AG22" s="2186"/>
      <c r="AH22" s="2186"/>
      <c r="AI22" s="2186"/>
      <c r="AJ22" s="2186"/>
      <c r="AK22" s="2186"/>
      <c r="AL22" s="2186"/>
      <c r="AM22" s="2186"/>
      <c r="AN22" s="2186"/>
      <c r="AO22" s="2187"/>
      <c r="AP22" s="2187"/>
      <c r="AQ22" s="2188"/>
    </row>
    <row r="23" spans="1:43" s="1549" customFormat="1" ht="33.75" customHeight="1" x14ac:dyDescent="0.2">
      <c r="A23" s="1543"/>
      <c r="B23" s="1544"/>
      <c r="C23" s="1544"/>
      <c r="D23" s="1545"/>
      <c r="E23" s="1193"/>
      <c r="F23" s="1193"/>
      <c r="G23" s="1544"/>
      <c r="H23" s="1544"/>
      <c r="I23" s="1544"/>
      <c r="J23" s="2065"/>
      <c r="K23" s="2049"/>
      <c r="L23" s="2049"/>
      <c r="M23" s="2065"/>
      <c r="N23" s="2049"/>
      <c r="O23" s="2049"/>
      <c r="P23" s="2049"/>
      <c r="Q23" s="2182"/>
      <c r="R23" s="2184"/>
      <c r="S23" s="2185"/>
      <c r="T23" s="2049"/>
      <c r="U23" s="1551" t="s">
        <v>1834</v>
      </c>
      <c r="V23" s="1548">
        <f t="shared" si="0"/>
        <v>0</v>
      </c>
      <c r="W23" s="2186"/>
      <c r="X23" s="2191"/>
      <c r="Y23" s="2186"/>
      <c r="Z23" s="2193"/>
      <c r="AA23" s="2186"/>
      <c r="AB23" s="2186"/>
      <c r="AC23" s="2186"/>
      <c r="AD23" s="2186"/>
      <c r="AE23" s="2186"/>
      <c r="AF23" s="2186"/>
      <c r="AG23" s="2186"/>
      <c r="AH23" s="2186"/>
      <c r="AI23" s="2186"/>
      <c r="AJ23" s="2186"/>
      <c r="AK23" s="2186"/>
      <c r="AL23" s="2186"/>
      <c r="AM23" s="2186"/>
      <c r="AN23" s="2186"/>
      <c r="AO23" s="2187"/>
      <c r="AP23" s="2187"/>
      <c r="AQ23" s="2188"/>
    </row>
    <row r="24" spans="1:43" s="1549" customFormat="1" ht="45" customHeight="1" x14ac:dyDescent="0.2">
      <c r="A24" s="1543"/>
      <c r="B24" s="1544"/>
      <c r="C24" s="1544"/>
      <c r="D24" s="1545"/>
      <c r="E24" s="1193"/>
      <c r="F24" s="1193"/>
      <c r="G24" s="1544"/>
      <c r="H24" s="1544"/>
      <c r="I24" s="1544"/>
      <c r="J24" s="2065"/>
      <c r="K24" s="2049"/>
      <c r="L24" s="2049"/>
      <c r="M24" s="2065"/>
      <c r="N24" s="2049"/>
      <c r="O24" s="2049"/>
      <c r="P24" s="2049"/>
      <c r="Q24" s="2182"/>
      <c r="R24" s="2184"/>
      <c r="S24" s="2185"/>
      <c r="T24" s="2049"/>
      <c r="U24" s="1551" t="s">
        <v>1835</v>
      </c>
      <c r="V24" s="1548">
        <f t="shared" si="0"/>
        <v>0</v>
      </c>
      <c r="W24" s="2186"/>
      <c r="X24" s="2191"/>
      <c r="Y24" s="2186"/>
      <c r="Z24" s="2193"/>
      <c r="AA24" s="2186"/>
      <c r="AB24" s="2186"/>
      <c r="AC24" s="2186"/>
      <c r="AD24" s="2186"/>
      <c r="AE24" s="2186"/>
      <c r="AF24" s="2186"/>
      <c r="AG24" s="2186"/>
      <c r="AH24" s="2186"/>
      <c r="AI24" s="2186"/>
      <c r="AJ24" s="2186"/>
      <c r="AK24" s="2186"/>
      <c r="AL24" s="2186"/>
      <c r="AM24" s="2186"/>
      <c r="AN24" s="2186"/>
      <c r="AO24" s="2187"/>
      <c r="AP24" s="2187"/>
      <c r="AQ24" s="2188"/>
    </row>
    <row r="25" spans="1:43" s="1549" customFormat="1" ht="123" customHeight="1" x14ac:dyDescent="0.2">
      <c r="A25" s="1543"/>
      <c r="B25" s="1544"/>
      <c r="C25" s="1544"/>
      <c r="D25" s="1545"/>
      <c r="E25" s="1193"/>
      <c r="F25" s="1193"/>
      <c r="G25" s="1544"/>
      <c r="H25" s="1544"/>
      <c r="I25" s="1544"/>
      <c r="J25" s="2065"/>
      <c r="K25" s="2049"/>
      <c r="L25" s="2049"/>
      <c r="M25" s="2065"/>
      <c r="N25" s="2049"/>
      <c r="O25" s="2049"/>
      <c r="P25" s="2049"/>
      <c r="Q25" s="2182"/>
      <c r="R25" s="2184"/>
      <c r="S25" s="2185"/>
      <c r="T25" s="2049"/>
      <c r="U25" s="1553" t="s">
        <v>1836</v>
      </c>
      <c r="V25" s="1548">
        <f t="shared" si="0"/>
        <v>0</v>
      </c>
      <c r="W25" s="2186"/>
      <c r="X25" s="2191"/>
      <c r="Y25" s="2186"/>
      <c r="Z25" s="2193"/>
      <c r="AA25" s="2186"/>
      <c r="AB25" s="2186"/>
      <c r="AC25" s="2186"/>
      <c r="AD25" s="2186"/>
      <c r="AE25" s="2186"/>
      <c r="AF25" s="2186"/>
      <c r="AG25" s="2186"/>
      <c r="AH25" s="2186"/>
      <c r="AI25" s="2186"/>
      <c r="AJ25" s="2186"/>
      <c r="AK25" s="2186"/>
      <c r="AL25" s="2186"/>
      <c r="AM25" s="2186"/>
      <c r="AN25" s="2186"/>
      <c r="AO25" s="2187"/>
      <c r="AP25" s="2187"/>
      <c r="AQ25" s="2188"/>
    </row>
    <row r="26" spans="1:43" s="1549" customFormat="1" ht="33" customHeight="1" x14ac:dyDescent="0.2">
      <c r="A26" s="1543"/>
      <c r="B26" s="1544"/>
      <c r="C26" s="1544"/>
      <c r="D26" s="1545"/>
      <c r="E26" s="1193"/>
      <c r="F26" s="1193"/>
      <c r="G26" s="1544"/>
      <c r="H26" s="1544"/>
      <c r="I26" s="1544"/>
      <c r="J26" s="2065"/>
      <c r="K26" s="2049"/>
      <c r="L26" s="2049"/>
      <c r="M26" s="2065"/>
      <c r="N26" s="2049"/>
      <c r="O26" s="2049"/>
      <c r="P26" s="2049"/>
      <c r="Q26" s="2182"/>
      <c r="R26" s="2184"/>
      <c r="S26" s="2185"/>
      <c r="T26" s="2049"/>
      <c r="U26" s="1553" t="s">
        <v>1837</v>
      </c>
      <c r="V26" s="1548">
        <f t="shared" si="0"/>
        <v>0</v>
      </c>
      <c r="W26" s="2186"/>
      <c r="X26" s="2191"/>
      <c r="Y26" s="2186"/>
      <c r="Z26" s="2193"/>
      <c r="AA26" s="2186"/>
      <c r="AB26" s="2186"/>
      <c r="AC26" s="2186"/>
      <c r="AD26" s="2186"/>
      <c r="AE26" s="2186"/>
      <c r="AF26" s="2186"/>
      <c r="AG26" s="2186"/>
      <c r="AH26" s="2186"/>
      <c r="AI26" s="2186"/>
      <c r="AJ26" s="2186"/>
      <c r="AK26" s="2186"/>
      <c r="AL26" s="2186"/>
      <c r="AM26" s="2186"/>
      <c r="AN26" s="2186"/>
      <c r="AO26" s="2187"/>
      <c r="AP26" s="2187"/>
      <c r="AQ26" s="2188"/>
    </row>
    <row r="27" spans="1:43" s="1549" customFormat="1" ht="21" customHeight="1" x14ac:dyDescent="0.2">
      <c r="A27" s="1543"/>
      <c r="B27" s="1544"/>
      <c r="C27" s="1544"/>
      <c r="D27" s="1545"/>
      <c r="E27" s="1193"/>
      <c r="F27" s="1193"/>
      <c r="G27" s="1544"/>
      <c r="H27" s="1544"/>
      <c r="I27" s="1544"/>
      <c r="J27" s="2065"/>
      <c r="K27" s="2049"/>
      <c r="L27" s="2049"/>
      <c r="M27" s="2065"/>
      <c r="N27" s="2049"/>
      <c r="O27" s="2049"/>
      <c r="P27" s="2049"/>
      <c r="Q27" s="2182"/>
      <c r="R27" s="2184"/>
      <c r="S27" s="2185"/>
      <c r="T27" s="2049"/>
      <c r="U27" s="1553" t="s">
        <v>1838</v>
      </c>
      <c r="V27" s="1548">
        <f t="shared" si="0"/>
        <v>0</v>
      </c>
      <c r="W27" s="2186"/>
      <c r="X27" s="2191"/>
      <c r="Y27" s="2186"/>
      <c r="Z27" s="2193"/>
      <c r="AA27" s="2186"/>
      <c r="AB27" s="2186"/>
      <c r="AC27" s="2186"/>
      <c r="AD27" s="2186"/>
      <c r="AE27" s="2186"/>
      <c r="AF27" s="2186"/>
      <c r="AG27" s="2186"/>
      <c r="AH27" s="2186"/>
      <c r="AI27" s="2186"/>
      <c r="AJ27" s="2186"/>
      <c r="AK27" s="2186"/>
      <c r="AL27" s="2186"/>
      <c r="AM27" s="2186"/>
      <c r="AN27" s="2186"/>
      <c r="AO27" s="2187"/>
      <c r="AP27" s="2187"/>
      <c r="AQ27" s="2188"/>
    </row>
    <row r="28" spans="1:43" s="1549" customFormat="1" ht="24.75" customHeight="1" x14ac:dyDescent="0.2">
      <c r="A28" s="1543"/>
      <c r="B28" s="1544"/>
      <c r="C28" s="1544"/>
      <c r="D28" s="1545"/>
      <c r="E28" s="1193"/>
      <c r="F28" s="1193"/>
      <c r="G28" s="1544"/>
      <c r="H28" s="1544"/>
      <c r="I28" s="1544"/>
      <c r="J28" s="2065"/>
      <c r="K28" s="2049"/>
      <c r="L28" s="2049"/>
      <c r="M28" s="2065"/>
      <c r="N28" s="2049"/>
      <c r="O28" s="2049"/>
      <c r="P28" s="2049"/>
      <c r="Q28" s="2182"/>
      <c r="R28" s="2184"/>
      <c r="S28" s="2185"/>
      <c r="T28" s="2049"/>
      <c r="U28" s="1553" t="s">
        <v>1839</v>
      </c>
      <c r="V28" s="1548">
        <f t="shared" si="0"/>
        <v>0</v>
      </c>
      <c r="W28" s="2186"/>
      <c r="X28" s="2191"/>
      <c r="Y28" s="2186"/>
      <c r="Z28" s="2193"/>
      <c r="AA28" s="2186"/>
      <c r="AB28" s="2186"/>
      <c r="AC28" s="2186"/>
      <c r="AD28" s="2186"/>
      <c r="AE28" s="2186"/>
      <c r="AF28" s="2186"/>
      <c r="AG28" s="2186"/>
      <c r="AH28" s="2186"/>
      <c r="AI28" s="2186"/>
      <c r="AJ28" s="2186"/>
      <c r="AK28" s="2186"/>
      <c r="AL28" s="2186"/>
      <c r="AM28" s="2186"/>
      <c r="AN28" s="2186"/>
      <c r="AO28" s="2187"/>
      <c r="AP28" s="2187"/>
      <c r="AQ28" s="2188"/>
    </row>
    <row r="29" spans="1:43" s="1549" customFormat="1" ht="45" customHeight="1" x14ac:dyDescent="0.2">
      <c r="A29" s="1543"/>
      <c r="B29" s="1544"/>
      <c r="C29" s="1544"/>
      <c r="D29" s="1545"/>
      <c r="E29" s="1193"/>
      <c r="F29" s="1193"/>
      <c r="G29" s="1544"/>
      <c r="H29" s="1544"/>
      <c r="I29" s="1544"/>
      <c r="J29" s="2065"/>
      <c r="K29" s="2049"/>
      <c r="L29" s="2049"/>
      <c r="M29" s="2065"/>
      <c r="N29" s="2049"/>
      <c r="O29" s="2049"/>
      <c r="P29" s="2049"/>
      <c r="Q29" s="2182"/>
      <c r="R29" s="2184"/>
      <c r="S29" s="2185"/>
      <c r="T29" s="2049"/>
      <c r="U29" s="1553" t="s">
        <v>1840</v>
      </c>
      <c r="V29" s="1548">
        <f t="shared" si="0"/>
        <v>0</v>
      </c>
      <c r="W29" s="2186"/>
      <c r="X29" s="2191"/>
      <c r="Y29" s="2186"/>
      <c r="Z29" s="2193"/>
      <c r="AA29" s="2186"/>
      <c r="AB29" s="2186"/>
      <c r="AC29" s="2186"/>
      <c r="AD29" s="2186"/>
      <c r="AE29" s="2186"/>
      <c r="AF29" s="2186"/>
      <c r="AG29" s="2186"/>
      <c r="AH29" s="2186"/>
      <c r="AI29" s="2186"/>
      <c r="AJ29" s="2186"/>
      <c r="AK29" s="2186"/>
      <c r="AL29" s="2186"/>
      <c r="AM29" s="2186"/>
      <c r="AN29" s="2186"/>
      <c r="AO29" s="2187"/>
      <c r="AP29" s="2187"/>
      <c r="AQ29" s="2188"/>
    </row>
    <row r="30" spans="1:43" s="1549" customFormat="1" ht="21.75" customHeight="1" x14ac:dyDescent="0.2">
      <c r="A30" s="1543"/>
      <c r="B30" s="1544"/>
      <c r="C30" s="1544"/>
      <c r="D30" s="1545"/>
      <c r="E30" s="1193"/>
      <c r="F30" s="1193"/>
      <c r="G30" s="1544"/>
      <c r="H30" s="1544"/>
      <c r="I30" s="1544"/>
      <c r="J30" s="2065"/>
      <c r="K30" s="2049"/>
      <c r="L30" s="2049"/>
      <c r="M30" s="2065"/>
      <c r="N30" s="2049"/>
      <c r="O30" s="2049"/>
      <c r="P30" s="2049"/>
      <c r="Q30" s="2182"/>
      <c r="R30" s="2184"/>
      <c r="S30" s="2185"/>
      <c r="T30" s="2049"/>
      <c r="U30" s="1553" t="s">
        <v>1841</v>
      </c>
      <c r="V30" s="1548">
        <f t="shared" si="0"/>
        <v>0</v>
      </c>
      <c r="W30" s="2186"/>
      <c r="X30" s="2191"/>
      <c r="Y30" s="2186"/>
      <c r="Z30" s="2193"/>
      <c r="AA30" s="2186"/>
      <c r="AB30" s="2186"/>
      <c r="AC30" s="2186"/>
      <c r="AD30" s="2186"/>
      <c r="AE30" s="2186"/>
      <c r="AF30" s="2186"/>
      <c r="AG30" s="2186"/>
      <c r="AH30" s="2186"/>
      <c r="AI30" s="2186"/>
      <c r="AJ30" s="2186"/>
      <c r="AK30" s="2186"/>
      <c r="AL30" s="2186"/>
      <c r="AM30" s="2186"/>
      <c r="AN30" s="2186"/>
      <c r="AO30" s="2187"/>
      <c r="AP30" s="2187"/>
      <c r="AQ30" s="2188"/>
    </row>
    <row r="31" spans="1:43" s="1549" customFormat="1" ht="42" customHeight="1" x14ac:dyDescent="0.2">
      <c r="A31" s="1543"/>
      <c r="B31" s="1544"/>
      <c r="C31" s="1544"/>
      <c r="D31" s="1545"/>
      <c r="E31" s="1193"/>
      <c r="F31" s="1193"/>
      <c r="G31" s="1544"/>
      <c r="H31" s="1544"/>
      <c r="I31" s="1544"/>
      <c r="J31" s="2065"/>
      <c r="K31" s="2049"/>
      <c r="L31" s="2049"/>
      <c r="M31" s="2065"/>
      <c r="N31" s="2049"/>
      <c r="O31" s="2049"/>
      <c r="P31" s="2049"/>
      <c r="Q31" s="2182"/>
      <c r="R31" s="2184"/>
      <c r="S31" s="2185"/>
      <c r="T31" s="2049"/>
      <c r="U31" s="1553" t="s">
        <v>1842</v>
      </c>
      <c r="V31" s="1548">
        <f t="shared" si="0"/>
        <v>0</v>
      </c>
      <c r="W31" s="2186"/>
      <c r="X31" s="2191"/>
      <c r="Y31" s="2186"/>
      <c r="Z31" s="2193"/>
      <c r="AA31" s="2186"/>
      <c r="AB31" s="2186"/>
      <c r="AC31" s="2186"/>
      <c r="AD31" s="2186"/>
      <c r="AE31" s="2186"/>
      <c r="AF31" s="2186"/>
      <c r="AG31" s="2186"/>
      <c r="AH31" s="2186"/>
      <c r="AI31" s="2186"/>
      <c r="AJ31" s="2186"/>
      <c r="AK31" s="2186"/>
      <c r="AL31" s="2186"/>
      <c r="AM31" s="2186"/>
      <c r="AN31" s="2186"/>
      <c r="AO31" s="2187"/>
      <c r="AP31" s="2187"/>
      <c r="AQ31" s="2188"/>
    </row>
    <row r="32" spans="1:43" s="1549" customFormat="1" ht="61.5" customHeight="1" x14ac:dyDescent="0.2">
      <c r="A32" s="1543"/>
      <c r="B32" s="1544"/>
      <c r="C32" s="1544"/>
      <c r="D32" s="1545"/>
      <c r="E32" s="1193"/>
      <c r="F32" s="1193"/>
      <c r="G32" s="1544"/>
      <c r="H32" s="1544"/>
      <c r="I32" s="1544"/>
      <c r="J32" s="2065"/>
      <c r="K32" s="2049"/>
      <c r="L32" s="2049"/>
      <c r="M32" s="2065"/>
      <c r="N32" s="2049"/>
      <c r="O32" s="2049"/>
      <c r="P32" s="2049"/>
      <c r="Q32" s="2182"/>
      <c r="R32" s="2184"/>
      <c r="S32" s="2185"/>
      <c r="T32" s="2049"/>
      <c r="U32" s="1553" t="s">
        <v>1843</v>
      </c>
      <c r="V32" s="1548">
        <f t="shared" si="0"/>
        <v>0</v>
      </c>
      <c r="W32" s="2186"/>
      <c r="X32" s="2191"/>
      <c r="Y32" s="2186"/>
      <c r="Z32" s="2193"/>
      <c r="AA32" s="2186"/>
      <c r="AB32" s="2186"/>
      <c r="AC32" s="2186"/>
      <c r="AD32" s="2186"/>
      <c r="AE32" s="2186"/>
      <c r="AF32" s="2186"/>
      <c r="AG32" s="2186"/>
      <c r="AH32" s="2186"/>
      <c r="AI32" s="2186"/>
      <c r="AJ32" s="2186"/>
      <c r="AK32" s="2186"/>
      <c r="AL32" s="2186"/>
      <c r="AM32" s="2186"/>
      <c r="AN32" s="2186"/>
      <c r="AO32" s="2187"/>
      <c r="AP32" s="2187"/>
      <c r="AQ32" s="2188"/>
    </row>
    <row r="33" spans="1:43" s="1549" customFormat="1" ht="36" customHeight="1" x14ac:dyDescent="0.2">
      <c r="A33" s="1543"/>
      <c r="B33" s="1544"/>
      <c r="C33" s="1544"/>
      <c r="D33" s="1545"/>
      <c r="E33" s="1193"/>
      <c r="F33" s="1193"/>
      <c r="G33" s="1544"/>
      <c r="H33" s="1544"/>
      <c r="I33" s="1544"/>
      <c r="J33" s="2065"/>
      <c r="K33" s="2049"/>
      <c r="L33" s="2049"/>
      <c r="M33" s="2065"/>
      <c r="N33" s="2049"/>
      <c r="O33" s="2049"/>
      <c r="P33" s="2049"/>
      <c r="Q33" s="2182"/>
      <c r="R33" s="2184"/>
      <c r="S33" s="2185"/>
      <c r="T33" s="2049"/>
      <c r="U33" s="1553" t="s">
        <v>1844</v>
      </c>
      <c r="V33" s="1548">
        <v>3840000</v>
      </c>
      <c r="W33" s="2186"/>
      <c r="X33" s="2191"/>
      <c r="Y33" s="2186"/>
      <c r="Z33" s="2193"/>
      <c r="AA33" s="2186"/>
      <c r="AB33" s="2186"/>
      <c r="AC33" s="2186"/>
      <c r="AD33" s="2186"/>
      <c r="AE33" s="2186"/>
      <c r="AF33" s="2186"/>
      <c r="AG33" s="2186"/>
      <c r="AH33" s="2186"/>
      <c r="AI33" s="2186"/>
      <c r="AJ33" s="2186"/>
      <c r="AK33" s="2186"/>
      <c r="AL33" s="2186"/>
      <c r="AM33" s="2186"/>
      <c r="AN33" s="2186"/>
      <c r="AO33" s="2187"/>
      <c r="AP33" s="2187"/>
      <c r="AQ33" s="2188"/>
    </row>
    <row r="34" spans="1:43" s="1549" customFormat="1" ht="61.5" customHeight="1" x14ac:dyDescent="0.2">
      <c r="A34" s="1543"/>
      <c r="B34" s="1544"/>
      <c r="C34" s="1544"/>
      <c r="D34" s="1545"/>
      <c r="E34" s="1193"/>
      <c r="F34" s="1193"/>
      <c r="G34" s="1544"/>
      <c r="H34" s="1544"/>
      <c r="I34" s="1544"/>
      <c r="J34" s="2065"/>
      <c r="K34" s="2049"/>
      <c r="L34" s="2049"/>
      <c r="M34" s="2065"/>
      <c r="N34" s="2049"/>
      <c r="O34" s="2049"/>
      <c r="P34" s="2049"/>
      <c r="Q34" s="2182"/>
      <c r="R34" s="2184"/>
      <c r="S34" s="2185"/>
      <c r="T34" s="2049"/>
      <c r="U34" s="1553" t="s">
        <v>1845</v>
      </c>
      <c r="V34" s="1548">
        <f>3840000-3840000</f>
        <v>0</v>
      </c>
      <c r="W34" s="2186"/>
      <c r="X34" s="2191"/>
      <c r="Y34" s="2186"/>
      <c r="Z34" s="2193"/>
      <c r="AA34" s="2186"/>
      <c r="AB34" s="2186"/>
      <c r="AC34" s="2186"/>
      <c r="AD34" s="2186"/>
      <c r="AE34" s="2186"/>
      <c r="AF34" s="2186"/>
      <c r="AG34" s="2186"/>
      <c r="AH34" s="2186"/>
      <c r="AI34" s="2186"/>
      <c r="AJ34" s="2186"/>
      <c r="AK34" s="2186"/>
      <c r="AL34" s="2186"/>
      <c r="AM34" s="2186"/>
      <c r="AN34" s="2186"/>
      <c r="AO34" s="2187"/>
      <c r="AP34" s="2187"/>
      <c r="AQ34" s="2188"/>
    </row>
    <row r="35" spans="1:43" s="1549" customFormat="1" ht="54.75" customHeight="1" x14ac:dyDescent="0.2">
      <c r="A35" s="1543"/>
      <c r="B35" s="1544"/>
      <c r="C35" s="1544"/>
      <c r="D35" s="1545"/>
      <c r="E35" s="1193"/>
      <c r="F35" s="1193"/>
      <c r="G35" s="1544"/>
      <c r="H35" s="1544"/>
      <c r="I35" s="1544"/>
      <c r="J35" s="2065"/>
      <c r="K35" s="2049"/>
      <c r="L35" s="2049"/>
      <c r="M35" s="2065"/>
      <c r="N35" s="2049"/>
      <c r="O35" s="2049"/>
      <c r="P35" s="2049"/>
      <c r="Q35" s="2182"/>
      <c r="R35" s="2184"/>
      <c r="S35" s="2185"/>
      <c r="T35" s="2049"/>
      <c r="U35" s="1553" t="s">
        <v>1846</v>
      </c>
      <c r="V35" s="1548">
        <v>3450000</v>
      </c>
      <c r="W35" s="2186"/>
      <c r="X35" s="2191"/>
      <c r="Y35" s="2186"/>
      <c r="Z35" s="2193"/>
      <c r="AA35" s="2186"/>
      <c r="AB35" s="2186"/>
      <c r="AC35" s="2186"/>
      <c r="AD35" s="2186"/>
      <c r="AE35" s="2186"/>
      <c r="AF35" s="2186"/>
      <c r="AG35" s="2186"/>
      <c r="AH35" s="2186"/>
      <c r="AI35" s="2186"/>
      <c r="AJ35" s="2186"/>
      <c r="AK35" s="2186"/>
      <c r="AL35" s="2186"/>
      <c r="AM35" s="2186"/>
      <c r="AN35" s="2186"/>
      <c r="AO35" s="2187"/>
      <c r="AP35" s="2187"/>
      <c r="AQ35" s="2188"/>
    </row>
    <row r="36" spans="1:43" s="1549" customFormat="1" ht="159" customHeight="1" x14ac:dyDescent="0.2">
      <c r="A36" s="1543"/>
      <c r="B36" s="1544"/>
      <c r="C36" s="1544"/>
      <c r="D36" s="1545"/>
      <c r="E36" s="1193"/>
      <c r="F36" s="1193"/>
      <c r="G36" s="1544"/>
      <c r="H36" s="1544"/>
      <c r="I36" s="1544"/>
      <c r="J36" s="2065"/>
      <c r="K36" s="2049"/>
      <c r="L36" s="2049"/>
      <c r="M36" s="2065"/>
      <c r="N36" s="2049"/>
      <c r="O36" s="2049"/>
      <c r="P36" s="2049"/>
      <c r="Q36" s="2182"/>
      <c r="R36" s="2184"/>
      <c r="S36" s="2185"/>
      <c r="T36" s="2049"/>
      <c r="U36" s="1551" t="s">
        <v>1847</v>
      </c>
      <c r="V36" s="1548">
        <f>2400000-2400000</f>
        <v>0</v>
      </c>
      <c r="W36" s="2186"/>
      <c r="X36" s="2191"/>
      <c r="Y36" s="2186"/>
      <c r="Z36" s="2193"/>
      <c r="AA36" s="2186"/>
      <c r="AB36" s="2186"/>
      <c r="AC36" s="2186"/>
      <c r="AD36" s="2186"/>
      <c r="AE36" s="2186"/>
      <c r="AF36" s="2186"/>
      <c r="AG36" s="2186"/>
      <c r="AH36" s="2186"/>
      <c r="AI36" s="2186"/>
      <c r="AJ36" s="2186"/>
      <c r="AK36" s="2186"/>
      <c r="AL36" s="2186"/>
      <c r="AM36" s="2186"/>
      <c r="AN36" s="2186"/>
      <c r="AO36" s="2187"/>
      <c r="AP36" s="2187"/>
      <c r="AQ36" s="2188"/>
    </row>
    <row r="37" spans="1:43" s="1549" customFormat="1" ht="32.25" customHeight="1" x14ac:dyDescent="0.2">
      <c r="A37" s="1543"/>
      <c r="B37" s="1544"/>
      <c r="C37" s="1544"/>
      <c r="D37" s="1545"/>
      <c r="E37" s="1193"/>
      <c r="F37" s="1193"/>
      <c r="G37" s="1544"/>
      <c r="H37" s="1544"/>
      <c r="I37" s="1544"/>
      <c r="J37" s="2065"/>
      <c r="K37" s="2049"/>
      <c r="L37" s="2049"/>
      <c r="M37" s="2065"/>
      <c r="N37" s="2049"/>
      <c r="O37" s="2049"/>
      <c r="P37" s="2049"/>
      <c r="Q37" s="2182"/>
      <c r="R37" s="2184"/>
      <c r="S37" s="2185"/>
      <c r="T37" s="2049"/>
      <c r="U37" s="1551" t="s">
        <v>1848</v>
      </c>
      <c r="V37" s="1548">
        <f>1050000-1050000</f>
        <v>0</v>
      </c>
      <c r="W37" s="2186"/>
      <c r="X37" s="2191"/>
      <c r="Y37" s="2186"/>
      <c r="Z37" s="2193"/>
      <c r="AA37" s="2186"/>
      <c r="AB37" s="2186"/>
      <c r="AC37" s="2186"/>
      <c r="AD37" s="2186"/>
      <c r="AE37" s="2186"/>
      <c r="AF37" s="2186"/>
      <c r="AG37" s="2186"/>
      <c r="AH37" s="2186"/>
      <c r="AI37" s="2186"/>
      <c r="AJ37" s="2186"/>
      <c r="AK37" s="2186"/>
      <c r="AL37" s="2186"/>
      <c r="AM37" s="2186"/>
      <c r="AN37" s="2186"/>
      <c r="AO37" s="2187"/>
      <c r="AP37" s="2187"/>
      <c r="AQ37" s="2188"/>
    </row>
    <row r="38" spans="1:43" s="1549" customFormat="1" ht="56.25" customHeight="1" x14ac:dyDescent="0.2">
      <c r="A38" s="1543"/>
      <c r="B38" s="1544"/>
      <c r="C38" s="1544"/>
      <c r="D38" s="1545"/>
      <c r="E38" s="1193"/>
      <c r="F38" s="1193"/>
      <c r="G38" s="1544"/>
      <c r="H38" s="1544"/>
      <c r="I38" s="1544"/>
      <c r="J38" s="2065"/>
      <c r="K38" s="2049"/>
      <c r="L38" s="2049"/>
      <c r="M38" s="2065"/>
      <c r="N38" s="2049"/>
      <c r="O38" s="2049"/>
      <c r="P38" s="2049"/>
      <c r="Q38" s="2182"/>
      <c r="R38" s="2184"/>
      <c r="S38" s="2185"/>
      <c r="T38" s="2088" t="s">
        <v>1849</v>
      </c>
      <c r="U38" s="1551" t="s">
        <v>1850</v>
      </c>
      <c r="V38" s="1548">
        <v>1500000</v>
      </c>
      <c r="W38" s="2186"/>
      <c r="X38" s="2191"/>
      <c r="Y38" s="2186"/>
      <c r="Z38" s="2193"/>
      <c r="AA38" s="2186"/>
      <c r="AB38" s="2186"/>
      <c r="AC38" s="2186"/>
      <c r="AD38" s="2186"/>
      <c r="AE38" s="2186"/>
      <c r="AF38" s="2186"/>
      <c r="AG38" s="2186"/>
      <c r="AH38" s="2186"/>
      <c r="AI38" s="2186"/>
      <c r="AJ38" s="2186"/>
      <c r="AK38" s="2186"/>
      <c r="AL38" s="2186"/>
      <c r="AM38" s="2186"/>
      <c r="AN38" s="2186"/>
      <c r="AO38" s="2187"/>
      <c r="AP38" s="2187"/>
      <c r="AQ38" s="2188"/>
    </row>
    <row r="39" spans="1:43" s="1549" customFormat="1" ht="56.25" customHeight="1" x14ac:dyDescent="0.2">
      <c r="A39" s="1543"/>
      <c r="B39" s="1544"/>
      <c r="C39" s="1544"/>
      <c r="D39" s="1545"/>
      <c r="E39" s="1193"/>
      <c r="F39" s="1193"/>
      <c r="G39" s="1544"/>
      <c r="H39" s="1544"/>
      <c r="I39" s="1544"/>
      <c r="J39" s="2065"/>
      <c r="K39" s="2049"/>
      <c r="L39" s="2049"/>
      <c r="M39" s="2065"/>
      <c r="N39" s="2049"/>
      <c r="O39" s="2049"/>
      <c r="P39" s="2049"/>
      <c r="Q39" s="2182"/>
      <c r="R39" s="2184"/>
      <c r="S39" s="2185"/>
      <c r="T39" s="2185"/>
      <c r="U39" s="1551" t="s">
        <v>1851</v>
      </c>
      <c r="V39" s="1548">
        <f>1500000-1500000</f>
        <v>0</v>
      </c>
      <c r="W39" s="2186"/>
      <c r="X39" s="2191"/>
      <c r="Y39" s="2186"/>
      <c r="Z39" s="2193"/>
      <c r="AA39" s="2186"/>
      <c r="AB39" s="2186"/>
      <c r="AC39" s="2186"/>
      <c r="AD39" s="2186"/>
      <c r="AE39" s="2186"/>
      <c r="AF39" s="2186"/>
      <c r="AG39" s="2186"/>
      <c r="AH39" s="2186"/>
      <c r="AI39" s="2186"/>
      <c r="AJ39" s="2186"/>
      <c r="AK39" s="2186"/>
      <c r="AL39" s="2186"/>
      <c r="AM39" s="2186"/>
      <c r="AN39" s="2186"/>
      <c r="AO39" s="2187"/>
      <c r="AP39" s="2187"/>
      <c r="AQ39" s="2188"/>
    </row>
    <row r="40" spans="1:43" s="1549" customFormat="1" ht="56.25" customHeight="1" x14ac:dyDescent="0.2">
      <c r="A40" s="1543"/>
      <c r="B40" s="1544"/>
      <c r="C40" s="1544"/>
      <c r="D40" s="1545"/>
      <c r="E40" s="1193"/>
      <c r="F40" s="1193"/>
      <c r="G40" s="1544"/>
      <c r="H40" s="1544"/>
      <c r="I40" s="1544"/>
      <c r="J40" s="2065"/>
      <c r="K40" s="2049"/>
      <c r="L40" s="2049"/>
      <c r="M40" s="2065"/>
      <c r="N40" s="2049"/>
      <c r="O40" s="2049"/>
      <c r="P40" s="2049"/>
      <c r="Q40" s="2182"/>
      <c r="R40" s="2184"/>
      <c r="S40" s="2185"/>
      <c r="T40" s="2185"/>
      <c r="U40" s="1551" t="s">
        <v>1852</v>
      </c>
      <c r="V40" s="1548">
        <v>660000</v>
      </c>
      <c r="W40" s="2186"/>
      <c r="X40" s="2191"/>
      <c r="Y40" s="2186"/>
      <c r="Z40" s="2193"/>
      <c r="AA40" s="2186"/>
      <c r="AB40" s="2186"/>
      <c r="AC40" s="2186"/>
      <c r="AD40" s="2186"/>
      <c r="AE40" s="2186"/>
      <c r="AF40" s="2186"/>
      <c r="AG40" s="2186"/>
      <c r="AH40" s="2186"/>
      <c r="AI40" s="2186"/>
      <c r="AJ40" s="2186"/>
      <c r="AK40" s="2186"/>
      <c r="AL40" s="2186"/>
      <c r="AM40" s="2186"/>
      <c r="AN40" s="2186"/>
      <c r="AO40" s="2187"/>
      <c r="AP40" s="2187"/>
      <c r="AQ40" s="2188"/>
    </row>
    <row r="41" spans="1:43" s="1549" customFormat="1" ht="56.25" customHeight="1" x14ac:dyDescent="0.2">
      <c r="A41" s="1543"/>
      <c r="B41" s="1544"/>
      <c r="C41" s="1544"/>
      <c r="D41" s="1545"/>
      <c r="E41" s="1193"/>
      <c r="F41" s="1193"/>
      <c r="G41" s="1544"/>
      <c r="H41" s="1544"/>
      <c r="I41" s="1544"/>
      <c r="J41" s="2065"/>
      <c r="K41" s="2049"/>
      <c r="L41" s="2049"/>
      <c r="M41" s="2065"/>
      <c r="N41" s="2049"/>
      <c r="O41" s="2049"/>
      <c r="P41" s="2049"/>
      <c r="Q41" s="2182"/>
      <c r="R41" s="2184"/>
      <c r="S41" s="2089"/>
      <c r="T41" s="2089"/>
      <c r="U41" s="1553" t="s">
        <v>1853</v>
      </c>
      <c r="V41" s="1548">
        <f>660000-660000</f>
        <v>0</v>
      </c>
      <c r="W41" s="2186"/>
      <c r="X41" s="2191"/>
      <c r="Y41" s="2186"/>
      <c r="Z41" s="2193"/>
      <c r="AA41" s="2186"/>
      <c r="AB41" s="2186"/>
      <c r="AC41" s="2186"/>
      <c r="AD41" s="2186"/>
      <c r="AE41" s="2186"/>
      <c r="AF41" s="2186"/>
      <c r="AG41" s="2186"/>
      <c r="AH41" s="2186"/>
      <c r="AI41" s="2186"/>
      <c r="AJ41" s="2186"/>
      <c r="AK41" s="2186"/>
      <c r="AL41" s="2186"/>
      <c r="AM41" s="2186"/>
      <c r="AN41" s="2186"/>
      <c r="AO41" s="2187"/>
      <c r="AP41" s="2187"/>
      <c r="AQ41" s="2188"/>
    </row>
    <row r="42" spans="1:43" ht="27" customHeight="1" x14ac:dyDescent="0.2">
      <c r="A42" s="1554"/>
      <c r="B42" s="470"/>
      <c r="C42" s="470"/>
      <c r="D42" s="1555"/>
      <c r="E42" s="1586"/>
      <c r="F42" s="1656"/>
      <c r="G42" s="1556">
        <v>84</v>
      </c>
      <c r="H42" s="2183" t="s">
        <v>1854</v>
      </c>
      <c r="I42" s="2183"/>
      <c r="J42" s="2183"/>
      <c r="K42" s="2183"/>
      <c r="L42" s="400"/>
      <c r="M42" s="1035"/>
      <c r="N42" s="400"/>
      <c r="O42" s="400"/>
      <c r="P42" s="400"/>
      <c r="Q42" s="1539"/>
      <c r="R42" s="1557"/>
      <c r="S42" s="400"/>
      <c r="T42" s="863"/>
      <c r="U42" s="978"/>
      <c r="V42" s="1558"/>
      <c r="W42" s="1559"/>
      <c r="X42" s="1144"/>
      <c r="Y42" s="1560"/>
      <c r="Z42" s="1561"/>
      <c r="AA42" s="1560"/>
      <c r="AB42" s="1560"/>
      <c r="AC42" s="1560"/>
      <c r="AD42" s="1560"/>
      <c r="AE42" s="1560"/>
      <c r="AF42" s="1560"/>
      <c r="AG42" s="1560"/>
      <c r="AH42" s="1560"/>
      <c r="AI42" s="1560"/>
      <c r="AJ42" s="1560"/>
      <c r="AK42" s="1560"/>
      <c r="AL42" s="1560"/>
      <c r="AM42" s="1560"/>
      <c r="AN42" s="1560"/>
      <c r="AO42" s="1562"/>
      <c r="AP42" s="1563"/>
      <c r="AQ42" s="1150"/>
    </row>
    <row r="43" spans="1:43" s="1549" customFormat="1" ht="30" customHeight="1" x14ac:dyDescent="0.2">
      <c r="A43" s="1564"/>
      <c r="B43" s="782"/>
      <c r="C43" s="782"/>
      <c r="D43" s="1565"/>
      <c r="E43" s="1566"/>
      <c r="F43" s="1566"/>
      <c r="G43" s="782"/>
      <c r="H43" s="782"/>
      <c r="I43" s="782"/>
      <c r="J43" s="2065">
        <v>248</v>
      </c>
      <c r="K43" s="2049" t="s">
        <v>1855</v>
      </c>
      <c r="L43" s="2049" t="s">
        <v>1856</v>
      </c>
      <c r="M43" s="2189">
        <v>12</v>
      </c>
      <c r="N43" s="2190" t="s">
        <v>1857</v>
      </c>
      <c r="O43" s="2049" t="s">
        <v>1858</v>
      </c>
      <c r="P43" s="2049" t="s">
        <v>1859</v>
      </c>
      <c r="Q43" s="2195">
        <v>1</v>
      </c>
      <c r="R43" s="2196">
        <f>SUM(V43:V50)</f>
        <v>29000000</v>
      </c>
      <c r="S43" s="2192" t="s">
        <v>1860</v>
      </c>
      <c r="T43" s="2049" t="s">
        <v>1861</v>
      </c>
      <c r="U43" s="1569" t="s">
        <v>1862</v>
      </c>
      <c r="V43" s="1548">
        <v>500000</v>
      </c>
      <c r="W43" s="2186">
        <v>20</v>
      </c>
      <c r="X43" s="2191" t="s">
        <v>1863</v>
      </c>
      <c r="Y43" s="2186">
        <v>282326</v>
      </c>
      <c r="Z43" s="2193">
        <v>292684</v>
      </c>
      <c r="AA43" s="2186">
        <v>135912</v>
      </c>
      <c r="AB43" s="2186">
        <v>45122</v>
      </c>
      <c r="AC43" s="2186">
        <v>307101</v>
      </c>
      <c r="AD43" s="2186">
        <v>86875</v>
      </c>
      <c r="AE43" s="2186">
        <v>2145</v>
      </c>
      <c r="AF43" s="2186">
        <v>12718</v>
      </c>
      <c r="AG43" s="2186">
        <v>26</v>
      </c>
      <c r="AH43" s="2186">
        <v>37</v>
      </c>
      <c r="AI43" s="2186"/>
      <c r="AJ43" s="2186"/>
      <c r="AK43" s="2186">
        <v>43029</v>
      </c>
      <c r="AL43" s="2186">
        <v>16982</v>
      </c>
      <c r="AM43" s="2186">
        <v>60013</v>
      </c>
      <c r="AN43" s="2186">
        <v>575010</v>
      </c>
      <c r="AO43" s="2187">
        <v>43102</v>
      </c>
      <c r="AP43" s="2187">
        <v>43465</v>
      </c>
      <c r="AQ43" s="2188" t="s">
        <v>1822</v>
      </c>
    </row>
    <row r="44" spans="1:43" s="1549" customFormat="1" ht="27.75" customHeight="1" x14ac:dyDescent="0.2">
      <c r="A44" s="1564"/>
      <c r="B44" s="782"/>
      <c r="C44" s="782"/>
      <c r="D44" s="1565"/>
      <c r="E44" s="1566"/>
      <c r="F44" s="1566"/>
      <c r="G44" s="782"/>
      <c r="H44" s="782"/>
      <c r="I44" s="782"/>
      <c r="J44" s="2065"/>
      <c r="K44" s="2049"/>
      <c r="L44" s="2049"/>
      <c r="M44" s="2189"/>
      <c r="N44" s="2190"/>
      <c r="O44" s="2049"/>
      <c r="P44" s="2049"/>
      <c r="Q44" s="2195"/>
      <c r="R44" s="2196"/>
      <c r="S44" s="2192"/>
      <c r="T44" s="2049"/>
      <c r="U44" s="1569" t="s">
        <v>1864</v>
      </c>
      <c r="V44" s="1548">
        <v>500000</v>
      </c>
      <c r="W44" s="2186"/>
      <c r="X44" s="2191"/>
      <c r="Y44" s="2186"/>
      <c r="Z44" s="2193"/>
      <c r="AA44" s="2186"/>
      <c r="AB44" s="2186"/>
      <c r="AC44" s="2186"/>
      <c r="AD44" s="2186"/>
      <c r="AE44" s="2186"/>
      <c r="AF44" s="2186"/>
      <c r="AG44" s="2186"/>
      <c r="AH44" s="2186"/>
      <c r="AI44" s="2186"/>
      <c r="AJ44" s="2186"/>
      <c r="AK44" s="2186"/>
      <c r="AL44" s="2186"/>
      <c r="AM44" s="2186"/>
      <c r="AN44" s="2186"/>
      <c r="AO44" s="2187"/>
      <c r="AP44" s="2187"/>
      <c r="AQ44" s="2188"/>
    </row>
    <row r="45" spans="1:43" s="1549" customFormat="1" ht="27" customHeight="1" x14ac:dyDescent="0.2">
      <c r="A45" s="1564"/>
      <c r="B45" s="782"/>
      <c r="C45" s="782"/>
      <c r="D45" s="1565"/>
      <c r="E45" s="1566"/>
      <c r="F45" s="1566"/>
      <c r="G45" s="782"/>
      <c r="H45" s="782"/>
      <c r="I45" s="782"/>
      <c r="J45" s="2065"/>
      <c r="K45" s="2049"/>
      <c r="L45" s="2049"/>
      <c r="M45" s="2189"/>
      <c r="N45" s="2190"/>
      <c r="O45" s="2049"/>
      <c r="P45" s="2049"/>
      <c r="Q45" s="2195"/>
      <c r="R45" s="2196"/>
      <c r="S45" s="2192"/>
      <c r="T45" s="2049"/>
      <c r="U45" s="1569" t="s">
        <v>1865</v>
      </c>
      <c r="V45" s="1548">
        <v>1000000</v>
      </c>
      <c r="W45" s="2186"/>
      <c r="X45" s="2191"/>
      <c r="Y45" s="2186"/>
      <c r="Z45" s="2193"/>
      <c r="AA45" s="2186"/>
      <c r="AB45" s="2186"/>
      <c r="AC45" s="2186"/>
      <c r="AD45" s="2186"/>
      <c r="AE45" s="2186"/>
      <c r="AF45" s="2186"/>
      <c r="AG45" s="2186"/>
      <c r="AH45" s="2186"/>
      <c r="AI45" s="2186"/>
      <c r="AJ45" s="2186"/>
      <c r="AK45" s="2186"/>
      <c r="AL45" s="2186"/>
      <c r="AM45" s="2186"/>
      <c r="AN45" s="2186"/>
      <c r="AO45" s="2187"/>
      <c r="AP45" s="2187"/>
      <c r="AQ45" s="2188"/>
    </row>
    <row r="46" spans="1:43" s="1549" customFormat="1" ht="26.25" customHeight="1" x14ac:dyDescent="0.2">
      <c r="A46" s="1564"/>
      <c r="B46" s="782"/>
      <c r="C46" s="782"/>
      <c r="D46" s="1565"/>
      <c r="E46" s="1566"/>
      <c r="F46" s="1566"/>
      <c r="G46" s="782"/>
      <c r="H46" s="782"/>
      <c r="I46" s="782"/>
      <c r="J46" s="2065"/>
      <c r="K46" s="2049"/>
      <c r="L46" s="2049"/>
      <c r="M46" s="2189"/>
      <c r="N46" s="2190"/>
      <c r="O46" s="2049"/>
      <c r="P46" s="2049"/>
      <c r="Q46" s="2195"/>
      <c r="R46" s="2196"/>
      <c r="S46" s="2192"/>
      <c r="T46" s="2049"/>
      <c r="U46" s="1569" t="s">
        <v>1866</v>
      </c>
      <c r="V46" s="1548">
        <v>500000</v>
      </c>
      <c r="W46" s="2186"/>
      <c r="X46" s="2191"/>
      <c r="Y46" s="2186"/>
      <c r="Z46" s="2193"/>
      <c r="AA46" s="2186"/>
      <c r="AB46" s="2186"/>
      <c r="AC46" s="2186"/>
      <c r="AD46" s="2186"/>
      <c r="AE46" s="2186"/>
      <c r="AF46" s="2186"/>
      <c r="AG46" s="2186"/>
      <c r="AH46" s="2186"/>
      <c r="AI46" s="2186"/>
      <c r="AJ46" s="2186"/>
      <c r="AK46" s="2186"/>
      <c r="AL46" s="2186"/>
      <c r="AM46" s="2186"/>
      <c r="AN46" s="2186"/>
      <c r="AO46" s="2187"/>
      <c r="AP46" s="2187"/>
      <c r="AQ46" s="2188"/>
    </row>
    <row r="47" spans="1:43" s="1549" customFormat="1" ht="29.25" customHeight="1" x14ac:dyDescent="0.2">
      <c r="A47" s="1564"/>
      <c r="B47" s="782"/>
      <c r="C47" s="782"/>
      <c r="D47" s="1565"/>
      <c r="E47" s="1566"/>
      <c r="F47" s="1566"/>
      <c r="G47" s="782"/>
      <c r="H47" s="782"/>
      <c r="I47" s="782"/>
      <c r="J47" s="2065"/>
      <c r="K47" s="2049"/>
      <c r="L47" s="2049"/>
      <c r="M47" s="2189"/>
      <c r="N47" s="2190"/>
      <c r="O47" s="2049"/>
      <c r="P47" s="2049"/>
      <c r="Q47" s="2195"/>
      <c r="R47" s="2196"/>
      <c r="S47" s="2192"/>
      <c r="T47" s="2049"/>
      <c r="U47" s="1569" t="s">
        <v>1867</v>
      </c>
      <c r="V47" s="1548">
        <v>500000</v>
      </c>
      <c r="W47" s="2186"/>
      <c r="X47" s="2191"/>
      <c r="Y47" s="2186"/>
      <c r="Z47" s="2193"/>
      <c r="AA47" s="2186"/>
      <c r="AB47" s="2186"/>
      <c r="AC47" s="2186"/>
      <c r="AD47" s="2186"/>
      <c r="AE47" s="2186"/>
      <c r="AF47" s="2186"/>
      <c r="AG47" s="2186"/>
      <c r="AH47" s="2186"/>
      <c r="AI47" s="2186"/>
      <c r="AJ47" s="2186"/>
      <c r="AK47" s="2186"/>
      <c r="AL47" s="2186"/>
      <c r="AM47" s="2186"/>
      <c r="AN47" s="2186"/>
      <c r="AO47" s="2187"/>
      <c r="AP47" s="2187"/>
      <c r="AQ47" s="2188"/>
    </row>
    <row r="48" spans="1:43" s="1549" customFormat="1" ht="132.75" customHeight="1" x14ac:dyDescent="0.2">
      <c r="A48" s="1564"/>
      <c r="B48" s="782"/>
      <c r="C48" s="782"/>
      <c r="D48" s="1565"/>
      <c r="E48" s="1566"/>
      <c r="F48" s="1566"/>
      <c r="G48" s="782"/>
      <c r="H48" s="782"/>
      <c r="I48" s="782"/>
      <c r="J48" s="2065"/>
      <c r="K48" s="2049"/>
      <c r="L48" s="2049"/>
      <c r="M48" s="2189"/>
      <c r="N48" s="2190"/>
      <c r="O48" s="2049"/>
      <c r="P48" s="2049"/>
      <c r="Q48" s="2195"/>
      <c r="R48" s="2196"/>
      <c r="S48" s="2192"/>
      <c r="T48" s="1173" t="s">
        <v>1868</v>
      </c>
      <c r="U48" s="1173" t="s">
        <v>1869</v>
      </c>
      <c r="V48" s="1570">
        <v>15000000</v>
      </c>
      <c r="W48" s="2186"/>
      <c r="X48" s="2191"/>
      <c r="Y48" s="2186"/>
      <c r="Z48" s="2193"/>
      <c r="AA48" s="2186"/>
      <c r="AB48" s="2186"/>
      <c r="AC48" s="2186"/>
      <c r="AD48" s="2186"/>
      <c r="AE48" s="2186"/>
      <c r="AF48" s="2186"/>
      <c r="AG48" s="2186"/>
      <c r="AH48" s="2186"/>
      <c r="AI48" s="2186"/>
      <c r="AJ48" s="2186"/>
      <c r="AK48" s="2186"/>
      <c r="AL48" s="2186"/>
      <c r="AM48" s="2186"/>
      <c r="AN48" s="2186"/>
      <c r="AO48" s="2187"/>
      <c r="AP48" s="2187"/>
      <c r="AQ48" s="2188"/>
    </row>
    <row r="49" spans="1:43" s="1549" customFormat="1" ht="61.5" customHeight="1" x14ac:dyDescent="0.2">
      <c r="A49" s="1564"/>
      <c r="B49" s="782"/>
      <c r="C49" s="782"/>
      <c r="D49" s="1565"/>
      <c r="E49" s="1566"/>
      <c r="F49" s="1566"/>
      <c r="G49" s="782"/>
      <c r="H49" s="782"/>
      <c r="I49" s="782"/>
      <c r="J49" s="2065"/>
      <c r="K49" s="2049"/>
      <c r="L49" s="2049"/>
      <c r="M49" s="2189"/>
      <c r="N49" s="2190"/>
      <c r="O49" s="2049"/>
      <c r="P49" s="2049"/>
      <c r="Q49" s="2195"/>
      <c r="R49" s="2196"/>
      <c r="S49" s="2192"/>
      <c r="T49" s="2049" t="s">
        <v>1870</v>
      </c>
      <c r="U49" s="1569" t="s">
        <v>1871</v>
      </c>
      <c r="V49" s="1570">
        <v>3500000</v>
      </c>
      <c r="W49" s="2186"/>
      <c r="X49" s="2191"/>
      <c r="Y49" s="2186"/>
      <c r="Z49" s="2193"/>
      <c r="AA49" s="2186"/>
      <c r="AB49" s="2186"/>
      <c r="AC49" s="2186"/>
      <c r="AD49" s="2186"/>
      <c r="AE49" s="2186"/>
      <c r="AF49" s="2186"/>
      <c r="AG49" s="2186"/>
      <c r="AH49" s="2186"/>
      <c r="AI49" s="2186"/>
      <c r="AJ49" s="2186"/>
      <c r="AK49" s="2186"/>
      <c r="AL49" s="2186"/>
      <c r="AM49" s="2186"/>
      <c r="AN49" s="2186"/>
      <c r="AO49" s="2187"/>
      <c r="AP49" s="2187"/>
      <c r="AQ49" s="2188"/>
    </row>
    <row r="50" spans="1:43" s="1549" customFormat="1" ht="90.75" customHeight="1" x14ac:dyDescent="0.2">
      <c r="A50" s="1564"/>
      <c r="B50" s="782"/>
      <c r="C50" s="782"/>
      <c r="D50" s="1657"/>
      <c r="E50" s="1658"/>
      <c r="F50" s="1566"/>
      <c r="G50" s="782"/>
      <c r="H50" s="782"/>
      <c r="I50" s="782"/>
      <c r="J50" s="2065"/>
      <c r="K50" s="2049"/>
      <c r="L50" s="2049"/>
      <c r="M50" s="2189"/>
      <c r="N50" s="2190"/>
      <c r="O50" s="2049"/>
      <c r="P50" s="2049"/>
      <c r="Q50" s="2195"/>
      <c r="R50" s="2196"/>
      <c r="S50" s="2192"/>
      <c r="T50" s="2049"/>
      <c r="U50" s="1569" t="s">
        <v>1853</v>
      </c>
      <c r="V50" s="1570">
        <v>7500000</v>
      </c>
      <c r="W50" s="2186"/>
      <c r="X50" s="2191"/>
      <c r="Y50" s="2186"/>
      <c r="Z50" s="2193"/>
      <c r="AA50" s="2186"/>
      <c r="AB50" s="2186"/>
      <c r="AC50" s="2186"/>
      <c r="AD50" s="2186"/>
      <c r="AE50" s="2186"/>
      <c r="AF50" s="2186"/>
      <c r="AG50" s="2186"/>
      <c r="AH50" s="2186"/>
      <c r="AI50" s="2186"/>
      <c r="AJ50" s="2186"/>
      <c r="AK50" s="2186"/>
      <c r="AL50" s="2186"/>
      <c r="AM50" s="2186"/>
      <c r="AN50" s="2186"/>
      <c r="AO50" s="2187"/>
      <c r="AP50" s="2187"/>
      <c r="AQ50" s="2188"/>
    </row>
    <row r="51" spans="1:43" ht="27" customHeight="1" x14ac:dyDescent="0.2">
      <c r="A51" s="1554"/>
      <c r="B51" s="470"/>
      <c r="C51" s="470"/>
      <c r="D51" s="1571">
        <v>27</v>
      </c>
      <c r="E51" s="2194" t="s">
        <v>1872</v>
      </c>
      <c r="F51" s="2194"/>
      <c r="G51" s="2194"/>
      <c r="H51" s="2194"/>
      <c r="I51" s="2194"/>
      <c r="J51" s="2194"/>
      <c r="K51" s="2194"/>
      <c r="L51" s="1572"/>
      <c r="M51" s="1573"/>
      <c r="N51" s="1572"/>
      <c r="O51" s="1572"/>
      <c r="P51" s="1572"/>
      <c r="Q51" s="1574"/>
      <c r="R51" s="1575"/>
      <c r="S51" s="1572"/>
      <c r="T51" s="1576"/>
      <c r="U51" s="1577"/>
      <c r="V51" s="1578"/>
      <c r="W51" s="1579"/>
      <c r="X51" s="1580"/>
      <c r="Y51" s="1581"/>
      <c r="Z51" s="1582"/>
      <c r="AA51" s="1581"/>
      <c r="AB51" s="1581"/>
      <c r="AC51" s="1581"/>
      <c r="AD51" s="1581"/>
      <c r="AE51" s="1581"/>
      <c r="AF51" s="1581"/>
      <c r="AG51" s="1581"/>
      <c r="AH51" s="1581"/>
      <c r="AI51" s="1581"/>
      <c r="AJ51" s="1581"/>
      <c r="AK51" s="1581"/>
      <c r="AL51" s="1581"/>
      <c r="AM51" s="1581"/>
      <c r="AN51" s="1581"/>
      <c r="AO51" s="1583"/>
      <c r="AP51" s="1584"/>
      <c r="AQ51" s="1585"/>
    </row>
    <row r="52" spans="1:43" ht="27" customHeight="1" x14ac:dyDescent="0.2">
      <c r="A52" s="1554"/>
      <c r="B52" s="470"/>
      <c r="C52" s="1586"/>
      <c r="D52" s="1555"/>
      <c r="E52" s="470"/>
      <c r="F52" s="1586"/>
      <c r="G52" s="1587">
        <v>85</v>
      </c>
      <c r="H52" s="2183" t="s">
        <v>1873</v>
      </c>
      <c r="I52" s="2183"/>
      <c r="J52" s="2183"/>
      <c r="K52" s="2183"/>
      <c r="L52" s="400"/>
      <c r="M52" s="1035"/>
      <c r="N52" s="400"/>
      <c r="O52" s="400"/>
      <c r="P52" s="400"/>
      <c r="Q52" s="1539"/>
      <c r="R52" s="1588"/>
      <c r="S52" s="400"/>
      <c r="T52" s="863"/>
      <c r="U52" s="978"/>
      <c r="V52" s="1558"/>
      <c r="W52" s="1559"/>
      <c r="X52" s="1144"/>
      <c r="Y52" s="1560"/>
      <c r="Z52" s="1561"/>
      <c r="AA52" s="1560"/>
      <c r="AB52" s="1560"/>
      <c r="AC52" s="1560"/>
      <c r="AD52" s="1560"/>
      <c r="AE52" s="1560"/>
      <c r="AF52" s="1560"/>
      <c r="AG52" s="1560"/>
      <c r="AH52" s="1560"/>
      <c r="AI52" s="1560"/>
      <c r="AJ52" s="1560"/>
      <c r="AK52" s="1560"/>
      <c r="AL52" s="1560"/>
      <c r="AM52" s="1560"/>
      <c r="AN52" s="1560"/>
      <c r="AO52" s="1562"/>
      <c r="AP52" s="1563"/>
      <c r="AQ52" s="1150"/>
    </row>
    <row r="53" spans="1:43" s="1549" customFormat="1" ht="77.25" customHeight="1" x14ac:dyDescent="0.2">
      <c r="A53" s="1589"/>
      <c r="B53" s="609"/>
      <c r="C53" s="1590"/>
      <c r="D53" s="1591"/>
      <c r="E53" s="609"/>
      <c r="F53" s="609"/>
      <c r="G53" s="1592"/>
      <c r="H53" s="609"/>
      <c r="I53" s="609"/>
      <c r="J53" s="2065">
        <v>249</v>
      </c>
      <c r="K53" s="2049" t="s">
        <v>1874</v>
      </c>
      <c r="L53" s="2192" t="s">
        <v>1875</v>
      </c>
      <c r="M53" s="2189">
        <v>1</v>
      </c>
      <c r="N53" s="2049" t="s">
        <v>1876</v>
      </c>
      <c r="O53" s="2049" t="s">
        <v>1877</v>
      </c>
      <c r="P53" s="2049" t="s">
        <v>1878</v>
      </c>
      <c r="Q53" s="2195">
        <v>1</v>
      </c>
      <c r="R53" s="2196">
        <f>SUM(V53:V60)</f>
        <v>120000000</v>
      </c>
      <c r="S53" s="2049" t="s">
        <v>1879</v>
      </c>
      <c r="T53" s="2049" t="s">
        <v>1880</v>
      </c>
      <c r="U53" s="1593" t="s">
        <v>1881</v>
      </c>
      <c r="V53" s="1548">
        <v>9000000</v>
      </c>
      <c r="W53" s="2186">
        <v>20</v>
      </c>
      <c r="X53" s="2065" t="s">
        <v>1882</v>
      </c>
      <c r="Y53" s="2199">
        <v>282326</v>
      </c>
      <c r="Z53" s="2193">
        <v>292684</v>
      </c>
      <c r="AA53" s="2186">
        <v>135912</v>
      </c>
      <c r="AB53" s="2186">
        <v>45122</v>
      </c>
      <c r="AC53" s="2186">
        <v>307101</v>
      </c>
      <c r="AD53" s="2186">
        <v>86875</v>
      </c>
      <c r="AE53" s="2186">
        <v>2145</v>
      </c>
      <c r="AF53" s="2186">
        <v>12718</v>
      </c>
      <c r="AG53" s="2186">
        <v>26</v>
      </c>
      <c r="AH53" s="2186">
        <v>37</v>
      </c>
      <c r="AI53" s="2186"/>
      <c r="AJ53" s="2186"/>
      <c r="AK53" s="2186">
        <v>43029</v>
      </c>
      <c r="AL53" s="2186">
        <v>16982</v>
      </c>
      <c r="AM53" s="2186">
        <v>60013</v>
      </c>
      <c r="AN53" s="2186">
        <v>575010</v>
      </c>
      <c r="AO53" s="2187">
        <v>43102</v>
      </c>
      <c r="AP53" s="2187">
        <v>43465</v>
      </c>
      <c r="AQ53" s="2197" t="s">
        <v>1822</v>
      </c>
    </row>
    <row r="54" spans="1:43" s="1549" customFormat="1" ht="62.25" customHeight="1" x14ac:dyDescent="0.2">
      <c r="A54" s="1589"/>
      <c r="B54" s="609"/>
      <c r="C54" s="1590"/>
      <c r="D54" s="1591"/>
      <c r="E54" s="609"/>
      <c r="F54" s="609"/>
      <c r="G54" s="1591"/>
      <c r="H54" s="609"/>
      <c r="I54" s="609"/>
      <c r="J54" s="2065"/>
      <c r="K54" s="2049"/>
      <c r="L54" s="2192"/>
      <c r="M54" s="2189"/>
      <c r="N54" s="2049"/>
      <c r="O54" s="2049"/>
      <c r="P54" s="2049"/>
      <c r="Q54" s="2195"/>
      <c r="R54" s="2196"/>
      <c r="S54" s="2049"/>
      <c r="T54" s="2049"/>
      <c r="U54" s="1593" t="s">
        <v>1883</v>
      </c>
      <c r="V54" s="1548">
        <v>15000000</v>
      </c>
      <c r="W54" s="2186"/>
      <c r="X54" s="2065"/>
      <c r="Y54" s="2199"/>
      <c r="Z54" s="2193"/>
      <c r="AA54" s="2186"/>
      <c r="AB54" s="2186"/>
      <c r="AC54" s="2186"/>
      <c r="AD54" s="2186"/>
      <c r="AE54" s="2186"/>
      <c r="AF54" s="2186"/>
      <c r="AG54" s="2186"/>
      <c r="AH54" s="2186"/>
      <c r="AI54" s="2186"/>
      <c r="AJ54" s="2186"/>
      <c r="AK54" s="2186"/>
      <c r="AL54" s="2186"/>
      <c r="AM54" s="2186"/>
      <c r="AN54" s="2186"/>
      <c r="AO54" s="2187"/>
      <c r="AP54" s="2187"/>
      <c r="AQ54" s="2197"/>
    </row>
    <row r="55" spans="1:43" s="1549" customFormat="1" ht="81.75" customHeight="1" x14ac:dyDescent="0.2">
      <c r="A55" s="1589"/>
      <c r="B55" s="609"/>
      <c r="C55" s="1590"/>
      <c r="D55" s="1591"/>
      <c r="E55" s="609"/>
      <c r="F55" s="609"/>
      <c r="G55" s="1591"/>
      <c r="H55" s="609"/>
      <c r="I55" s="609"/>
      <c r="J55" s="2065"/>
      <c r="K55" s="2049"/>
      <c r="L55" s="2192"/>
      <c r="M55" s="2189"/>
      <c r="N55" s="2049"/>
      <c r="O55" s="2049"/>
      <c r="P55" s="2049"/>
      <c r="Q55" s="2195"/>
      <c r="R55" s="2196"/>
      <c r="S55" s="2049"/>
      <c r="T55" s="2049"/>
      <c r="U55" s="1593" t="s">
        <v>1884</v>
      </c>
      <c r="V55" s="1548">
        <v>18000000</v>
      </c>
      <c r="W55" s="2186"/>
      <c r="X55" s="2065"/>
      <c r="Y55" s="2199"/>
      <c r="Z55" s="2193"/>
      <c r="AA55" s="2186"/>
      <c r="AB55" s="2186"/>
      <c r="AC55" s="2186"/>
      <c r="AD55" s="2186"/>
      <c r="AE55" s="2186"/>
      <c r="AF55" s="2186"/>
      <c r="AG55" s="2186"/>
      <c r="AH55" s="2186"/>
      <c r="AI55" s="2186"/>
      <c r="AJ55" s="2186"/>
      <c r="AK55" s="2186"/>
      <c r="AL55" s="2186"/>
      <c r="AM55" s="2186"/>
      <c r="AN55" s="2186"/>
      <c r="AO55" s="2187"/>
      <c r="AP55" s="2187"/>
      <c r="AQ55" s="2197"/>
    </row>
    <row r="56" spans="1:43" s="1549" customFormat="1" ht="81.75" customHeight="1" x14ac:dyDescent="0.2">
      <c r="A56" s="1589"/>
      <c r="B56" s="609"/>
      <c r="C56" s="1590"/>
      <c r="D56" s="1591"/>
      <c r="E56" s="609"/>
      <c r="F56" s="609"/>
      <c r="G56" s="1591"/>
      <c r="H56" s="609"/>
      <c r="I56" s="609"/>
      <c r="J56" s="2065"/>
      <c r="K56" s="2049"/>
      <c r="L56" s="2192"/>
      <c r="M56" s="2189"/>
      <c r="N56" s="2049"/>
      <c r="O56" s="2049"/>
      <c r="P56" s="2049"/>
      <c r="Q56" s="2195"/>
      <c r="R56" s="2196"/>
      <c r="S56" s="2049"/>
      <c r="T56" s="2049"/>
      <c r="U56" s="1593" t="s">
        <v>1885</v>
      </c>
      <c r="V56" s="1548">
        <v>2000000</v>
      </c>
      <c r="W56" s="2186"/>
      <c r="X56" s="2065"/>
      <c r="Y56" s="2199"/>
      <c r="Z56" s="2193"/>
      <c r="AA56" s="2186"/>
      <c r="AB56" s="2186"/>
      <c r="AC56" s="2186"/>
      <c r="AD56" s="2186"/>
      <c r="AE56" s="2186"/>
      <c r="AF56" s="2186"/>
      <c r="AG56" s="2186"/>
      <c r="AH56" s="2186"/>
      <c r="AI56" s="2186"/>
      <c r="AJ56" s="2186"/>
      <c r="AK56" s="2186"/>
      <c r="AL56" s="2186"/>
      <c r="AM56" s="2186"/>
      <c r="AN56" s="2186"/>
      <c r="AO56" s="2187"/>
      <c r="AP56" s="2187"/>
      <c r="AQ56" s="2197"/>
    </row>
    <row r="57" spans="1:43" s="1549" customFormat="1" ht="48.75" customHeight="1" x14ac:dyDescent="0.2">
      <c r="A57" s="1589"/>
      <c r="B57" s="609"/>
      <c r="C57" s="1590"/>
      <c r="D57" s="1591"/>
      <c r="E57" s="609"/>
      <c r="F57" s="609"/>
      <c r="G57" s="1591"/>
      <c r="H57" s="609"/>
      <c r="I57" s="609"/>
      <c r="J57" s="2065"/>
      <c r="K57" s="2049"/>
      <c r="L57" s="2192"/>
      <c r="M57" s="2189"/>
      <c r="N57" s="2049"/>
      <c r="O57" s="2049"/>
      <c r="P57" s="2049"/>
      <c r="Q57" s="2195"/>
      <c r="R57" s="2196"/>
      <c r="S57" s="2049"/>
      <c r="T57" s="2049" t="s">
        <v>1886</v>
      </c>
      <c r="U57" s="1593" t="s">
        <v>1887</v>
      </c>
      <c r="V57" s="1548">
        <v>21000000</v>
      </c>
      <c r="W57" s="2186"/>
      <c r="X57" s="2065"/>
      <c r="Y57" s="2199"/>
      <c r="Z57" s="2193"/>
      <c r="AA57" s="2186"/>
      <c r="AB57" s="2186"/>
      <c r="AC57" s="2186"/>
      <c r="AD57" s="2186"/>
      <c r="AE57" s="2186"/>
      <c r="AF57" s="2186"/>
      <c r="AG57" s="2186"/>
      <c r="AH57" s="2186"/>
      <c r="AI57" s="2186"/>
      <c r="AJ57" s="2186"/>
      <c r="AK57" s="2186"/>
      <c r="AL57" s="2186"/>
      <c r="AM57" s="2186"/>
      <c r="AN57" s="2186"/>
      <c r="AO57" s="2187"/>
      <c r="AP57" s="2187"/>
      <c r="AQ57" s="2197"/>
    </row>
    <row r="58" spans="1:43" s="1549" customFormat="1" ht="78" customHeight="1" x14ac:dyDescent="0.2">
      <c r="A58" s="1589"/>
      <c r="B58" s="609"/>
      <c r="C58" s="1590"/>
      <c r="D58" s="1591"/>
      <c r="E58" s="609"/>
      <c r="F58" s="609"/>
      <c r="G58" s="1591"/>
      <c r="H58" s="609"/>
      <c r="I58" s="609"/>
      <c r="J58" s="2065"/>
      <c r="K58" s="2049"/>
      <c r="L58" s="2192"/>
      <c r="M58" s="2189"/>
      <c r="N58" s="2049"/>
      <c r="O58" s="2049"/>
      <c r="P58" s="2049"/>
      <c r="Q58" s="2195"/>
      <c r="R58" s="2196"/>
      <c r="S58" s="2049"/>
      <c r="T58" s="2049"/>
      <c r="U58" s="1593" t="s">
        <v>1888</v>
      </c>
      <c r="V58" s="1548">
        <v>15000000</v>
      </c>
      <c r="W58" s="2186"/>
      <c r="X58" s="2065"/>
      <c r="Y58" s="2199"/>
      <c r="Z58" s="2193"/>
      <c r="AA58" s="2186"/>
      <c r="AB58" s="2186"/>
      <c r="AC58" s="2186"/>
      <c r="AD58" s="2186"/>
      <c r="AE58" s="2186"/>
      <c r="AF58" s="2186"/>
      <c r="AG58" s="2186"/>
      <c r="AH58" s="2186"/>
      <c r="AI58" s="2186"/>
      <c r="AJ58" s="2186"/>
      <c r="AK58" s="2186"/>
      <c r="AL58" s="2186"/>
      <c r="AM58" s="2186"/>
      <c r="AN58" s="2186"/>
      <c r="AO58" s="2187"/>
      <c r="AP58" s="2187"/>
      <c r="AQ58" s="2197"/>
    </row>
    <row r="59" spans="1:43" s="1549" customFormat="1" ht="33.75" customHeight="1" x14ac:dyDescent="0.2">
      <c r="A59" s="1589"/>
      <c r="B59" s="609"/>
      <c r="C59" s="1590"/>
      <c r="D59" s="1591"/>
      <c r="E59" s="609"/>
      <c r="F59" s="609"/>
      <c r="G59" s="1591"/>
      <c r="H59" s="609"/>
      <c r="I59" s="609"/>
      <c r="J59" s="2065"/>
      <c r="K59" s="2049"/>
      <c r="L59" s="2192"/>
      <c r="M59" s="2189"/>
      <c r="N59" s="2049"/>
      <c r="O59" s="2049"/>
      <c r="P59" s="2049"/>
      <c r="Q59" s="2195"/>
      <c r="R59" s="2196"/>
      <c r="S59" s="2049"/>
      <c r="T59" s="2049" t="s">
        <v>1889</v>
      </c>
      <c r="U59" s="1593" t="s">
        <v>1890</v>
      </c>
      <c r="V59" s="1548">
        <v>20000000</v>
      </c>
      <c r="W59" s="2186"/>
      <c r="X59" s="2065"/>
      <c r="Y59" s="2199"/>
      <c r="Z59" s="2193"/>
      <c r="AA59" s="2186"/>
      <c r="AB59" s="2186"/>
      <c r="AC59" s="2186"/>
      <c r="AD59" s="2186"/>
      <c r="AE59" s="2186"/>
      <c r="AF59" s="2186"/>
      <c r="AG59" s="2186"/>
      <c r="AH59" s="2186"/>
      <c r="AI59" s="2186"/>
      <c r="AJ59" s="2186"/>
      <c r="AK59" s="2186"/>
      <c r="AL59" s="2186"/>
      <c r="AM59" s="2186"/>
      <c r="AN59" s="2186"/>
      <c r="AO59" s="2187"/>
      <c r="AP59" s="2187"/>
      <c r="AQ59" s="2197"/>
    </row>
    <row r="60" spans="1:43" s="1549" customFormat="1" ht="76.5" customHeight="1" x14ac:dyDescent="0.2">
      <c r="A60" s="1589"/>
      <c r="B60" s="609"/>
      <c r="C60" s="1590"/>
      <c r="D60" s="1591"/>
      <c r="E60" s="609"/>
      <c r="F60" s="609"/>
      <c r="G60" s="1591"/>
      <c r="H60" s="609"/>
      <c r="I60" s="609"/>
      <c r="J60" s="2065"/>
      <c r="K60" s="2049"/>
      <c r="L60" s="2192"/>
      <c r="M60" s="2189"/>
      <c r="N60" s="2049"/>
      <c r="O60" s="2049"/>
      <c r="P60" s="2049"/>
      <c r="Q60" s="2195"/>
      <c r="R60" s="2196"/>
      <c r="S60" s="2049"/>
      <c r="T60" s="2049"/>
      <c r="U60" s="1593" t="s">
        <v>1891</v>
      </c>
      <c r="V60" s="1548">
        <v>20000000</v>
      </c>
      <c r="W60" s="2186"/>
      <c r="X60" s="2065"/>
      <c r="Y60" s="2199"/>
      <c r="Z60" s="2193"/>
      <c r="AA60" s="2186"/>
      <c r="AB60" s="2186"/>
      <c r="AC60" s="2186"/>
      <c r="AD60" s="2186"/>
      <c r="AE60" s="2186"/>
      <c r="AF60" s="2186"/>
      <c r="AG60" s="2186"/>
      <c r="AH60" s="2186"/>
      <c r="AI60" s="2186"/>
      <c r="AJ60" s="2186"/>
      <c r="AK60" s="2186"/>
      <c r="AL60" s="2186"/>
      <c r="AM60" s="2186"/>
      <c r="AN60" s="2186"/>
      <c r="AO60" s="2187"/>
      <c r="AP60" s="2187"/>
      <c r="AQ60" s="2197"/>
    </row>
    <row r="61" spans="1:43" ht="27" customHeight="1" x14ac:dyDescent="0.2">
      <c r="A61" s="1554"/>
      <c r="B61" s="470"/>
      <c r="C61" s="1586"/>
      <c r="D61" s="1594">
        <v>28</v>
      </c>
      <c r="E61" s="1595"/>
      <c r="F61" s="2198" t="s">
        <v>77</v>
      </c>
      <c r="G61" s="2198"/>
      <c r="H61" s="2198"/>
      <c r="I61" s="2198"/>
      <c r="J61" s="2198"/>
      <c r="K61" s="2198"/>
      <c r="L61" s="1596"/>
      <c r="M61" s="1597"/>
      <c r="N61" s="1596"/>
      <c r="O61" s="1596"/>
      <c r="P61" s="1596"/>
      <c r="Q61" s="1598"/>
      <c r="R61" s="1599"/>
      <c r="S61" s="1596"/>
      <c r="T61" s="1600"/>
      <c r="U61" s="1601"/>
      <c r="V61" s="1602"/>
      <c r="W61" s="1603"/>
      <c r="X61" s="1604"/>
      <c r="Y61" s="1605"/>
      <c r="Z61" s="1606"/>
      <c r="AA61" s="1605"/>
      <c r="AB61" s="1605"/>
      <c r="AC61" s="1605"/>
      <c r="AD61" s="1605"/>
      <c r="AE61" s="1605"/>
      <c r="AF61" s="1605"/>
      <c r="AG61" s="1605"/>
      <c r="AH61" s="1605"/>
      <c r="AI61" s="1605"/>
      <c r="AJ61" s="1605"/>
      <c r="AK61" s="1605"/>
      <c r="AL61" s="1605"/>
      <c r="AM61" s="1605"/>
      <c r="AN61" s="1605"/>
      <c r="AO61" s="1607"/>
      <c r="AP61" s="1608"/>
      <c r="AQ61" s="1609"/>
    </row>
    <row r="62" spans="1:43" ht="27" customHeight="1" x14ac:dyDescent="0.2">
      <c r="A62" s="1554"/>
      <c r="B62" s="470"/>
      <c r="C62" s="470"/>
      <c r="D62" s="1610"/>
      <c r="E62" s="1611"/>
      <c r="F62" s="1612"/>
      <c r="G62" s="1587">
        <v>87</v>
      </c>
      <c r="H62" s="2183" t="s">
        <v>1892</v>
      </c>
      <c r="I62" s="2183"/>
      <c r="J62" s="2183"/>
      <c r="K62" s="2183"/>
      <c r="L62" s="400"/>
      <c r="M62" s="1035"/>
      <c r="N62" s="749"/>
      <c r="O62" s="749"/>
      <c r="P62" s="400"/>
      <c r="Q62" s="1539"/>
      <c r="R62" s="1588"/>
      <c r="S62" s="400"/>
      <c r="T62" s="863"/>
      <c r="U62" s="978"/>
      <c r="V62" s="1558"/>
      <c r="W62" s="1559"/>
      <c r="X62" s="1144"/>
      <c r="Y62" s="1560"/>
      <c r="Z62" s="1561"/>
      <c r="AA62" s="1560"/>
      <c r="AB62" s="1560"/>
      <c r="AC62" s="1560"/>
      <c r="AD62" s="1560"/>
      <c r="AE62" s="1560"/>
      <c r="AF62" s="1560"/>
      <c r="AG62" s="1560"/>
      <c r="AH62" s="1560"/>
      <c r="AI62" s="1560"/>
      <c r="AJ62" s="1560"/>
      <c r="AK62" s="1560"/>
      <c r="AL62" s="1560"/>
      <c r="AM62" s="1560"/>
      <c r="AN62" s="1560"/>
      <c r="AO62" s="1562"/>
      <c r="AP62" s="1563"/>
      <c r="AQ62" s="1150"/>
    </row>
    <row r="63" spans="1:43" s="1549" customFormat="1" ht="48.75" customHeight="1" x14ac:dyDescent="0.2">
      <c r="A63" s="1564"/>
      <c r="B63" s="782"/>
      <c r="C63" s="782"/>
      <c r="D63" s="1565"/>
      <c r="E63" s="782"/>
      <c r="F63" s="782"/>
      <c r="G63" s="1613"/>
      <c r="H63" s="1614"/>
      <c r="I63" s="1614"/>
      <c r="J63" s="2191">
        <v>257</v>
      </c>
      <c r="K63" s="2049" t="s">
        <v>1893</v>
      </c>
      <c r="L63" s="2049" t="s">
        <v>1894</v>
      </c>
      <c r="M63" s="2204">
        <v>1</v>
      </c>
      <c r="N63" s="2049" t="s">
        <v>1895</v>
      </c>
      <c r="O63" s="2202" t="s">
        <v>1896</v>
      </c>
      <c r="P63" s="2200" t="s">
        <v>1897</v>
      </c>
      <c r="Q63" s="2195">
        <f>+R63/(SUM($V$63:$V$70))</f>
        <v>0.33962264150943394</v>
      </c>
      <c r="R63" s="2196">
        <f>SUM(V63:V65)</f>
        <v>72000000</v>
      </c>
      <c r="S63" s="2049" t="s">
        <v>1898</v>
      </c>
      <c r="T63" s="2049" t="s">
        <v>1899</v>
      </c>
      <c r="U63" s="1569" t="s">
        <v>1900</v>
      </c>
      <c r="V63" s="1548">
        <f>13500000+14220000</f>
        <v>27720000</v>
      </c>
      <c r="W63" s="2191" t="s">
        <v>64</v>
      </c>
      <c r="X63" s="2191" t="s">
        <v>1901</v>
      </c>
      <c r="Y63" s="2189">
        <v>282326</v>
      </c>
      <c r="Z63" s="2193">
        <v>292684</v>
      </c>
      <c r="AA63" s="2191">
        <v>135912</v>
      </c>
      <c r="AB63" s="2191">
        <v>45122</v>
      </c>
      <c r="AC63" s="2191">
        <v>307101</v>
      </c>
      <c r="AD63" s="2191">
        <v>86875</v>
      </c>
      <c r="AE63" s="2191">
        <v>2145</v>
      </c>
      <c r="AF63" s="2191">
        <v>12718</v>
      </c>
      <c r="AG63" s="2191">
        <v>26</v>
      </c>
      <c r="AH63" s="2191">
        <v>37</v>
      </c>
      <c r="AI63" s="2191"/>
      <c r="AJ63" s="2191"/>
      <c r="AK63" s="2191">
        <v>43029</v>
      </c>
      <c r="AL63" s="2191">
        <v>16982</v>
      </c>
      <c r="AM63" s="2191">
        <v>60013</v>
      </c>
      <c r="AN63" s="2191">
        <v>575010</v>
      </c>
      <c r="AO63" s="2187">
        <v>43102</v>
      </c>
      <c r="AP63" s="2187">
        <v>43465</v>
      </c>
      <c r="AQ63" s="2188" t="s">
        <v>1822</v>
      </c>
    </row>
    <row r="64" spans="1:43" s="1549" customFormat="1" ht="27" customHeight="1" x14ac:dyDescent="0.2">
      <c r="A64" s="1564"/>
      <c r="B64" s="782"/>
      <c r="C64" s="782"/>
      <c r="D64" s="1565"/>
      <c r="E64" s="782"/>
      <c r="F64" s="782"/>
      <c r="G64" s="1565"/>
      <c r="H64" s="782"/>
      <c r="I64" s="782"/>
      <c r="J64" s="2191"/>
      <c r="K64" s="2049"/>
      <c r="L64" s="2049"/>
      <c r="M64" s="2204"/>
      <c r="N64" s="2049"/>
      <c r="O64" s="2202"/>
      <c r="P64" s="2200"/>
      <c r="Q64" s="2195"/>
      <c r="R64" s="2196"/>
      <c r="S64" s="2202"/>
      <c r="T64" s="2049"/>
      <c r="U64" s="1569" t="s">
        <v>1902</v>
      </c>
      <c r="V64" s="1548">
        <f>9300000+14700000</f>
        <v>24000000</v>
      </c>
      <c r="W64" s="2186"/>
      <c r="X64" s="2191"/>
      <c r="Y64" s="2189"/>
      <c r="Z64" s="2193"/>
      <c r="AA64" s="2191"/>
      <c r="AB64" s="2191"/>
      <c r="AC64" s="2191"/>
      <c r="AD64" s="2191"/>
      <c r="AE64" s="2191"/>
      <c r="AF64" s="2191"/>
      <c r="AG64" s="2191"/>
      <c r="AH64" s="2191"/>
      <c r="AI64" s="2191"/>
      <c r="AJ64" s="2191"/>
      <c r="AK64" s="2191"/>
      <c r="AL64" s="2191"/>
      <c r="AM64" s="2191"/>
      <c r="AN64" s="2191"/>
      <c r="AO64" s="2187"/>
      <c r="AP64" s="2187"/>
      <c r="AQ64" s="2188"/>
    </row>
    <row r="65" spans="1:43" s="1549" customFormat="1" ht="27" customHeight="1" x14ac:dyDescent="0.2">
      <c r="A65" s="1564"/>
      <c r="B65" s="782"/>
      <c r="C65" s="782"/>
      <c r="D65" s="1565"/>
      <c r="E65" s="782"/>
      <c r="F65" s="782"/>
      <c r="G65" s="1565"/>
      <c r="H65" s="782"/>
      <c r="I65" s="1617"/>
      <c r="J65" s="2191"/>
      <c r="K65" s="2049"/>
      <c r="L65" s="2049"/>
      <c r="M65" s="2204"/>
      <c r="N65" s="2049"/>
      <c r="O65" s="2202"/>
      <c r="P65" s="2200"/>
      <c r="Q65" s="2195"/>
      <c r="R65" s="2196"/>
      <c r="S65" s="2202"/>
      <c r="T65" s="2049"/>
      <c r="U65" s="1569" t="s">
        <v>1903</v>
      </c>
      <c r="V65" s="1548">
        <f>9200000+11080000</f>
        <v>20280000</v>
      </c>
      <c r="W65" s="2186"/>
      <c r="X65" s="2191"/>
      <c r="Y65" s="2189"/>
      <c r="Z65" s="2193"/>
      <c r="AA65" s="2191"/>
      <c r="AB65" s="2191"/>
      <c r="AC65" s="2191"/>
      <c r="AD65" s="2191"/>
      <c r="AE65" s="2191"/>
      <c r="AF65" s="2191"/>
      <c r="AG65" s="2191"/>
      <c r="AH65" s="2191"/>
      <c r="AI65" s="2191"/>
      <c r="AJ65" s="2191"/>
      <c r="AK65" s="2191"/>
      <c r="AL65" s="2191"/>
      <c r="AM65" s="2191"/>
      <c r="AN65" s="2191"/>
      <c r="AO65" s="2187"/>
      <c r="AP65" s="2187"/>
      <c r="AQ65" s="2188"/>
    </row>
    <row r="66" spans="1:43" s="1549" customFormat="1" ht="37.5" customHeight="1" x14ac:dyDescent="0.2">
      <c r="A66" s="1564"/>
      <c r="B66" s="782"/>
      <c r="C66" s="782"/>
      <c r="D66" s="1565"/>
      <c r="E66" s="782"/>
      <c r="F66" s="782"/>
      <c r="G66" s="1565"/>
      <c r="H66" s="782"/>
      <c r="I66" s="1617"/>
      <c r="J66" s="2191">
        <v>258</v>
      </c>
      <c r="K66" s="2049" t="s">
        <v>1904</v>
      </c>
      <c r="L66" s="2049" t="s">
        <v>1905</v>
      </c>
      <c r="M66" s="2210">
        <v>1</v>
      </c>
      <c r="N66" s="2049"/>
      <c r="O66" s="2202"/>
      <c r="P66" s="2200"/>
      <c r="Q66" s="2195">
        <f>+R66/(SUM($V$63:$V$70))</f>
        <v>0.14150943396226415</v>
      </c>
      <c r="R66" s="2196">
        <f>SUM(V66:V67)</f>
        <v>30000000</v>
      </c>
      <c r="S66" s="2202"/>
      <c r="T66" s="2049" t="s">
        <v>1906</v>
      </c>
      <c r="U66" s="1569" t="s">
        <v>1907</v>
      </c>
      <c r="V66" s="1548">
        <v>18000000</v>
      </c>
      <c r="W66" s="2186"/>
      <c r="X66" s="2191"/>
      <c r="Y66" s="2189"/>
      <c r="Z66" s="2193"/>
      <c r="AA66" s="2191"/>
      <c r="AB66" s="2191"/>
      <c r="AC66" s="2191"/>
      <c r="AD66" s="2191"/>
      <c r="AE66" s="2191"/>
      <c r="AF66" s="2191"/>
      <c r="AG66" s="2191"/>
      <c r="AH66" s="2191"/>
      <c r="AI66" s="2191"/>
      <c r="AJ66" s="2191"/>
      <c r="AK66" s="2191"/>
      <c r="AL66" s="2191"/>
      <c r="AM66" s="2191"/>
      <c r="AN66" s="2191"/>
      <c r="AO66" s="2187"/>
      <c r="AP66" s="2187"/>
      <c r="AQ66" s="2188"/>
    </row>
    <row r="67" spans="1:43" s="1549" customFormat="1" ht="33.75" customHeight="1" x14ac:dyDescent="0.2">
      <c r="A67" s="1564"/>
      <c r="B67" s="782"/>
      <c r="C67" s="782"/>
      <c r="D67" s="1565"/>
      <c r="E67" s="782"/>
      <c r="F67" s="782"/>
      <c r="G67" s="1565"/>
      <c r="H67" s="782"/>
      <c r="I67" s="782"/>
      <c r="J67" s="2191"/>
      <c r="K67" s="2049"/>
      <c r="L67" s="2049"/>
      <c r="M67" s="2210"/>
      <c r="N67" s="2049"/>
      <c r="O67" s="2202"/>
      <c r="P67" s="2200"/>
      <c r="Q67" s="2195"/>
      <c r="R67" s="2196"/>
      <c r="S67" s="2202"/>
      <c r="T67" s="2049"/>
      <c r="U67" s="1569" t="s">
        <v>1908</v>
      </c>
      <c r="V67" s="1548">
        <v>12000000</v>
      </c>
      <c r="W67" s="2186"/>
      <c r="X67" s="2191"/>
      <c r="Y67" s="2189"/>
      <c r="Z67" s="2193"/>
      <c r="AA67" s="2191"/>
      <c r="AB67" s="2191"/>
      <c r="AC67" s="2191"/>
      <c r="AD67" s="2191"/>
      <c r="AE67" s="2191"/>
      <c r="AF67" s="2191"/>
      <c r="AG67" s="2191"/>
      <c r="AH67" s="2191"/>
      <c r="AI67" s="2191"/>
      <c r="AJ67" s="2191"/>
      <c r="AK67" s="2191"/>
      <c r="AL67" s="2191"/>
      <c r="AM67" s="2191"/>
      <c r="AN67" s="2191"/>
      <c r="AO67" s="2187"/>
      <c r="AP67" s="2187"/>
      <c r="AQ67" s="2188"/>
    </row>
    <row r="68" spans="1:43" s="1549" customFormat="1" ht="70.5" customHeight="1" x14ac:dyDescent="0.2">
      <c r="A68" s="1564"/>
      <c r="B68" s="782"/>
      <c r="C68" s="782"/>
      <c r="D68" s="1565"/>
      <c r="E68" s="782"/>
      <c r="F68" s="782"/>
      <c r="G68" s="1565"/>
      <c r="H68" s="782"/>
      <c r="I68" s="782"/>
      <c r="J68" s="1618">
        <v>259</v>
      </c>
      <c r="K68" s="1173" t="s">
        <v>1909</v>
      </c>
      <c r="L68" s="1173" t="s">
        <v>1910</v>
      </c>
      <c r="M68" s="1619">
        <v>1</v>
      </c>
      <c r="N68" s="2049"/>
      <c r="O68" s="2202"/>
      <c r="P68" s="2200"/>
      <c r="Q68" s="1189">
        <f>+R68/(SUM($V$63:$V$70))</f>
        <v>4.2452830188679243E-2</v>
      </c>
      <c r="R68" s="995">
        <f>+V68</f>
        <v>9000000</v>
      </c>
      <c r="S68" s="2202"/>
      <c r="T68" s="1173" t="s">
        <v>1911</v>
      </c>
      <c r="U68" s="1569" t="s">
        <v>1912</v>
      </c>
      <c r="V68" s="1548">
        <v>9000000</v>
      </c>
      <c r="W68" s="2186"/>
      <c r="X68" s="2191"/>
      <c r="Y68" s="2189"/>
      <c r="Z68" s="2193"/>
      <c r="AA68" s="2191"/>
      <c r="AB68" s="2191"/>
      <c r="AC68" s="2191"/>
      <c r="AD68" s="2191"/>
      <c r="AE68" s="2191"/>
      <c r="AF68" s="2191"/>
      <c r="AG68" s="2191"/>
      <c r="AH68" s="2191"/>
      <c r="AI68" s="2191"/>
      <c r="AJ68" s="2191"/>
      <c r="AK68" s="2191"/>
      <c r="AL68" s="2191"/>
      <c r="AM68" s="2191"/>
      <c r="AN68" s="2191"/>
      <c r="AO68" s="2187"/>
      <c r="AP68" s="2187"/>
      <c r="AQ68" s="2188"/>
    </row>
    <row r="69" spans="1:43" s="1549" customFormat="1" ht="66" customHeight="1" x14ac:dyDescent="0.2">
      <c r="A69" s="1564"/>
      <c r="B69" s="782"/>
      <c r="C69" s="782"/>
      <c r="D69" s="1565"/>
      <c r="E69" s="782"/>
      <c r="F69" s="782"/>
      <c r="G69" s="1565"/>
      <c r="H69" s="782"/>
      <c r="I69" s="782"/>
      <c r="J69" s="1618">
        <v>263</v>
      </c>
      <c r="K69" s="1173" t="s">
        <v>1913</v>
      </c>
      <c r="L69" s="1173" t="s">
        <v>1914</v>
      </c>
      <c r="M69" s="1619">
        <v>1</v>
      </c>
      <c r="N69" s="2049"/>
      <c r="O69" s="2202"/>
      <c r="P69" s="2200"/>
      <c r="Q69" s="1189">
        <f>+R69/(SUM($V$63:$V$70))</f>
        <v>0.37735849056603776</v>
      </c>
      <c r="R69" s="995">
        <f>+V69</f>
        <v>80000000</v>
      </c>
      <c r="S69" s="2202"/>
      <c r="T69" s="1173" t="s">
        <v>1915</v>
      </c>
      <c r="U69" s="1569" t="s">
        <v>1916</v>
      </c>
      <c r="V69" s="1548">
        <v>80000000</v>
      </c>
      <c r="W69" s="2186"/>
      <c r="X69" s="2191"/>
      <c r="Y69" s="2189"/>
      <c r="Z69" s="2193"/>
      <c r="AA69" s="2191"/>
      <c r="AB69" s="2191"/>
      <c r="AC69" s="2191"/>
      <c r="AD69" s="2191"/>
      <c r="AE69" s="2191"/>
      <c r="AF69" s="2191"/>
      <c r="AG69" s="2191"/>
      <c r="AH69" s="2191"/>
      <c r="AI69" s="2191"/>
      <c r="AJ69" s="2191"/>
      <c r="AK69" s="2191"/>
      <c r="AL69" s="2191"/>
      <c r="AM69" s="2191"/>
      <c r="AN69" s="2191"/>
      <c r="AO69" s="2187"/>
      <c r="AP69" s="2187"/>
      <c r="AQ69" s="2188"/>
    </row>
    <row r="70" spans="1:43" s="1549" customFormat="1" ht="55.5" customHeight="1" x14ac:dyDescent="0.2">
      <c r="A70" s="1564"/>
      <c r="B70" s="782"/>
      <c r="C70" s="782"/>
      <c r="D70" s="1565"/>
      <c r="E70" s="782"/>
      <c r="F70" s="782"/>
      <c r="G70" s="1565"/>
      <c r="H70" s="782"/>
      <c r="I70" s="782"/>
      <c r="J70" s="1618">
        <v>261</v>
      </c>
      <c r="K70" s="1173" t="s">
        <v>1917</v>
      </c>
      <c r="L70" s="1173" t="s">
        <v>1918</v>
      </c>
      <c r="M70" s="1619">
        <v>2</v>
      </c>
      <c r="N70" s="2049"/>
      <c r="O70" s="2202"/>
      <c r="P70" s="2201"/>
      <c r="Q70" s="1189">
        <f>+R70/(SUM($V$63:$V$70))</f>
        <v>9.9056603773584911E-2</v>
      </c>
      <c r="R70" s="1620">
        <f>+V70</f>
        <v>21000000</v>
      </c>
      <c r="S70" s="2202"/>
      <c r="T70" s="1173" t="s">
        <v>1919</v>
      </c>
      <c r="U70" s="1569" t="s">
        <v>1920</v>
      </c>
      <c r="V70" s="1548">
        <v>21000000</v>
      </c>
      <c r="W70" s="2203"/>
      <c r="X70" s="2205"/>
      <c r="Y70" s="2206"/>
      <c r="Z70" s="2207"/>
      <c r="AA70" s="2205"/>
      <c r="AB70" s="2205"/>
      <c r="AC70" s="2205"/>
      <c r="AD70" s="2205"/>
      <c r="AE70" s="2205"/>
      <c r="AF70" s="2205"/>
      <c r="AG70" s="2205"/>
      <c r="AH70" s="2191"/>
      <c r="AI70" s="2191"/>
      <c r="AJ70" s="2191"/>
      <c r="AK70" s="2191"/>
      <c r="AL70" s="2191"/>
      <c r="AM70" s="2191"/>
      <c r="AN70" s="2191"/>
      <c r="AO70" s="2187"/>
      <c r="AP70" s="2187"/>
      <c r="AQ70" s="2188"/>
    </row>
    <row r="71" spans="1:43" s="1549" customFormat="1" ht="100.5" customHeight="1" x14ac:dyDescent="0.2">
      <c r="A71" s="1543"/>
      <c r="B71" s="782"/>
      <c r="C71" s="782"/>
      <c r="D71" s="1545"/>
      <c r="E71" s="2208"/>
      <c r="F71" s="2208"/>
      <c r="G71" s="2209"/>
      <c r="H71" s="2208"/>
      <c r="I71" s="2208"/>
      <c r="J71" s="2065">
        <v>262</v>
      </c>
      <c r="K71" s="2049" t="s">
        <v>1921</v>
      </c>
      <c r="L71" s="2049" t="s">
        <v>1922</v>
      </c>
      <c r="M71" s="2065">
        <v>1</v>
      </c>
      <c r="N71" s="2089" t="s">
        <v>1923</v>
      </c>
      <c r="O71" s="2213" t="s">
        <v>1924</v>
      </c>
      <c r="P71" s="2049" t="s">
        <v>1925</v>
      </c>
      <c r="Q71" s="2215">
        <v>1</v>
      </c>
      <c r="R71" s="2184">
        <f>SUM(V71:V77)</f>
        <v>108000000</v>
      </c>
      <c r="S71" s="2211" t="s">
        <v>1926</v>
      </c>
      <c r="T71" s="2212" t="s">
        <v>1927</v>
      </c>
      <c r="U71" s="1173" t="s">
        <v>1928</v>
      </c>
      <c r="V71" s="1621">
        <f>6000000+6600000</f>
        <v>12600000</v>
      </c>
      <c r="W71" s="2191" t="s">
        <v>64</v>
      </c>
      <c r="X71" s="2191" t="s">
        <v>1929</v>
      </c>
      <c r="Y71" s="2186">
        <v>282326</v>
      </c>
      <c r="Z71" s="2193">
        <v>292684</v>
      </c>
      <c r="AA71" s="2186">
        <v>135912</v>
      </c>
      <c r="AB71" s="2186">
        <v>45122</v>
      </c>
      <c r="AC71" s="2186">
        <v>307101</v>
      </c>
      <c r="AD71" s="2186">
        <v>86875</v>
      </c>
      <c r="AE71" s="2186">
        <v>2145</v>
      </c>
      <c r="AF71" s="2186">
        <v>12718</v>
      </c>
      <c r="AG71" s="2186">
        <v>26</v>
      </c>
      <c r="AH71" s="2216">
        <v>37</v>
      </c>
      <c r="AI71" s="2186"/>
      <c r="AJ71" s="2186"/>
      <c r="AK71" s="2186">
        <v>43029</v>
      </c>
      <c r="AL71" s="2186">
        <v>16982</v>
      </c>
      <c r="AM71" s="2186">
        <v>60013</v>
      </c>
      <c r="AN71" s="2186">
        <v>575010</v>
      </c>
      <c r="AO71" s="2187">
        <v>43102</v>
      </c>
      <c r="AP71" s="2187">
        <v>43465</v>
      </c>
      <c r="AQ71" s="2188" t="s">
        <v>1822</v>
      </c>
    </row>
    <row r="72" spans="1:43" s="1549" customFormat="1" ht="111" customHeight="1" x14ac:dyDescent="0.2">
      <c r="A72" s="1543"/>
      <c r="B72" s="782"/>
      <c r="C72" s="782"/>
      <c r="D72" s="1545"/>
      <c r="E72" s="2208"/>
      <c r="F72" s="2208"/>
      <c r="G72" s="2209"/>
      <c r="H72" s="2208"/>
      <c r="I72" s="2208"/>
      <c r="J72" s="2065"/>
      <c r="K72" s="2049"/>
      <c r="L72" s="2049"/>
      <c r="M72" s="2065"/>
      <c r="N72" s="2049"/>
      <c r="O72" s="2214"/>
      <c r="P72" s="2049"/>
      <c r="Q72" s="2215"/>
      <c r="R72" s="2184"/>
      <c r="S72" s="2211"/>
      <c r="T72" s="2212"/>
      <c r="U72" s="1173" t="s">
        <v>1930</v>
      </c>
      <c r="V72" s="1621">
        <f>4500000+4500000</f>
        <v>9000000</v>
      </c>
      <c r="W72" s="2186"/>
      <c r="X72" s="2191"/>
      <c r="Y72" s="2186"/>
      <c r="Z72" s="2193"/>
      <c r="AA72" s="2186"/>
      <c r="AB72" s="2186"/>
      <c r="AC72" s="2186"/>
      <c r="AD72" s="2186"/>
      <c r="AE72" s="2186"/>
      <c r="AF72" s="2186"/>
      <c r="AG72" s="2186"/>
      <c r="AH72" s="2216"/>
      <c r="AI72" s="2186"/>
      <c r="AJ72" s="2186"/>
      <c r="AK72" s="2186"/>
      <c r="AL72" s="2186"/>
      <c r="AM72" s="2186"/>
      <c r="AN72" s="2186"/>
      <c r="AO72" s="2187"/>
      <c r="AP72" s="2187"/>
      <c r="AQ72" s="2188"/>
    </row>
    <row r="73" spans="1:43" s="1549" customFormat="1" ht="48" customHeight="1" x14ac:dyDescent="0.2">
      <c r="A73" s="1543"/>
      <c r="B73" s="782"/>
      <c r="C73" s="782"/>
      <c r="D73" s="1545"/>
      <c r="E73" s="2208"/>
      <c r="F73" s="2208"/>
      <c r="G73" s="2209"/>
      <c r="H73" s="2208"/>
      <c r="I73" s="2208"/>
      <c r="J73" s="2065"/>
      <c r="K73" s="2049"/>
      <c r="L73" s="2049"/>
      <c r="M73" s="2065"/>
      <c r="N73" s="2049"/>
      <c r="O73" s="2214"/>
      <c r="P73" s="2049"/>
      <c r="Q73" s="2215"/>
      <c r="R73" s="2184"/>
      <c r="S73" s="2211"/>
      <c r="T73" s="2088" t="s">
        <v>1931</v>
      </c>
      <c r="U73" s="1173" t="s">
        <v>1932</v>
      </c>
      <c r="V73" s="1621">
        <v>13200000</v>
      </c>
      <c r="W73" s="2186"/>
      <c r="X73" s="2191"/>
      <c r="Y73" s="2186"/>
      <c r="Z73" s="2193"/>
      <c r="AA73" s="2186"/>
      <c r="AB73" s="2186"/>
      <c r="AC73" s="2186"/>
      <c r="AD73" s="2186"/>
      <c r="AE73" s="2186"/>
      <c r="AF73" s="2186"/>
      <c r="AG73" s="2186"/>
      <c r="AH73" s="2216"/>
      <c r="AI73" s="2186"/>
      <c r="AJ73" s="2186"/>
      <c r="AK73" s="2186"/>
      <c r="AL73" s="2186"/>
      <c r="AM73" s="2186"/>
      <c r="AN73" s="2186"/>
      <c r="AO73" s="2187"/>
      <c r="AP73" s="2187"/>
      <c r="AQ73" s="2188"/>
    </row>
    <row r="74" spans="1:43" s="1549" customFormat="1" ht="56.25" customHeight="1" x14ac:dyDescent="0.2">
      <c r="A74" s="1543"/>
      <c r="B74" s="782"/>
      <c r="C74" s="782"/>
      <c r="D74" s="1545"/>
      <c r="E74" s="2208"/>
      <c r="F74" s="2208"/>
      <c r="G74" s="2209"/>
      <c r="H74" s="2208"/>
      <c r="I74" s="2208"/>
      <c r="J74" s="2065"/>
      <c r="K74" s="2049"/>
      <c r="L74" s="2049"/>
      <c r="M74" s="2065"/>
      <c r="N74" s="2049"/>
      <c r="O74" s="2214"/>
      <c r="P74" s="2049"/>
      <c r="Q74" s="2215"/>
      <c r="R74" s="2184"/>
      <c r="S74" s="2211"/>
      <c r="T74" s="2185"/>
      <c r="U74" s="1569" t="s">
        <v>1933</v>
      </c>
      <c r="V74" s="1621">
        <f>8000000+48000000</f>
        <v>56000000</v>
      </c>
      <c r="W74" s="2186"/>
      <c r="X74" s="2191"/>
      <c r="Y74" s="2186"/>
      <c r="Z74" s="2193"/>
      <c r="AA74" s="2186"/>
      <c r="AB74" s="2186"/>
      <c r="AC74" s="2186"/>
      <c r="AD74" s="2186"/>
      <c r="AE74" s="2186"/>
      <c r="AF74" s="2186"/>
      <c r="AG74" s="2186"/>
      <c r="AH74" s="2216"/>
      <c r="AI74" s="2186"/>
      <c r="AJ74" s="2186"/>
      <c r="AK74" s="2186"/>
      <c r="AL74" s="2186"/>
      <c r="AM74" s="2186"/>
      <c r="AN74" s="2186"/>
      <c r="AO74" s="2187"/>
      <c r="AP74" s="2187"/>
      <c r="AQ74" s="2188"/>
    </row>
    <row r="75" spans="1:43" s="1549" customFormat="1" ht="43.5" customHeight="1" x14ac:dyDescent="0.2">
      <c r="A75" s="1543"/>
      <c r="B75" s="782"/>
      <c r="C75" s="782"/>
      <c r="D75" s="1545"/>
      <c r="E75" s="2208"/>
      <c r="F75" s="2208"/>
      <c r="G75" s="2209"/>
      <c r="H75" s="2208"/>
      <c r="I75" s="2208"/>
      <c r="J75" s="2065"/>
      <c r="K75" s="2049"/>
      <c r="L75" s="2049"/>
      <c r="M75" s="2065"/>
      <c r="N75" s="2049"/>
      <c r="O75" s="2214"/>
      <c r="P75" s="2049"/>
      <c r="Q75" s="2215"/>
      <c r="R75" s="2184"/>
      <c r="S75" s="2211"/>
      <c r="T75" s="2185"/>
      <c r="U75" s="1569" t="s">
        <v>1934</v>
      </c>
      <c r="V75" s="1622">
        <f>3700000+1900000</f>
        <v>5600000</v>
      </c>
      <c r="W75" s="2186"/>
      <c r="X75" s="2191"/>
      <c r="Y75" s="2186"/>
      <c r="Z75" s="2193"/>
      <c r="AA75" s="2186"/>
      <c r="AB75" s="2186"/>
      <c r="AC75" s="2186"/>
      <c r="AD75" s="2186"/>
      <c r="AE75" s="2186"/>
      <c r="AF75" s="2186"/>
      <c r="AG75" s="2186"/>
      <c r="AH75" s="2216"/>
      <c r="AI75" s="2186"/>
      <c r="AJ75" s="2186"/>
      <c r="AK75" s="2186"/>
      <c r="AL75" s="2186"/>
      <c r="AM75" s="2186"/>
      <c r="AN75" s="2186"/>
      <c r="AO75" s="2187"/>
      <c r="AP75" s="2187"/>
      <c r="AQ75" s="2188"/>
    </row>
    <row r="76" spans="1:43" s="1549" customFormat="1" ht="32.25" customHeight="1" x14ac:dyDescent="0.2">
      <c r="A76" s="1543"/>
      <c r="B76" s="782"/>
      <c r="C76" s="782"/>
      <c r="D76" s="1545"/>
      <c r="E76" s="2208"/>
      <c r="F76" s="2208"/>
      <c r="G76" s="2209"/>
      <c r="H76" s="2208"/>
      <c r="I76" s="2208"/>
      <c r="J76" s="2065"/>
      <c r="K76" s="2049"/>
      <c r="L76" s="2049"/>
      <c r="M76" s="2065"/>
      <c r="N76" s="2049"/>
      <c r="O76" s="2214"/>
      <c r="P76" s="2049"/>
      <c r="Q76" s="2215"/>
      <c r="R76" s="2184"/>
      <c r="S76" s="2211"/>
      <c r="T76" s="2185"/>
      <c r="U76" s="1569" t="s">
        <v>1935</v>
      </c>
      <c r="V76" s="1621">
        <f>4800000+3900000</f>
        <v>8700000</v>
      </c>
      <c r="W76" s="2186"/>
      <c r="X76" s="2191"/>
      <c r="Y76" s="2186"/>
      <c r="Z76" s="2193"/>
      <c r="AA76" s="2186"/>
      <c r="AB76" s="2186"/>
      <c r="AC76" s="2186"/>
      <c r="AD76" s="2186"/>
      <c r="AE76" s="2186"/>
      <c r="AF76" s="2186"/>
      <c r="AG76" s="2186"/>
      <c r="AH76" s="2216"/>
      <c r="AI76" s="2186"/>
      <c r="AJ76" s="2186"/>
      <c r="AK76" s="2186"/>
      <c r="AL76" s="2186"/>
      <c r="AM76" s="2186"/>
      <c r="AN76" s="2186"/>
      <c r="AO76" s="2187"/>
      <c r="AP76" s="2187"/>
      <c r="AQ76" s="2188"/>
    </row>
    <row r="77" spans="1:43" s="1549" customFormat="1" ht="27" customHeight="1" x14ac:dyDescent="0.2">
      <c r="A77" s="1543"/>
      <c r="B77" s="782"/>
      <c r="C77" s="782"/>
      <c r="D77" s="1545"/>
      <c r="E77" s="2208"/>
      <c r="F77" s="2208"/>
      <c r="G77" s="2209"/>
      <c r="H77" s="2208"/>
      <c r="I77" s="2208"/>
      <c r="J77" s="2065"/>
      <c r="K77" s="2049"/>
      <c r="L77" s="2049"/>
      <c r="M77" s="2065"/>
      <c r="N77" s="2049"/>
      <c r="O77" s="2214"/>
      <c r="P77" s="2049"/>
      <c r="Q77" s="2215"/>
      <c r="R77" s="2184"/>
      <c r="S77" s="2211"/>
      <c r="T77" s="2089"/>
      <c r="U77" s="1569" t="s">
        <v>1936</v>
      </c>
      <c r="V77" s="1621">
        <f>3000000-100000</f>
        <v>2900000</v>
      </c>
      <c r="W77" s="2186"/>
      <c r="X77" s="2191"/>
      <c r="Y77" s="2186"/>
      <c r="Z77" s="2193"/>
      <c r="AA77" s="2186"/>
      <c r="AB77" s="2186"/>
      <c r="AC77" s="2186"/>
      <c r="AD77" s="2186"/>
      <c r="AE77" s="2186"/>
      <c r="AF77" s="2186"/>
      <c r="AG77" s="2186"/>
      <c r="AH77" s="2216"/>
      <c r="AI77" s="2186"/>
      <c r="AJ77" s="2186"/>
      <c r="AK77" s="2186"/>
      <c r="AL77" s="2186"/>
      <c r="AM77" s="2186"/>
      <c r="AN77" s="2186"/>
      <c r="AO77" s="2187"/>
      <c r="AP77" s="2187"/>
      <c r="AQ77" s="2188"/>
    </row>
    <row r="78" spans="1:43" s="1549" customFormat="1" ht="30.75" customHeight="1" x14ac:dyDescent="0.2">
      <c r="A78" s="1543"/>
      <c r="B78" s="782"/>
      <c r="C78" s="782"/>
      <c r="D78" s="1545"/>
      <c r="E78" s="1544"/>
      <c r="F78" s="1544"/>
      <c r="G78" s="1545"/>
      <c r="H78" s="1544"/>
      <c r="I78" s="1544"/>
      <c r="J78" s="2065">
        <v>264</v>
      </c>
      <c r="K78" s="2049" t="s">
        <v>1937</v>
      </c>
      <c r="L78" s="2049" t="s">
        <v>1938</v>
      </c>
      <c r="M78" s="2065">
        <v>1</v>
      </c>
      <c r="N78" s="2221" t="s">
        <v>1939</v>
      </c>
      <c r="O78" s="2049" t="s">
        <v>1940</v>
      </c>
      <c r="P78" s="2089" t="s">
        <v>1941</v>
      </c>
      <c r="Q78" s="2217">
        <v>1</v>
      </c>
      <c r="R78" s="2218">
        <f>SUM(V78:V88)</f>
        <v>250000000</v>
      </c>
      <c r="S78" s="2049" t="s">
        <v>1942</v>
      </c>
      <c r="T78" s="2049" t="s">
        <v>1943</v>
      </c>
      <c r="U78" s="1623" t="s">
        <v>1944</v>
      </c>
      <c r="V78" s="1548">
        <v>5000000</v>
      </c>
      <c r="W78" s="2220" t="s">
        <v>64</v>
      </c>
      <c r="X78" s="2220" t="s">
        <v>1945</v>
      </c>
      <c r="Y78" s="2222">
        <v>282326</v>
      </c>
      <c r="Z78" s="2223">
        <v>292684</v>
      </c>
      <c r="AA78" s="2222">
        <v>135912</v>
      </c>
      <c r="AB78" s="2222">
        <v>45122</v>
      </c>
      <c r="AC78" s="2222">
        <v>307101</v>
      </c>
      <c r="AD78" s="2222">
        <v>86875</v>
      </c>
      <c r="AE78" s="2222">
        <v>2145</v>
      </c>
      <c r="AF78" s="2222">
        <v>12718</v>
      </c>
      <c r="AG78" s="2222">
        <v>26</v>
      </c>
      <c r="AH78" s="2186">
        <v>37</v>
      </c>
      <c r="AI78" s="2186"/>
      <c r="AJ78" s="2186"/>
      <c r="AK78" s="2186">
        <v>43029</v>
      </c>
      <c r="AL78" s="2186">
        <v>16982</v>
      </c>
      <c r="AM78" s="2186">
        <v>60013</v>
      </c>
      <c r="AN78" s="2186">
        <v>575010</v>
      </c>
      <c r="AO78" s="2187">
        <v>43102</v>
      </c>
      <c r="AP78" s="2187">
        <v>43465</v>
      </c>
      <c r="AQ78" s="2188" t="s">
        <v>1822</v>
      </c>
    </row>
    <row r="79" spans="1:43" s="1549" customFormat="1" ht="42" customHeight="1" x14ac:dyDescent="0.2">
      <c r="A79" s="1543"/>
      <c r="B79" s="782"/>
      <c r="C79" s="782"/>
      <c r="D79" s="1545"/>
      <c r="E79" s="1544"/>
      <c r="F79" s="1544"/>
      <c r="G79" s="1545"/>
      <c r="H79" s="1544"/>
      <c r="I79" s="1544"/>
      <c r="J79" s="2065"/>
      <c r="K79" s="2049"/>
      <c r="L79" s="2049"/>
      <c r="M79" s="2065"/>
      <c r="N79" s="2221"/>
      <c r="O79" s="2049"/>
      <c r="P79" s="2049"/>
      <c r="Q79" s="2217"/>
      <c r="R79" s="2184"/>
      <c r="S79" s="2049"/>
      <c r="T79" s="2049"/>
      <c r="U79" s="1173" t="s">
        <v>1946</v>
      </c>
      <c r="V79" s="1548">
        <v>7500000</v>
      </c>
      <c r="W79" s="2186"/>
      <c r="X79" s="2191"/>
      <c r="Y79" s="2186"/>
      <c r="Z79" s="2193"/>
      <c r="AA79" s="2186"/>
      <c r="AB79" s="2186"/>
      <c r="AC79" s="2186"/>
      <c r="AD79" s="2186"/>
      <c r="AE79" s="2186"/>
      <c r="AF79" s="2186"/>
      <c r="AG79" s="2186"/>
      <c r="AH79" s="2186"/>
      <c r="AI79" s="2186"/>
      <c r="AJ79" s="2186"/>
      <c r="AK79" s="2186"/>
      <c r="AL79" s="2186"/>
      <c r="AM79" s="2186"/>
      <c r="AN79" s="2186"/>
      <c r="AO79" s="2187"/>
      <c r="AP79" s="2187"/>
      <c r="AQ79" s="2188"/>
    </row>
    <row r="80" spans="1:43" s="1549" customFormat="1" ht="69.75" customHeight="1" x14ac:dyDescent="0.2">
      <c r="A80" s="1543"/>
      <c r="B80" s="782"/>
      <c r="C80" s="782"/>
      <c r="D80" s="1545"/>
      <c r="E80" s="1544"/>
      <c r="F80" s="1544"/>
      <c r="G80" s="1545"/>
      <c r="H80" s="1544"/>
      <c r="I80" s="1544"/>
      <c r="J80" s="2065"/>
      <c r="K80" s="2049"/>
      <c r="L80" s="2049"/>
      <c r="M80" s="2065"/>
      <c r="N80" s="2221"/>
      <c r="O80" s="2049"/>
      <c r="P80" s="2049"/>
      <c r="Q80" s="2217"/>
      <c r="R80" s="2184"/>
      <c r="S80" s="2049"/>
      <c r="T80" s="2049"/>
      <c r="U80" s="1569" t="s">
        <v>1947</v>
      </c>
      <c r="V80" s="1548">
        <v>12000000</v>
      </c>
      <c r="W80" s="2186"/>
      <c r="X80" s="2191"/>
      <c r="Y80" s="2186"/>
      <c r="Z80" s="2193"/>
      <c r="AA80" s="2186"/>
      <c r="AB80" s="2186"/>
      <c r="AC80" s="2186"/>
      <c r="AD80" s="2186"/>
      <c r="AE80" s="2186"/>
      <c r="AF80" s="2186"/>
      <c r="AG80" s="2186"/>
      <c r="AH80" s="2186"/>
      <c r="AI80" s="2186"/>
      <c r="AJ80" s="2186"/>
      <c r="AK80" s="2186"/>
      <c r="AL80" s="2186"/>
      <c r="AM80" s="2186"/>
      <c r="AN80" s="2186"/>
      <c r="AO80" s="2187"/>
      <c r="AP80" s="2187"/>
      <c r="AQ80" s="2188"/>
    </row>
    <row r="81" spans="1:43" s="1549" customFormat="1" ht="62.25" customHeight="1" x14ac:dyDescent="0.2">
      <c r="A81" s="1543"/>
      <c r="B81" s="782"/>
      <c r="C81" s="782"/>
      <c r="D81" s="1545"/>
      <c r="E81" s="1544"/>
      <c r="F81" s="1544"/>
      <c r="G81" s="1545"/>
      <c r="H81" s="1544"/>
      <c r="I81" s="1544"/>
      <c r="J81" s="2065"/>
      <c r="K81" s="2049"/>
      <c r="L81" s="2049"/>
      <c r="M81" s="2065"/>
      <c r="N81" s="2221"/>
      <c r="O81" s="2049"/>
      <c r="P81" s="2049"/>
      <c r="Q81" s="2217"/>
      <c r="R81" s="2184"/>
      <c r="S81" s="2049"/>
      <c r="T81" s="2049"/>
      <c r="U81" s="1569" t="s">
        <v>1948</v>
      </c>
      <c r="V81" s="1548">
        <v>15200000</v>
      </c>
      <c r="W81" s="2186"/>
      <c r="X81" s="2191"/>
      <c r="Y81" s="2186"/>
      <c r="Z81" s="2193"/>
      <c r="AA81" s="2186"/>
      <c r="AB81" s="2186"/>
      <c r="AC81" s="2186"/>
      <c r="AD81" s="2186"/>
      <c r="AE81" s="2186"/>
      <c r="AF81" s="2186"/>
      <c r="AG81" s="2186"/>
      <c r="AH81" s="2186"/>
      <c r="AI81" s="2186"/>
      <c r="AJ81" s="2186"/>
      <c r="AK81" s="2186"/>
      <c r="AL81" s="2186"/>
      <c r="AM81" s="2186"/>
      <c r="AN81" s="2186"/>
      <c r="AO81" s="2187"/>
      <c r="AP81" s="2187"/>
      <c r="AQ81" s="2188"/>
    </row>
    <row r="82" spans="1:43" s="1549" customFormat="1" ht="30" customHeight="1" x14ac:dyDescent="0.2">
      <c r="A82" s="1543"/>
      <c r="B82" s="782"/>
      <c r="C82" s="782"/>
      <c r="D82" s="1545"/>
      <c r="E82" s="1544"/>
      <c r="F82" s="1544"/>
      <c r="G82" s="1545"/>
      <c r="H82" s="1544"/>
      <c r="I82" s="1544"/>
      <c r="J82" s="2065"/>
      <c r="K82" s="2049"/>
      <c r="L82" s="2049"/>
      <c r="M82" s="2065"/>
      <c r="N82" s="2221"/>
      <c r="O82" s="2049"/>
      <c r="P82" s="2049"/>
      <c r="Q82" s="2217"/>
      <c r="R82" s="2184"/>
      <c r="S82" s="2049"/>
      <c r="T82" s="2049"/>
      <c r="U82" s="1569" t="s">
        <v>1949</v>
      </c>
      <c r="V82" s="1548">
        <v>40000000</v>
      </c>
      <c r="W82" s="2186"/>
      <c r="X82" s="2191"/>
      <c r="Y82" s="2186"/>
      <c r="Z82" s="2193"/>
      <c r="AA82" s="2186"/>
      <c r="AB82" s="2186"/>
      <c r="AC82" s="2186"/>
      <c r="AD82" s="2186"/>
      <c r="AE82" s="2186"/>
      <c r="AF82" s="2186"/>
      <c r="AG82" s="2186"/>
      <c r="AH82" s="2186"/>
      <c r="AI82" s="2186"/>
      <c r="AJ82" s="2186"/>
      <c r="AK82" s="2186"/>
      <c r="AL82" s="2186"/>
      <c r="AM82" s="2186"/>
      <c r="AN82" s="2186"/>
      <c r="AO82" s="2187"/>
      <c r="AP82" s="2187"/>
      <c r="AQ82" s="2188"/>
    </row>
    <row r="83" spans="1:43" s="1549" customFormat="1" ht="33.75" customHeight="1" x14ac:dyDescent="0.2">
      <c r="A83" s="1543"/>
      <c r="B83" s="782"/>
      <c r="C83" s="782"/>
      <c r="D83" s="1545"/>
      <c r="E83" s="1544"/>
      <c r="F83" s="1544"/>
      <c r="G83" s="1545"/>
      <c r="H83" s="1544"/>
      <c r="I83" s="1544"/>
      <c r="J83" s="2065"/>
      <c r="K83" s="2049"/>
      <c r="L83" s="2049"/>
      <c r="M83" s="2065"/>
      <c r="N83" s="2221"/>
      <c r="O83" s="2049"/>
      <c r="P83" s="2049"/>
      <c r="Q83" s="2217"/>
      <c r="R83" s="2184"/>
      <c r="S83" s="2049"/>
      <c r="T83" s="2049"/>
      <c r="U83" s="1569" t="s">
        <v>1950</v>
      </c>
      <c r="V83" s="1548">
        <v>18000000</v>
      </c>
      <c r="W83" s="2186"/>
      <c r="X83" s="2191"/>
      <c r="Y83" s="2186"/>
      <c r="Z83" s="2193"/>
      <c r="AA83" s="2186"/>
      <c r="AB83" s="2186"/>
      <c r="AC83" s="2186"/>
      <c r="AD83" s="2186"/>
      <c r="AE83" s="2186"/>
      <c r="AF83" s="2186"/>
      <c r="AG83" s="2186"/>
      <c r="AH83" s="2186"/>
      <c r="AI83" s="2186"/>
      <c r="AJ83" s="2186"/>
      <c r="AK83" s="2186"/>
      <c r="AL83" s="2186"/>
      <c r="AM83" s="2186"/>
      <c r="AN83" s="2186"/>
      <c r="AO83" s="2187"/>
      <c r="AP83" s="2187"/>
      <c r="AQ83" s="2188"/>
    </row>
    <row r="84" spans="1:43" s="1549" customFormat="1" ht="98.25" customHeight="1" x14ac:dyDescent="0.2">
      <c r="A84" s="1543"/>
      <c r="B84" s="782"/>
      <c r="C84" s="782"/>
      <c r="D84" s="1545"/>
      <c r="E84" s="1544"/>
      <c r="F84" s="1544"/>
      <c r="G84" s="1545"/>
      <c r="H84" s="1544"/>
      <c r="I84" s="1544"/>
      <c r="J84" s="2065"/>
      <c r="K84" s="2049"/>
      <c r="L84" s="2049"/>
      <c r="M84" s="2065"/>
      <c r="N84" s="2221"/>
      <c r="O84" s="2049"/>
      <c r="P84" s="2049"/>
      <c r="Q84" s="2217"/>
      <c r="R84" s="2184"/>
      <c r="S84" s="2049"/>
      <c r="T84" s="2049"/>
      <c r="U84" s="1569" t="s">
        <v>1951</v>
      </c>
      <c r="V84" s="1548">
        <v>24000000</v>
      </c>
      <c r="W84" s="2186"/>
      <c r="X84" s="2191"/>
      <c r="Y84" s="2186"/>
      <c r="Z84" s="2193"/>
      <c r="AA84" s="2186"/>
      <c r="AB84" s="2186"/>
      <c r="AC84" s="2186"/>
      <c r="AD84" s="2186"/>
      <c r="AE84" s="2186"/>
      <c r="AF84" s="2186"/>
      <c r="AG84" s="2186"/>
      <c r="AH84" s="2186"/>
      <c r="AI84" s="2186"/>
      <c r="AJ84" s="2186"/>
      <c r="AK84" s="2186"/>
      <c r="AL84" s="2186"/>
      <c r="AM84" s="2186"/>
      <c r="AN84" s="2186"/>
      <c r="AO84" s="2187"/>
      <c r="AP84" s="2187"/>
      <c r="AQ84" s="2188"/>
    </row>
    <row r="85" spans="1:43" s="1549" customFormat="1" ht="42" customHeight="1" x14ac:dyDescent="0.2">
      <c r="A85" s="1543"/>
      <c r="B85" s="782"/>
      <c r="C85" s="782"/>
      <c r="D85" s="1545"/>
      <c r="E85" s="1544"/>
      <c r="F85" s="1544"/>
      <c r="G85" s="1545"/>
      <c r="H85" s="1544"/>
      <c r="I85" s="1544"/>
      <c r="J85" s="2065"/>
      <c r="K85" s="2049"/>
      <c r="L85" s="2049"/>
      <c r="M85" s="2065"/>
      <c r="N85" s="2221"/>
      <c r="O85" s="2049"/>
      <c r="P85" s="2049"/>
      <c r="Q85" s="2217"/>
      <c r="R85" s="2184"/>
      <c r="S85" s="2049"/>
      <c r="T85" s="2049"/>
      <c r="U85" s="1569" t="s">
        <v>1952</v>
      </c>
      <c r="V85" s="1548">
        <v>10500000</v>
      </c>
      <c r="W85" s="2186"/>
      <c r="X85" s="2191"/>
      <c r="Y85" s="2186"/>
      <c r="Z85" s="2193"/>
      <c r="AA85" s="2186"/>
      <c r="AB85" s="2186"/>
      <c r="AC85" s="2186"/>
      <c r="AD85" s="2186"/>
      <c r="AE85" s="2186"/>
      <c r="AF85" s="2186"/>
      <c r="AG85" s="2186"/>
      <c r="AH85" s="2186"/>
      <c r="AI85" s="2186"/>
      <c r="AJ85" s="2186"/>
      <c r="AK85" s="2186"/>
      <c r="AL85" s="2186"/>
      <c r="AM85" s="2186"/>
      <c r="AN85" s="2186"/>
      <c r="AO85" s="2187"/>
      <c r="AP85" s="2187"/>
      <c r="AQ85" s="2188"/>
    </row>
    <row r="86" spans="1:43" s="1549" customFormat="1" ht="45.75" customHeight="1" x14ac:dyDescent="0.2">
      <c r="A86" s="1543"/>
      <c r="B86" s="782"/>
      <c r="C86" s="782"/>
      <c r="D86" s="1545"/>
      <c r="E86" s="1544"/>
      <c r="F86" s="1544"/>
      <c r="G86" s="1545"/>
      <c r="H86" s="1544"/>
      <c r="I86" s="1544"/>
      <c r="J86" s="2065"/>
      <c r="K86" s="2049"/>
      <c r="L86" s="2049"/>
      <c r="M86" s="2065"/>
      <c r="N86" s="2221"/>
      <c r="O86" s="2049"/>
      <c r="P86" s="2049"/>
      <c r="Q86" s="2217"/>
      <c r="R86" s="2184"/>
      <c r="S86" s="2049"/>
      <c r="T86" s="2049"/>
      <c r="U86" s="1569" t="s">
        <v>1953</v>
      </c>
      <c r="V86" s="1548">
        <v>7500000</v>
      </c>
      <c r="W86" s="2186"/>
      <c r="X86" s="2191"/>
      <c r="Y86" s="2186"/>
      <c r="Z86" s="2193"/>
      <c r="AA86" s="2186"/>
      <c r="AB86" s="2186"/>
      <c r="AC86" s="2186"/>
      <c r="AD86" s="2186"/>
      <c r="AE86" s="2186"/>
      <c r="AF86" s="2186"/>
      <c r="AG86" s="2186"/>
      <c r="AH86" s="2186"/>
      <c r="AI86" s="2186"/>
      <c r="AJ86" s="2186"/>
      <c r="AK86" s="2186"/>
      <c r="AL86" s="2186"/>
      <c r="AM86" s="2186"/>
      <c r="AN86" s="2186"/>
      <c r="AO86" s="2187"/>
      <c r="AP86" s="2187"/>
      <c r="AQ86" s="2188"/>
    </row>
    <row r="87" spans="1:43" s="1549" customFormat="1" ht="45.75" customHeight="1" x14ac:dyDescent="0.2">
      <c r="A87" s="1543"/>
      <c r="B87" s="782"/>
      <c r="C87" s="782"/>
      <c r="D87" s="1545"/>
      <c r="E87" s="1544"/>
      <c r="F87" s="1544"/>
      <c r="G87" s="1545"/>
      <c r="H87" s="1544"/>
      <c r="I87" s="1544"/>
      <c r="J87" s="2065"/>
      <c r="K87" s="2049"/>
      <c r="L87" s="2049"/>
      <c r="M87" s="2065"/>
      <c r="N87" s="2221"/>
      <c r="O87" s="2049"/>
      <c r="P87" s="2049"/>
      <c r="Q87" s="2217"/>
      <c r="R87" s="2219"/>
      <c r="S87" s="2049"/>
      <c r="T87" s="2049"/>
      <c r="U87" s="1986" t="s">
        <v>2529</v>
      </c>
      <c r="V87" s="1548">
        <v>100000000</v>
      </c>
      <c r="W87" s="2186"/>
      <c r="X87" s="2191"/>
      <c r="Y87" s="2186"/>
      <c r="Z87" s="2193"/>
      <c r="AA87" s="2186"/>
      <c r="AB87" s="2186"/>
      <c r="AC87" s="2186"/>
      <c r="AD87" s="2186"/>
      <c r="AE87" s="2186"/>
      <c r="AF87" s="2186"/>
      <c r="AG87" s="2186"/>
      <c r="AH87" s="2186"/>
      <c r="AI87" s="2186"/>
      <c r="AJ87" s="2186"/>
      <c r="AK87" s="2186"/>
      <c r="AL87" s="2186"/>
      <c r="AM87" s="2186"/>
      <c r="AN87" s="2186"/>
      <c r="AO87" s="2187"/>
      <c r="AP87" s="2187"/>
      <c r="AQ87" s="2188"/>
    </row>
    <row r="88" spans="1:43" s="1549" customFormat="1" ht="75" x14ac:dyDescent="0.2">
      <c r="A88" s="1543"/>
      <c r="B88" s="782"/>
      <c r="C88" s="782"/>
      <c r="D88" s="1545"/>
      <c r="E88" s="1544"/>
      <c r="F88" s="1544"/>
      <c r="G88" s="1545"/>
      <c r="H88" s="1544"/>
      <c r="I88" s="1544"/>
      <c r="J88" s="2065"/>
      <c r="K88" s="2049"/>
      <c r="L88" s="2049"/>
      <c r="M88" s="2065"/>
      <c r="N88" s="2221"/>
      <c r="O88" s="2049"/>
      <c r="P88" s="2049"/>
      <c r="Q88" s="2217"/>
      <c r="R88" s="2219"/>
      <c r="S88" s="2049"/>
      <c r="T88" s="2049"/>
      <c r="U88" s="1569" t="s">
        <v>1954</v>
      </c>
      <c r="V88" s="1548">
        <v>10300000</v>
      </c>
      <c r="W88" s="2186"/>
      <c r="X88" s="2191"/>
      <c r="Y88" s="2186"/>
      <c r="Z88" s="2193"/>
      <c r="AA88" s="2186"/>
      <c r="AB88" s="2186"/>
      <c r="AC88" s="2186"/>
      <c r="AD88" s="2186"/>
      <c r="AE88" s="2186"/>
      <c r="AF88" s="2186"/>
      <c r="AG88" s="2186"/>
      <c r="AH88" s="2186"/>
      <c r="AI88" s="2186"/>
      <c r="AJ88" s="2186"/>
      <c r="AK88" s="2186"/>
      <c r="AL88" s="2186"/>
      <c r="AM88" s="2186"/>
      <c r="AN88" s="2186"/>
      <c r="AO88" s="2187"/>
      <c r="AP88" s="2187"/>
      <c r="AQ88" s="2188" t="s">
        <v>1955</v>
      </c>
    </row>
    <row r="89" spans="1:43" s="1549" customFormat="1" ht="82.5" customHeight="1" x14ac:dyDescent="0.2">
      <c r="A89" s="2225"/>
      <c r="B89" s="2226"/>
      <c r="C89" s="2226"/>
      <c r="D89" s="2227"/>
      <c r="E89" s="2226"/>
      <c r="F89" s="2226"/>
      <c r="G89" s="2227"/>
      <c r="H89" s="2228"/>
      <c r="I89" s="2228"/>
      <c r="J89" s="2191">
        <v>265</v>
      </c>
      <c r="K89" s="2049" t="s">
        <v>1956</v>
      </c>
      <c r="L89" s="2049" t="s">
        <v>1957</v>
      </c>
      <c r="M89" s="2186">
        <v>1</v>
      </c>
      <c r="N89" s="2049" t="s">
        <v>1958</v>
      </c>
      <c r="O89" s="2202" t="s">
        <v>1959</v>
      </c>
      <c r="P89" s="2202" t="s">
        <v>1960</v>
      </c>
      <c r="Q89" s="2224">
        <v>100</v>
      </c>
      <c r="R89" s="2196">
        <f>SUM(V89:V102)</f>
        <v>591500000</v>
      </c>
      <c r="S89" s="2200" t="s">
        <v>1961</v>
      </c>
      <c r="T89" s="2049" t="s">
        <v>1962</v>
      </c>
      <c r="U89" s="1569" t="s">
        <v>1963</v>
      </c>
      <c r="V89" s="1548">
        <v>18000000</v>
      </c>
      <c r="W89" s="2191" t="s">
        <v>64</v>
      </c>
      <c r="X89" s="2191" t="s">
        <v>306</v>
      </c>
      <c r="Y89" s="2229">
        <v>282326</v>
      </c>
      <c r="Z89" s="2193">
        <v>292684</v>
      </c>
      <c r="AA89" s="2186">
        <v>135912</v>
      </c>
      <c r="AB89" s="2186">
        <f>+AB78</f>
        <v>45122</v>
      </c>
      <c r="AC89" s="2186">
        <v>307101</v>
      </c>
      <c r="AD89" s="2186">
        <v>86875</v>
      </c>
      <c r="AE89" s="2186">
        <v>2145</v>
      </c>
      <c r="AF89" s="2186">
        <v>12718</v>
      </c>
      <c r="AG89" s="2186">
        <v>26</v>
      </c>
      <c r="AH89" s="2186">
        <v>37</v>
      </c>
      <c r="AI89" s="2186"/>
      <c r="AJ89" s="2186"/>
      <c r="AK89" s="2186">
        <v>43029</v>
      </c>
      <c r="AL89" s="2186">
        <v>16982</v>
      </c>
      <c r="AM89" s="2186">
        <v>60013</v>
      </c>
      <c r="AN89" s="2186">
        <v>575010</v>
      </c>
      <c r="AO89" s="2187">
        <v>43102</v>
      </c>
      <c r="AP89" s="2187">
        <v>43465</v>
      </c>
      <c r="AQ89" s="2188" t="s">
        <v>1822</v>
      </c>
    </row>
    <row r="90" spans="1:43" s="1549" customFormat="1" ht="123.75" customHeight="1" x14ac:dyDescent="0.2">
      <c r="A90" s="2225"/>
      <c r="B90" s="2226"/>
      <c r="C90" s="2226"/>
      <c r="D90" s="2227"/>
      <c r="E90" s="2226"/>
      <c r="F90" s="2226"/>
      <c r="G90" s="2227"/>
      <c r="H90" s="2228"/>
      <c r="I90" s="2228"/>
      <c r="J90" s="2191"/>
      <c r="K90" s="2049"/>
      <c r="L90" s="2049"/>
      <c r="M90" s="2186"/>
      <c r="N90" s="2049"/>
      <c r="O90" s="2202"/>
      <c r="P90" s="2202"/>
      <c r="Q90" s="2224"/>
      <c r="R90" s="2196"/>
      <c r="S90" s="2200"/>
      <c r="T90" s="2049"/>
      <c r="U90" s="1569" t="s">
        <v>1964</v>
      </c>
      <c r="V90" s="1548">
        <v>58000000</v>
      </c>
      <c r="W90" s="2186"/>
      <c r="X90" s="2191"/>
      <c r="Y90" s="2229"/>
      <c r="Z90" s="2193"/>
      <c r="AA90" s="2186"/>
      <c r="AB90" s="2186"/>
      <c r="AC90" s="2186"/>
      <c r="AD90" s="2186"/>
      <c r="AE90" s="2186"/>
      <c r="AF90" s="2186"/>
      <c r="AG90" s="2186"/>
      <c r="AH90" s="2186"/>
      <c r="AI90" s="2186"/>
      <c r="AJ90" s="2186"/>
      <c r="AK90" s="2186"/>
      <c r="AL90" s="2186"/>
      <c r="AM90" s="2186"/>
      <c r="AN90" s="2186"/>
      <c r="AO90" s="2187"/>
      <c r="AP90" s="2187"/>
      <c r="AQ90" s="2188"/>
    </row>
    <row r="91" spans="1:43" s="1549" customFormat="1" ht="60" x14ac:dyDescent="0.2">
      <c r="A91" s="2225"/>
      <c r="B91" s="2226"/>
      <c r="C91" s="2226"/>
      <c r="D91" s="2227"/>
      <c r="E91" s="2226"/>
      <c r="F91" s="2226"/>
      <c r="G91" s="2227"/>
      <c r="H91" s="2228"/>
      <c r="I91" s="2228"/>
      <c r="J91" s="2191"/>
      <c r="K91" s="2049"/>
      <c r="L91" s="2049"/>
      <c r="M91" s="2186"/>
      <c r="N91" s="2049"/>
      <c r="O91" s="2202"/>
      <c r="P91" s="2202"/>
      <c r="Q91" s="2224"/>
      <c r="R91" s="2196"/>
      <c r="S91" s="2200"/>
      <c r="T91" s="2049"/>
      <c r="U91" s="1624" t="s">
        <v>1965</v>
      </c>
      <c r="V91" s="1548">
        <v>89100000</v>
      </c>
      <c r="W91" s="2186"/>
      <c r="X91" s="2191"/>
      <c r="Y91" s="2229"/>
      <c r="Z91" s="2193"/>
      <c r="AA91" s="2186"/>
      <c r="AB91" s="2186"/>
      <c r="AC91" s="2186"/>
      <c r="AD91" s="2186"/>
      <c r="AE91" s="2186"/>
      <c r="AF91" s="2186"/>
      <c r="AG91" s="2186"/>
      <c r="AH91" s="2186"/>
      <c r="AI91" s="2186"/>
      <c r="AJ91" s="2186"/>
      <c r="AK91" s="2186"/>
      <c r="AL91" s="2186"/>
      <c r="AM91" s="2186"/>
      <c r="AN91" s="2186"/>
      <c r="AO91" s="2187"/>
      <c r="AP91" s="2187"/>
      <c r="AQ91" s="2188"/>
    </row>
    <row r="92" spans="1:43" s="1549" customFormat="1" ht="30" x14ac:dyDescent="0.2">
      <c r="A92" s="2225"/>
      <c r="B92" s="2226"/>
      <c r="C92" s="2226"/>
      <c r="D92" s="2227"/>
      <c r="E92" s="2226"/>
      <c r="F92" s="2226"/>
      <c r="G92" s="2227"/>
      <c r="H92" s="2228"/>
      <c r="I92" s="2228"/>
      <c r="J92" s="2191"/>
      <c r="K92" s="2049"/>
      <c r="L92" s="2049"/>
      <c r="M92" s="2186"/>
      <c r="N92" s="2049"/>
      <c r="O92" s="2202"/>
      <c r="P92" s="2202"/>
      <c r="Q92" s="2224"/>
      <c r="R92" s="2196"/>
      <c r="S92" s="2200"/>
      <c r="T92" s="2049"/>
      <c r="U92" s="1569" t="s">
        <v>1966</v>
      </c>
      <c r="V92" s="1548">
        <f>62400000+65120000</f>
        <v>127520000</v>
      </c>
      <c r="W92" s="2186"/>
      <c r="X92" s="2191"/>
      <c r="Y92" s="2229"/>
      <c r="Z92" s="2193"/>
      <c r="AA92" s="2186"/>
      <c r="AB92" s="2186"/>
      <c r="AC92" s="2186"/>
      <c r="AD92" s="2186"/>
      <c r="AE92" s="2186"/>
      <c r="AF92" s="2186"/>
      <c r="AG92" s="2186"/>
      <c r="AH92" s="2186"/>
      <c r="AI92" s="2186"/>
      <c r="AJ92" s="2186"/>
      <c r="AK92" s="2186"/>
      <c r="AL92" s="2186"/>
      <c r="AM92" s="2186"/>
      <c r="AN92" s="2186"/>
      <c r="AO92" s="2187"/>
      <c r="AP92" s="2187"/>
      <c r="AQ92" s="2188"/>
    </row>
    <row r="93" spans="1:43" s="1549" customFormat="1" ht="31.5" customHeight="1" x14ac:dyDescent="0.2">
      <c r="A93" s="2225"/>
      <c r="B93" s="2226"/>
      <c r="C93" s="2226"/>
      <c r="D93" s="2227"/>
      <c r="E93" s="2226"/>
      <c r="F93" s="2226"/>
      <c r="G93" s="2227"/>
      <c r="H93" s="2228"/>
      <c r="I93" s="2228"/>
      <c r="J93" s="2191"/>
      <c r="K93" s="2049"/>
      <c r="L93" s="2049"/>
      <c r="M93" s="2186"/>
      <c r="N93" s="2049"/>
      <c r="O93" s="2202"/>
      <c r="P93" s="2202"/>
      <c r="Q93" s="2224"/>
      <c r="R93" s="2196"/>
      <c r="S93" s="2200"/>
      <c r="T93" s="2049"/>
      <c r="U93" s="1625" t="s">
        <v>1967</v>
      </c>
      <c r="V93" s="1548">
        <f>20800000+39520000</f>
        <v>60320000</v>
      </c>
      <c r="W93" s="2186"/>
      <c r="X93" s="2191"/>
      <c r="Y93" s="2229"/>
      <c r="Z93" s="2193"/>
      <c r="AA93" s="2186"/>
      <c r="AB93" s="2186"/>
      <c r="AC93" s="2186"/>
      <c r="AD93" s="2186"/>
      <c r="AE93" s="2186"/>
      <c r="AF93" s="2186"/>
      <c r="AG93" s="2186"/>
      <c r="AH93" s="2186"/>
      <c r="AI93" s="2186"/>
      <c r="AJ93" s="2186"/>
      <c r="AK93" s="2186"/>
      <c r="AL93" s="2186"/>
      <c r="AM93" s="2186"/>
      <c r="AN93" s="2186"/>
      <c r="AO93" s="2187"/>
      <c r="AP93" s="2187"/>
      <c r="AQ93" s="2188"/>
    </row>
    <row r="94" spans="1:43" s="1549" customFormat="1" ht="82.5" customHeight="1" x14ac:dyDescent="0.2">
      <c r="A94" s="2225"/>
      <c r="B94" s="2226"/>
      <c r="C94" s="2226"/>
      <c r="D94" s="2227"/>
      <c r="E94" s="2226"/>
      <c r="F94" s="2226"/>
      <c r="G94" s="2227"/>
      <c r="H94" s="2228"/>
      <c r="I94" s="2228"/>
      <c r="J94" s="2191"/>
      <c r="K94" s="2049"/>
      <c r="L94" s="2049"/>
      <c r="M94" s="2186"/>
      <c r="N94" s="2049"/>
      <c r="O94" s="2202"/>
      <c r="P94" s="2202"/>
      <c r="Q94" s="2224"/>
      <c r="R94" s="2196"/>
      <c r="S94" s="2200"/>
      <c r="T94" s="2049"/>
      <c r="U94" s="1624" t="s">
        <v>1968</v>
      </c>
      <c r="V94" s="1548">
        <v>5760000</v>
      </c>
      <c r="W94" s="2186"/>
      <c r="X94" s="2191"/>
      <c r="Y94" s="2229"/>
      <c r="Z94" s="2193"/>
      <c r="AA94" s="2186"/>
      <c r="AB94" s="2186"/>
      <c r="AC94" s="2186"/>
      <c r="AD94" s="2186"/>
      <c r="AE94" s="2186"/>
      <c r="AF94" s="2186"/>
      <c r="AG94" s="2186"/>
      <c r="AH94" s="2186"/>
      <c r="AI94" s="2186"/>
      <c r="AJ94" s="2186"/>
      <c r="AK94" s="2186"/>
      <c r="AL94" s="2186"/>
      <c r="AM94" s="2186"/>
      <c r="AN94" s="2186"/>
      <c r="AO94" s="2187"/>
      <c r="AP94" s="2187"/>
      <c r="AQ94" s="2188"/>
    </row>
    <row r="95" spans="1:43" s="1549" customFormat="1" ht="45" x14ac:dyDescent="0.2">
      <c r="A95" s="2225"/>
      <c r="B95" s="2226"/>
      <c r="C95" s="2226"/>
      <c r="D95" s="2227"/>
      <c r="E95" s="2226"/>
      <c r="F95" s="2226"/>
      <c r="G95" s="2227"/>
      <c r="H95" s="2228"/>
      <c r="I95" s="2228"/>
      <c r="J95" s="2191"/>
      <c r="K95" s="2049"/>
      <c r="L95" s="2049"/>
      <c r="M95" s="2186"/>
      <c r="N95" s="2049"/>
      <c r="O95" s="2202"/>
      <c r="P95" s="2202"/>
      <c r="Q95" s="2224"/>
      <c r="R95" s="2196"/>
      <c r="S95" s="2200"/>
      <c r="T95" s="2049"/>
      <c r="U95" s="1624" t="s">
        <v>1969</v>
      </c>
      <c r="V95" s="1548">
        <v>5760000</v>
      </c>
      <c r="W95" s="2186"/>
      <c r="X95" s="2191"/>
      <c r="Y95" s="2229"/>
      <c r="Z95" s="2193"/>
      <c r="AA95" s="2186"/>
      <c r="AB95" s="2186"/>
      <c r="AC95" s="2186"/>
      <c r="AD95" s="2186"/>
      <c r="AE95" s="2186"/>
      <c r="AF95" s="2186"/>
      <c r="AG95" s="2186"/>
      <c r="AH95" s="2186"/>
      <c r="AI95" s="2186"/>
      <c r="AJ95" s="2186"/>
      <c r="AK95" s="2186"/>
      <c r="AL95" s="2186"/>
      <c r="AM95" s="2186"/>
      <c r="AN95" s="2186"/>
      <c r="AO95" s="2187"/>
      <c r="AP95" s="2187"/>
      <c r="AQ95" s="2188"/>
    </row>
    <row r="96" spans="1:43" s="1549" customFormat="1" ht="45" x14ac:dyDescent="0.2">
      <c r="A96" s="2225"/>
      <c r="B96" s="2226"/>
      <c r="C96" s="2226"/>
      <c r="D96" s="2227"/>
      <c r="E96" s="2226"/>
      <c r="F96" s="2226"/>
      <c r="G96" s="2227"/>
      <c r="H96" s="2228"/>
      <c r="I96" s="2228"/>
      <c r="J96" s="2191"/>
      <c r="K96" s="2049"/>
      <c r="L96" s="2049"/>
      <c r="M96" s="2186"/>
      <c r="N96" s="2049"/>
      <c r="O96" s="2202"/>
      <c r="P96" s="2202"/>
      <c r="Q96" s="2224"/>
      <c r="R96" s="2196"/>
      <c r="S96" s="2200"/>
      <c r="T96" s="2049"/>
      <c r="U96" s="1624" t="s">
        <v>1970</v>
      </c>
      <c r="V96" s="1548">
        <v>5760000</v>
      </c>
      <c r="W96" s="2186"/>
      <c r="X96" s="2191"/>
      <c r="Y96" s="2229"/>
      <c r="Z96" s="2193"/>
      <c r="AA96" s="2186"/>
      <c r="AB96" s="2186"/>
      <c r="AC96" s="2186"/>
      <c r="AD96" s="2186"/>
      <c r="AE96" s="2186"/>
      <c r="AF96" s="2186"/>
      <c r="AG96" s="2186"/>
      <c r="AH96" s="2186"/>
      <c r="AI96" s="2186"/>
      <c r="AJ96" s="2186"/>
      <c r="AK96" s="2186"/>
      <c r="AL96" s="2186"/>
      <c r="AM96" s="2186"/>
      <c r="AN96" s="2186"/>
      <c r="AO96" s="2187"/>
      <c r="AP96" s="2187"/>
      <c r="AQ96" s="2188"/>
    </row>
    <row r="97" spans="1:43" s="1549" customFormat="1" ht="45" customHeight="1" x14ac:dyDescent="0.2">
      <c r="A97" s="2225"/>
      <c r="B97" s="2226"/>
      <c r="C97" s="2226"/>
      <c r="D97" s="2227"/>
      <c r="E97" s="2226"/>
      <c r="F97" s="2226"/>
      <c r="G97" s="2227"/>
      <c r="H97" s="2228"/>
      <c r="I97" s="2228"/>
      <c r="J97" s="2191"/>
      <c r="K97" s="2049"/>
      <c r="L97" s="2049"/>
      <c r="M97" s="2186"/>
      <c r="N97" s="2049"/>
      <c r="O97" s="2202"/>
      <c r="P97" s="2202"/>
      <c r="Q97" s="2224"/>
      <c r="R97" s="2196"/>
      <c r="S97" s="2200"/>
      <c r="T97" s="2049"/>
      <c r="U97" s="1624" t="s">
        <v>1971</v>
      </c>
      <c r="V97" s="1548">
        <v>14480000</v>
      </c>
      <c r="W97" s="2186"/>
      <c r="X97" s="2191"/>
      <c r="Y97" s="2229"/>
      <c r="Z97" s="2193"/>
      <c r="AA97" s="2186"/>
      <c r="AB97" s="2186"/>
      <c r="AC97" s="2186"/>
      <c r="AD97" s="2186"/>
      <c r="AE97" s="2186"/>
      <c r="AF97" s="2186"/>
      <c r="AG97" s="2186"/>
      <c r="AH97" s="2186"/>
      <c r="AI97" s="2186"/>
      <c r="AJ97" s="2186"/>
      <c r="AK97" s="2186"/>
      <c r="AL97" s="2186"/>
      <c r="AM97" s="2186"/>
      <c r="AN97" s="2186"/>
      <c r="AO97" s="2187"/>
      <c r="AP97" s="2187"/>
      <c r="AQ97" s="2188"/>
    </row>
    <row r="98" spans="1:43" s="1549" customFormat="1" ht="37.5" customHeight="1" x14ac:dyDescent="0.2">
      <c r="A98" s="2225"/>
      <c r="B98" s="2226"/>
      <c r="C98" s="2226"/>
      <c r="D98" s="2227"/>
      <c r="E98" s="2226"/>
      <c r="F98" s="2226"/>
      <c r="G98" s="2227"/>
      <c r="H98" s="2228"/>
      <c r="I98" s="2228"/>
      <c r="J98" s="2191"/>
      <c r="K98" s="2049"/>
      <c r="L98" s="2049"/>
      <c r="M98" s="2186"/>
      <c r="N98" s="2049"/>
      <c r="O98" s="2202"/>
      <c r="P98" s="2202"/>
      <c r="Q98" s="2224"/>
      <c r="R98" s="2196"/>
      <c r="S98" s="2200"/>
      <c r="T98" s="2049" t="s">
        <v>1972</v>
      </c>
      <c r="U98" s="1569" t="s">
        <v>1973</v>
      </c>
      <c r="V98" s="1548">
        <v>8000000</v>
      </c>
      <c r="W98" s="2186"/>
      <c r="X98" s="2191"/>
      <c r="Y98" s="2229"/>
      <c r="Z98" s="2193"/>
      <c r="AA98" s="2186"/>
      <c r="AB98" s="2186"/>
      <c r="AC98" s="2186"/>
      <c r="AD98" s="2186"/>
      <c r="AE98" s="2186"/>
      <c r="AF98" s="2186"/>
      <c r="AG98" s="2186"/>
      <c r="AH98" s="2186"/>
      <c r="AI98" s="2186"/>
      <c r="AJ98" s="2186"/>
      <c r="AK98" s="2186"/>
      <c r="AL98" s="2186"/>
      <c r="AM98" s="2186"/>
      <c r="AN98" s="2186"/>
      <c r="AO98" s="2187"/>
      <c r="AP98" s="2187"/>
      <c r="AQ98" s="2188"/>
    </row>
    <row r="99" spans="1:43" s="1549" customFormat="1" ht="29.25" customHeight="1" x14ac:dyDescent="0.2">
      <c r="A99" s="2225"/>
      <c r="B99" s="2226"/>
      <c r="C99" s="2226"/>
      <c r="D99" s="2227"/>
      <c r="E99" s="2226"/>
      <c r="F99" s="2226"/>
      <c r="G99" s="2227"/>
      <c r="H99" s="2228"/>
      <c r="I99" s="2228"/>
      <c r="J99" s="2191"/>
      <c r="K99" s="2049"/>
      <c r="L99" s="2049"/>
      <c r="M99" s="2186"/>
      <c r="N99" s="2049"/>
      <c r="O99" s="2202"/>
      <c r="P99" s="2202"/>
      <c r="Q99" s="2224"/>
      <c r="R99" s="2196"/>
      <c r="S99" s="2200"/>
      <c r="T99" s="2049"/>
      <c r="U99" s="1569" t="s">
        <v>1974</v>
      </c>
      <c r="V99" s="1548">
        <v>6500000</v>
      </c>
      <c r="W99" s="2186"/>
      <c r="X99" s="2191"/>
      <c r="Y99" s="2229"/>
      <c r="Z99" s="2193"/>
      <c r="AA99" s="2186"/>
      <c r="AB99" s="2186"/>
      <c r="AC99" s="2186"/>
      <c r="AD99" s="2186"/>
      <c r="AE99" s="2186"/>
      <c r="AF99" s="2186"/>
      <c r="AG99" s="2186"/>
      <c r="AH99" s="2186"/>
      <c r="AI99" s="2186"/>
      <c r="AJ99" s="2186"/>
      <c r="AK99" s="2186"/>
      <c r="AL99" s="2186"/>
      <c r="AM99" s="2186"/>
      <c r="AN99" s="2186"/>
      <c r="AO99" s="2187"/>
      <c r="AP99" s="2187"/>
      <c r="AQ99" s="2188"/>
    </row>
    <row r="100" spans="1:43" s="1549" customFormat="1" ht="15" x14ac:dyDescent="0.2">
      <c r="A100" s="2225"/>
      <c r="B100" s="2226"/>
      <c r="C100" s="2226"/>
      <c r="D100" s="2227"/>
      <c r="E100" s="2226"/>
      <c r="F100" s="2226"/>
      <c r="G100" s="2227"/>
      <c r="H100" s="2228"/>
      <c r="I100" s="2228"/>
      <c r="J100" s="2191"/>
      <c r="K100" s="2049"/>
      <c r="L100" s="2049"/>
      <c r="M100" s="2186"/>
      <c r="N100" s="2049"/>
      <c r="O100" s="2202"/>
      <c r="P100" s="2202"/>
      <c r="Q100" s="2224"/>
      <c r="R100" s="2196"/>
      <c r="S100" s="2200"/>
      <c r="T100" s="2049"/>
      <c r="U100" s="1569" t="s">
        <v>1975</v>
      </c>
      <c r="V100" s="1548">
        <v>18000000</v>
      </c>
      <c r="W100" s="2186"/>
      <c r="X100" s="2191"/>
      <c r="Y100" s="2229"/>
      <c r="Z100" s="2193"/>
      <c r="AA100" s="2186"/>
      <c r="AB100" s="2186"/>
      <c r="AC100" s="2186"/>
      <c r="AD100" s="2186"/>
      <c r="AE100" s="2186"/>
      <c r="AF100" s="2186"/>
      <c r="AG100" s="2186"/>
      <c r="AH100" s="2186"/>
      <c r="AI100" s="2186"/>
      <c r="AJ100" s="2186"/>
      <c r="AK100" s="2186"/>
      <c r="AL100" s="2186"/>
      <c r="AM100" s="2186"/>
      <c r="AN100" s="2186"/>
      <c r="AO100" s="2187"/>
      <c r="AP100" s="2187"/>
      <c r="AQ100" s="2188"/>
    </row>
    <row r="101" spans="1:43" s="1549" customFormat="1" ht="106.5" customHeight="1" x14ac:dyDescent="0.2">
      <c r="A101" s="2225"/>
      <c r="B101" s="2226"/>
      <c r="C101" s="2226"/>
      <c r="D101" s="2227"/>
      <c r="E101" s="2226"/>
      <c r="F101" s="2226"/>
      <c r="G101" s="2227"/>
      <c r="H101" s="2228"/>
      <c r="I101" s="2228"/>
      <c r="J101" s="2191"/>
      <c r="K101" s="2049"/>
      <c r="L101" s="2049"/>
      <c r="M101" s="2186"/>
      <c r="N101" s="2049"/>
      <c r="O101" s="2202"/>
      <c r="P101" s="2202"/>
      <c r="Q101" s="2224"/>
      <c r="R101" s="2196"/>
      <c r="S101" s="2200"/>
      <c r="T101" s="2049" t="s">
        <v>1976</v>
      </c>
      <c r="U101" s="1624" t="s">
        <v>1977</v>
      </c>
      <c r="V101" s="1548">
        <v>90000000</v>
      </c>
      <c r="W101" s="2186"/>
      <c r="X101" s="2191"/>
      <c r="Y101" s="2229"/>
      <c r="Z101" s="2193"/>
      <c r="AA101" s="2186"/>
      <c r="AB101" s="2186"/>
      <c r="AC101" s="2186"/>
      <c r="AD101" s="2186"/>
      <c r="AE101" s="2186"/>
      <c r="AF101" s="2186"/>
      <c r="AG101" s="2186"/>
      <c r="AH101" s="2186"/>
      <c r="AI101" s="2186"/>
      <c r="AJ101" s="2186"/>
      <c r="AK101" s="2186"/>
      <c r="AL101" s="2186"/>
      <c r="AM101" s="2186"/>
      <c r="AN101" s="2186"/>
      <c r="AO101" s="2187"/>
      <c r="AP101" s="2187"/>
      <c r="AQ101" s="2188"/>
    </row>
    <row r="102" spans="1:43" s="1549" customFormat="1" ht="15" x14ac:dyDescent="0.2">
      <c r="A102" s="2225"/>
      <c r="B102" s="2226"/>
      <c r="C102" s="2226"/>
      <c r="D102" s="2227"/>
      <c r="E102" s="2226"/>
      <c r="F102" s="2226"/>
      <c r="G102" s="2227"/>
      <c r="H102" s="2228"/>
      <c r="I102" s="2228"/>
      <c r="J102" s="2191"/>
      <c r="K102" s="2049"/>
      <c r="L102" s="2049"/>
      <c r="M102" s="2186"/>
      <c r="N102" s="2049"/>
      <c r="O102" s="2202"/>
      <c r="P102" s="2202"/>
      <c r="Q102" s="2224"/>
      <c r="R102" s="2196"/>
      <c r="S102" s="2200"/>
      <c r="T102" s="2049"/>
      <c r="U102" s="1624" t="s">
        <v>1978</v>
      </c>
      <c r="V102" s="1548">
        <f>53940000+30360000</f>
        <v>84300000</v>
      </c>
      <c r="W102" s="2186"/>
      <c r="X102" s="2191"/>
      <c r="Y102" s="2229"/>
      <c r="Z102" s="2193"/>
      <c r="AA102" s="2186"/>
      <c r="AB102" s="2186"/>
      <c r="AC102" s="2186"/>
      <c r="AD102" s="2186"/>
      <c r="AE102" s="2186"/>
      <c r="AF102" s="2186"/>
      <c r="AG102" s="2186"/>
      <c r="AH102" s="2186"/>
      <c r="AI102" s="2186"/>
      <c r="AJ102" s="2186"/>
      <c r="AK102" s="2186"/>
      <c r="AL102" s="2186"/>
      <c r="AM102" s="2186"/>
      <c r="AN102" s="2186"/>
      <c r="AO102" s="2187"/>
      <c r="AP102" s="2187"/>
      <c r="AQ102" s="2188"/>
    </row>
    <row r="103" spans="1:43" s="1549" customFormat="1" ht="46.5" customHeight="1" x14ac:dyDescent="0.2">
      <c r="A103" s="1564"/>
      <c r="B103" s="782"/>
      <c r="C103" s="782"/>
      <c r="D103" s="1565"/>
      <c r="E103" s="782"/>
      <c r="F103" s="782"/>
      <c r="G103" s="1565"/>
      <c r="H103" s="782"/>
      <c r="I103" s="782"/>
      <c r="J103" s="2191">
        <v>266</v>
      </c>
      <c r="K103" s="2049" t="s">
        <v>1979</v>
      </c>
      <c r="L103" s="2192" t="s">
        <v>1980</v>
      </c>
      <c r="M103" s="2186">
        <v>1</v>
      </c>
      <c r="N103" s="2049" t="s">
        <v>1981</v>
      </c>
      <c r="O103" s="2202" t="s">
        <v>1982</v>
      </c>
      <c r="P103" s="2202" t="s">
        <v>1983</v>
      </c>
      <c r="Q103" s="2195">
        <v>1</v>
      </c>
      <c r="R103" s="2230">
        <f>SUM(V103:V118)</f>
        <v>38500000</v>
      </c>
      <c r="S103" s="2049" t="s">
        <v>1984</v>
      </c>
      <c r="T103" s="2049" t="s">
        <v>1985</v>
      </c>
      <c r="U103" s="1553" t="s">
        <v>1986</v>
      </c>
      <c r="V103" s="1548">
        <v>1020000</v>
      </c>
      <c r="W103" s="2186">
        <v>20</v>
      </c>
      <c r="X103" s="2191" t="s">
        <v>1901</v>
      </c>
      <c r="Y103" s="2186">
        <v>282326</v>
      </c>
      <c r="Z103" s="2193">
        <v>292684</v>
      </c>
      <c r="AA103" s="2186">
        <v>135912</v>
      </c>
      <c r="AB103" s="2186">
        <v>45122</v>
      </c>
      <c r="AC103" s="2186">
        <v>307101</v>
      </c>
      <c r="AD103" s="2186">
        <v>86875</v>
      </c>
      <c r="AE103" s="2186">
        <v>2145</v>
      </c>
      <c r="AF103" s="2186">
        <v>12718</v>
      </c>
      <c r="AG103" s="2186">
        <v>26</v>
      </c>
      <c r="AH103" s="2186">
        <v>37</v>
      </c>
      <c r="AI103" s="2186"/>
      <c r="AJ103" s="2186"/>
      <c r="AK103" s="2186">
        <v>43029</v>
      </c>
      <c r="AL103" s="2186">
        <v>16982</v>
      </c>
      <c r="AM103" s="2186">
        <v>60013</v>
      </c>
      <c r="AN103" s="2186">
        <v>575010</v>
      </c>
      <c r="AO103" s="2187">
        <v>43102</v>
      </c>
      <c r="AP103" s="2187">
        <v>43465</v>
      </c>
      <c r="AQ103" s="2188" t="s">
        <v>1822</v>
      </c>
    </row>
    <row r="104" spans="1:43" s="1549" customFormat="1" ht="47.25" customHeight="1" x14ac:dyDescent="0.2">
      <c r="A104" s="1564"/>
      <c r="B104" s="782"/>
      <c r="C104" s="782"/>
      <c r="D104" s="1565"/>
      <c r="E104" s="782"/>
      <c r="F104" s="782"/>
      <c r="G104" s="1565"/>
      <c r="H104" s="782"/>
      <c r="I104" s="782"/>
      <c r="J104" s="2191"/>
      <c r="K104" s="2049"/>
      <c r="L104" s="2192"/>
      <c r="M104" s="2186"/>
      <c r="N104" s="2049"/>
      <c r="O104" s="2202"/>
      <c r="P104" s="2202"/>
      <c r="Q104" s="2195"/>
      <c r="R104" s="2196"/>
      <c r="S104" s="2049"/>
      <c r="T104" s="2049"/>
      <c r="U104" s="1553" t="s">
        <v>1987</v>
      </c>
      <c r="V104" s="1548">
        <v>3300000</v>
      </c>
      <c r="W104" s="2186"/>
      <c r="X104" s="2191"/>
      <c r="Y104" s="2186"/>
      <c r="Z104" s="2193"/>
      <c r="AA104" s="2186"/>
      <c r="AB104" s="2186"/>
      <c r="AC104" s="2186"/>
      <c r="AD104" s="2186"/>
      <c r="AE104" s="2186"/>
      <c r="AF104" s="2186"/>
      <c r="AG104" s="2186"/>
      <c r="AH104" s="2186"/>
      <c r="AI104" s="2186"/>
      <c r="AJ104" s="2186"/>
      <c r="AK104" s="2186"/>
      <c r="AL104" s="2186"/>
      <c r="AM104" s="2186"/>
      <c r="AN104" s="2186"/>
      <c r="AO104" s="2187"/>
      <c r="AP104" s="2187"/>
      <c r="AQ104" s="2188"/>
    </row>
    <row r="105" spans="1:43" s="1549" customFormat="1" ht="34.5" customHeight="1" x14ac:dyDescent="0.2">
      <c r="A105" s="1564"/>
      <c r="B105" s="782"/>
      <c r="C105" s="782"/>
      <c r="D105" s="1565"/>
      <c r="E105" s="782"/>
      <c r="F105" s="782"/>
      <c r="G105" s="1565"/>
      <c r="H105" s="782"/>
      <c r="I105" s="782"/>
      <c r="J105" s="2191"/>
      <c r="K105" s="2049"/>
      <c r="L105" s="2192"/>
      <c r="M105" s="2186"/>
      <c r="N105" s="2049"/>
      <c r="O105" s="2202"/>
      <c r="P105" s="2202"/>
      <c r="Q105" s="2195"/>
      <c r="R105" s="2196"/>
      <c r="S105" s="2049"/>
      <c r="T105" s="2049"/>
      <c r="U105" s="1553" t="s">
        <v>1988</v>
      </c>
      <c r="V105" s="1548"/>
      <c r="W105" s="2186"/>
      <c r="X105" s="2191"/>
      <c r="Y105" s="2186"/>
      <c r="Z105" s="2193"/>
      <c r="AA105" s="2186"/>
      <c r="AB105" s="2186"/>
      <c r="AC105" s="2186"/>
      <c r="AD105" s="2186"/>
      <c r="AE105" s="2186"/>
      <c r="AF105" s="2186"/>
      <c r="AG105" s="2186"/>
      <c r="AH105" s="2186"/>
      <c r="AI105" s="2186"/>
      <c r="AJ105" s="2186"/>
      <c r="AK105" s="2186"/>
      <c r="AL105" s="2186"/>
      <c r="AM105" s="2186"/>
      <c r="AN105" s="2186"/>
      <c r="AO105" s="2187"/>
      <c r="AP105" s="2187"/>
      <c r="AQ105" s="2188"/>
    </row>
    <row r="106" spans="1:43" s="1549" customFormat="1" ht="23.25" customHeight="1" x14ac:dyDescent="0.2">
      <c r="A106" s="1564"/>
      <c r="B106" s="782"/>
      <c r="C106" s="782"/>
      <c r="D106" s="1565"/>
      <c r="E106" s="782"/>
      <c r="F106" s="782"/>
      <c r="G106" s="1565"/>
      <c r="H106" s="782"/>
      <c r="I106" s="782"/>
      <c r="J106" s="2191"/>
      <c r="K106" s="2049"/>
      <c r="L106" s="2192"/>
      <c r="M106" s="2186"/>
      <c r="N106" s="2049"/>
      <c r="O106" s="2202"/>
      <c r="P106" s="2202"/>
      <c r="Q106" s="2195"/>
      <c r="R106" s="2196"/>
      <c r="S106" s="2049"/>
      <c r="T106" s="2049"/>
      <c r="U106" s="1626" t="s">
        <v>1989</v>
      </c>
      <c r="V106" s="1548">
        <v>600000</v>
      </c>
      <c r="W106" s="2186"/>
      <c r="X106" s="2191"/>
      <c r="Y106" s="2186"/>
      <c r="Z106" s="2193"/>
      <c r="AA106" s="2186"/>
      <c r="AB106" s="2186"/>
      <c r="AC106" s="2186"/>
      <c r="AD106" s="2186"/>
      <c r="AE106" s="2186"/>
      <c r="AF106" s="2186"/>
      <c r="AG106" s="2186"/>
      <c r="AH106" s="2186"/>
      <c r="AI106" s="2186"/>
      <c r="AJ106" s="2186"/>
      <c r="AK106" s="2186"/>
      <c r="AL106" s="2186"/>
      <c r="AM106" s="2186"/>
      <c r="AN106" s="2186"/>
      <c r="AO106" s="2187"/>
      <c r="AP106" s="2187"/>
      <c r="AQ106" s="2188"/>
    </row>
    <row r="107" spans="1:43" s="1549" customFormat="1" ht="23.25" customHeight="1" x14ac:dyDescent="0.2">
      <c r="A107" s="1564"/>
      <c r="B107" s="782"/>
      <c r="C107" s="782"/>
      <c r="D107" s="1565"/>
      <c r="E107" s="782"/>
      <c r="F107" s="782"/>
      <c r="G107" s="1565"/>
      <c r="H107" s="782"/>
      <c r="I107" s="782"/>
      <c r="J107" s="2191"/>
      <c r="K107" s="2049"/>
      <c r="L107" s="2192"/>
      <c r="M107" s="2186"/>
      <c r="N107" s="2049"/>
      <c r="O107" s="2202"/>
      <c r="P107" s="2202"/>
      <c r="Q107" s="2195"/>
      <c r="R107" s="2196"/>
      <c r="S107" s="2049"/>
      <c r="T107" s="2049"/>
      <c r="U107" s="1626" t="s">
        <v>1990</v>
      </c>
      <c r="V107" s="1548">
        <v>600000</v>
      </c>
      <c r="W107" s="2186"/>
      <c r="X107" s="2191"/>
      <c r="Y107" s="2186"/>
      <c r="Z107" s="2193"/>
      <c r="AA107" s="2186"/>
      <c r="AB107" s="2186"/>
      <c r="AC107" s="2186"/>
      <c r="AD107" s="2186"/>
      <c r="AE107" s="2186"/>
      <c r="AF107" s="2186"/>
      <c r="AG107" s="2186"/>
      <c r="AH107" s="2186"/>
      <c r="AI107" s="2186"/>
      <c r="AJ107" s="2186"/>
      <c r="AK107" s="2186"/>
      <c r="AL107" s="2186"/>
      <c r="AM107" s="2186"/>
      <c r="AN107" s="2186"/>
      <c r="AO107" s="2187"/>
      <c r="AP107" s="2187"/>
      <c r="AQ107" s="2188"/>
    </row>
    <row r="108" spans="1:43" s="1549" customFormat="1" ht="23.25" customHeight="1" x14ac:dyDescent="0.2">
      <c r="A108" s="1564"/>
      <c r="B108" s="782"/>
      <c r="C108" s="782"/>
      <c r="D108" s="1565"/>
      <c r="E108" s="782"/>
      <c r="F108" s="782"/>
      <c r="G108" s="1565"/>
      <c r="H108" s="782"/>
      <c r="I108" s="782"/>
      <c r="J108" s="2191"/>
      <c r="K108" s="2049"/>
      <c r="L108" s="2192"/>
      <c r="M108" s="2186"/>
      <c r="N108" s="2049"/>
      <c r="O108" s="2202"/>
      <c r="P108" s="2202"/>
      <c r="Q108" s="2195"/>
      <c r="R108" s="2196"/>
      <c r="S108" s="2049"/>
      <c r="T108" s="2049"/>
      <c r="U108" s="1626" t="s">
        <v>1991</v>
      </c>
      <c r="V108" s="1548">
        <v>600000</v>
      </c>
      <c r="W108" s="2186"/>
      <c r="X108" s="2191"/>
      <c r="Y108" s="2186"/>
      <c r="Z108" s="2193"/>
      <c r="AA108" s="2186"/>
      <c r="AB108" s="2186"/>
      <c r="AC108" s="2186"/>
      <c r="AD108" s="2186"/>
      <c r="AE108" s="2186"/>
      <c r="AF108" s="2186"/>
      <c r="AG108" s="2186"/>
      <c r="AH108" s="2186"/>
      <c r="AI108" s="2186"/>
      <c r="AJ108" s="2186"/>
      <c r="AK108" s="2186"/>
      <c r="AL108" s="2186"/>
      <c r="AM108" s="2186"/>
      <c r="AN108" s="2186"/>
      <c r="AO108" s="2187"/>
      <c r="AP108" s="2187"/>
      <c r="AQ108" s="2188"/>
    </row>
    <row r="109" spans="1:43" s="1549" customFormat="1" ht="23.25" customHeight="1" x14ac:dyDescent="0.2">
      <c r="A109" s="1564"/>
      <c r="B109" s="782"/>
      <c r="C109" s="782"/>
      <c r="D109" s="1565"/>
      <c r="E109" s="782"/>
      <c r="F109" s="782"/>
      <c r="G109" s="1565"/>
      <c r="H109" s="782"/>
      <c r="I109" s="782"/>
      <c r="J109" s="2191"/>
      <c r="K109" s="2049"/>
      <c r="L109" s="2192"/>
      <c r="M109" s="2186"/>
      <c r="N109" s="2049"/>
      <c r="O109" s="2202"/>
      <c r="P109" s="2202"/>
      <c r="Q109" s="2195"/>
      <c r="R109" s="2196"/>
      <c r="S109" s="2049"/>
      <c r="T109" s="2049"/>
      <c r="U109" s="1626" t="s">
        <v>1992</v>
      </c>
      <c r="V109" s="1548">
        <v>2700000</v>
      </c>
      <c r="W109" s="2186"/>
      <c r="X109" s="2191"/>
      <c r="Y109" s="2186"/>
      <c r="Z109" s="2193"/>
      <c r="AA109" s="2186"/>
      <c r="AB109" s="2186"/>
      <c r="AC109" s="2186"/>
      <c r="AD109" s="2186"/>
      <c r="AE109" s="2186"/>
      <c r="AF109" s="2186"/>
      <c r="AG109" s="2186"/>
      <c r="AH109" s="2186"/>
      <c r="AI109" s="2186"/>
      <c r="AJ109" s="2186"/>
      <c r="AK109" s="2186"/>
      <c r="AL109" s="2186"/>
      <c r="AM109" s="2186"/>
      <c r="AN109" s="2186"/>
      <c r="AO109" s="2187"/>
      <c r="AP109" s="2187"/>
      <c r="AQ109" s="2188"/>
    </row>
    <row r="110" spans="1:43" s="1549" customFormat="1" ht="23.25" customHeight="1" x14ac:dyDescent="0.2">
      <c r="A110" s="1564"/>
      <c r="B110" s="782"/>
      <c r="C110" s="782"/>
      <c r="D110" s="1565"/>
      <c r="E110" s="782"/>
      <c r="F110" s="782"/>
      <c r="G110" s="1565"/>
      <c r="H110" s="782"/>
      <c r="I110" s="782"/>
      <c r="J110" s="2191"/>
      <c r="K110" s="2049"/>
      <c r="L110" s="2192"/>
      <c r="M110" s="2186"/>
      <c r="N110" s="2049"/>
      <c r="O110" s="2202"/>
      <c r="P110" s="2202"/>
      <c r="Q110" s="2195"/>
      <c r="R110" s="2196"/>
      <c r="S110" s="2049"/>
      <c r="T110" s="2049"/>
      <c r="U110" s="1627" t="s">
        <v>1993</v>
      </c>
      <c r="V110" s="1548">
        <v>2700000</v>
      </c>
      <c r="W110" s="2186"/>
      <c r="X110" s="2191"/>
      <c r="Y110" s="2186"/>
      <c r="Z110" s="2193"/>
      <c r="AA110" s="2186"/>
      <c r="AB110" s="2186"/>
      <c r="AC110" s="2186"/>
      <c r="AD110" s="2186"/>
      <c r="AE110" s="2186"/>
      <c r="AF110" s="2186"/>
      <c r="AG110" s="2186"/>
      <c r="AH110" s="2186"/>
      <c r="AI110" s="2186"/>
      <c r="AJ110" s="2186"/>
      <c r="AK110" s="2186"/>
      <c r="AL110" s="2186"/>
      <c r="AM110" s="2186"/>
      <c r="AN110" s="2186"/>
      <c r="AO110" s="2187"/>
      <c r="AP110" s="2187"/>
      <c r="AQ110" s="2188"/>
    </row>
    <row r="111" spans="1:43" s="1549" customFormat="1" ht="23.25" customHeight="1" x14ac:dyDescent="0.2">
      <c r="A111" s="1564"/>
      <c r="B111" s="782"/>
      <c r="C111" s="782"/>
      <c r="D111" s="1565"/>
      <c r="E111" s="782"/>
      <c r="F111" s="782"/>
      <c r="G111" s="1565"/>
      <c r="H111" s="782"/>
      <c r="I111" s="782"/>
      <c r="J111" s="2191"/>
      <c r="K111" s="2049"/>
      <c r="L111" s="2192"/>
      <c r="M111" s="2186"/>
      <c r="N111" s="2049"/>
      <c r="O111" s="2202"/>
      <c r="P111" s="2202"/>
      <c r="Q111" s="2195"/>
      <c r="R111" s="2196"/>
      <c r="S111" s="2049"/>
      <c r="T111" s="2049"/>
      <c r="U111" s="1627" t="s">
        <v>1994</v>
      </c>
      <c r="V111" s="1548">
        <v>2700000</v>
      </c>
      <c r="W111" s="2186"/>
      <c r="X111" s="2191"/>
      <c r="Y111" s="2186"/>
      <c r="Z111" s="2193"/>
      <c r="AA111" s="2186"/>
      <c r="AB111" s="2186"/>
      <c r="AC111" s="2186"/>
      <c r="AD111" s="2186"/>
      <c r="AE111" s="2186"/>
      <c r="AF111" s="2186"/>
      <c r="AG111" s="2186"/>
      <c r="AH111" s="2186"/>
      <c r="AI111" s="2186"/>
      <c r="AJ111" s="2186"/>
      <c r="AK111" s="2186"/>
      <c r="AL111" s="2186"/>
      <c r="AM111" s="2186"/>
      <c r="AN111" s="2186"/>
      <c r="AO111" s="2187"/>
      <c r="AP111" s="2187"/>
      <c r="AQ111" s="2188"/>
    </row>
    <row r="112" spans="1:43" s="1549" customFormat="1" ht="23.25" customHeight="1" x14ac:dyDescent="0.2">
      <c r="A112" s="1564"/>
      <c r="B112" s="782"/>
      <c r="C112" s="782"/>
      <c r="D112" s="1565"/>
      <c r="E112" s="782"/>
      <c r="F112" s="782"/>
      <c r="G112" s="1565"/>
      <c r="H112" s="782"/>
      <c r="I112" s="782"/>
      <c r="J112" s="2191"/>
      <c r="K112" s="2049"/>
      <c r="L112" s="2192"/>
      <c r="M112" s="2186"/>
      <c r="N112" s="2049"/>
      <c r="O112" s="2202"/>
      <c r="P112" s="2202"/>
      <c r="Q112" s="2195"/>
      <c r="R112" s="2196"/>
      <c r="S112" s="2049"/>
      <c r="T112" s="2049"/>
      <c r="U112" s="1627" t="s">
        <v>1995</v>
      </c>
      <c r="V112" s="1548">
        <v>2700000</v>
      </c>
      <c r="W112" s="2186"/>
      <c r="X112" s="2191"/>
      <c r="Y112" s="2186"/>
      <c r="Z112" s="2193"/>
      <c r="AA112" s="2186"/>
      <c r="AB112" s="2186"/>
      <c r="AC112" s="2186"/>
      <c r="AD112" s="2186"/>
      <c r="AE112" s="2186"/>
      <c r="AF112" s="2186"/>
      <c r="AG112" s="2186"/>
      <c r="AH112" s="2186"/>
      <c r="AI112" s="2186"/>
      <c r="AJ112" s="2186"/>
      <c r="AK112" s="2186"/>
      <c r="AL112" s="2186"/>
      <c r="AM112" s="2186"/>
      <c r="AN112" s="2186"/>
      <c r="AO112" s="2187"/>
      <c r="AP112" s="2187"/>
      <c r="AQ112" s="2188"/>
    </row>
    <row r="113" spans="1:43" s="1549" customFormat="1" ht="23.25" customHeight="1" x14ac:dyDescent="0.2">
      <c r="A113" s="1564"/>
      <c r="B113" s="782"/>
      <c r="C113" s="782"/>
      <c r="D113" s="1565"/>
      <c r="E113" s="782"/>
      <c r="F113" s="782"/>
      <c r="G113" s="1565"/>
      <c r="H113" s="782"/>
      <c r="I113" s="782"/>
      <c r="J113" s="2191"/>
      <c r="K113" s="2049"/>
      <c r="L113" s="2192"/>
      <c r="M113" s="2186"/>
      <c r="N113" s="2049"/>
      <c r="O113" s="2202"/>
      <c r="P113" s="2202"/>
      <c r="Q113" s="2195"/>
      <c r="R113" s="2196"/>
      <c r="S113" s="2049"/>
      <c r="T113" s="2049"/>
      <c r="U113" s="1627" t="s">
        <v>1996</v>
      </c>
      <c r="V113" s="1548">
        <v>2700000</v>
      </c>
      <c r="W113" s="2186"/>
      <c r="X113" s="2191"/>
      <c r="Y113" s="2186"/>
      <c r="Z113" s="2193"/>
      <c r="AA113" s="2186"/>
      <c r="AB113" s="2186"/>
      <c r="AC113" s="2186"/>
      <c r="AD113" s="2186"/>
      <c r="AE113" s="2186"/>
      <c r="AF113" s="2186"/>
      <c r="AG113" s="2186"/>
      <c r="AH113" s="2186"/>
      <c r="AI113" s="2186"/>
      <c r="AJ113" s="2186"/>
      <c r="AK113" s="2186"/>
      <c r="AL113" s="2186"/>
      <c r="AM113" s="2186"/>
      <c r="AN113" s="2186"/>
      <c r="AO113" s="2187"/>
      <c r="AP113" s="2187"/>
      <c r="AQ113" s="2188"/>
    </row>
    <row r="114" spans="1:43" s="1549" customFormat="1" ht="23.25" customHeight="1" x14ac:dyDescent="0.2">
      <c r="A114" s="1564"/>
      <c r="B114" s="782"/>
      <c r="C114" s="782"/>
      <c r="D114" s="1565"/>
      <c r="E114" s="782"/>
      <c r="F114" s="782"/>
      <c r="G114" s="1565"/>
      <c r="H114" s="782"/>
      <c r="I114" s="782"/>
      <c r="J114" s="2191"/>
      <c r="K114" s="2049"/>
      <c r="L114" s="2192"/>
      <c r="M114" s="2186"/>
      <c r="N114" s="2049"/>
      <c r="O114" s="2202"/>
      <c r="P114" s="2202"/>
      <c r="Q114" s="2195"/>
      <c r="R114" s="2196"/>
      <c r="S114" s="2049"/>
      <c r="T114" s="2049"/>
      <c r="U114" s="1627" t="s">
        <v>1997</v>
      </c>
      <c r="V114" s="1548">
        <v>2700000</v>
      </c>
      <c r="W114" s="2186"/>
      <c r="X114" s="2191"/>
      <c r="Y114" s="2186"/>
      <c r="Z114" s="2193"/>
      <c r="AA114" s="2186"/>
      <c r="AB114" s="2186"/>
      <c r="AC114" s="2186"/>
      <c r="AD114" s="2186"/>
      <c r="AE114" s="2186"/>
      <c r="AF114" s="2186"/>
      <c r="AG114" s="2186"/>
      <c r="AH114" s="2186"/>
      <c r="AI114" s="2186"/>
      <c r="AJ114" s="2186"/>
      <c r="AK114" s="2186"/>
      <c r="AL114" s="2186"/>
      <c r="AM114" s="2186"/>
      <c r="AN114" s="2186"/>
      <c r="AO114" s="2187"/>
      <c r="AP114" s="2187"/>
      <c r="AQ114" s="2188"/>
    </row>
    <row r="115" spans="1:43" s="1549" customFormat="1" ht="23.25" customHeight="1" x14ac:dyDescent="0.2">
      <c r="A115" s="1564"/>
      <c r="B115" s="782"/>
      <c r="C115" s="782"/>
      <c r="D115" s="1565"/>
      <c r="E115" s="782"/>
      <c r="F115" s="782"/>
      <c r="G115" s="1565"/>
      <c r="H115" s="782"/>
      <c r="I115" s="782"/>
      <c r="J115" s="2191"/>
      <c r="K115" s="2049"/>
      <c r="L115" s="2192"/>
      <c r="M115" s="2186"/>
      <c r="N115" s="2049"/>
      <c r="O115" s="2202"/>
      <c r="P115" s="2202"/>
      <c r="Q115" s="2195"/>
      <c r="R115" s="2196"/>
      <c r="S115" s="2049"/>
      <c r="T115" s="2049"/>
      <c r="U115" s="1627" t="s">
        <v>1998</v>
      </c>
      <c r="V115" s="1548">
        <v>450000</v>
      </c>
      <c r="W115" s="2186"/>
      <c r="X115" s="2191"/>
      <c r="Y115" s="2186"/>
      <c r="Z115" s="2193"/>
      <c r="AA115" s="2186"/>
      <c r="AB115" s="2186"/>
      <c r="AC115" s="2186"/>
      <c r="AD115" s="2186"/>
      <c r="AE115" s="2186"/>
      <c r="AF115" s="2186"/>
      <c r="AG115" s="2186"/>
      <c r="AH115" s="2186"/>
      <c r="AI115" s="2186"/>
      <c r="AJ115" s="2186"/>
      <c r="AK115" s="2186"/>
      <c r="AL115" s="2186"/>
      <c r="AM115" s="2186"/>
      <c r="AN115" s="2186"/>
      <c r="AO115" s="2187"/>
      <c r="AP115" s="2187"/>
      <c r="AQ115" s="2188"/>
    </row>
    <row r="116" spans="1:43" s="1549" customFormat="1" ht="30" x14ac:dyDescent="0.2">
      <c r="A116" s="1564"/>
      <c r="B116" s="782"/>
      <c r="C116" s="782"/>
      <c r="D116" s="1565"/>
      <c r="E116" s="782"/>
      <c r="F116" s="782"/>
      <c r="G116" s="1565"/>
      <c r="H116" s="782"/>
      <c r="I116" s="782"/>
      <c r="J116" s="2191"/>
      <c r="K116" s="2049"/>
      <c r="L116" s="2192"/>
      <c r="M116" s="2186"/>
      <c r="N116" s="2049"/>
      <c r="O116" s="2202"/>
      <c r="P116" s="2202"/>
      <c r="Q116" s="2195"/>
      <c r="R116" s="2196"/>
      <c r="S116" s="2049"/>
      <c r="T116" s="2049"/>
      <c r="U116" s="1627" t="s">
        <v>1999</v>
      </c>
      <c r="V116" s="1548">
        <v>4800000</v>
      </c>
      <c r="W116" s="2186"/>
      <c r="X116" s="2191"/>
      <c r="Y116" s="2186"/>
      <c r="Z116" s="2193"/>
      <c r="AA116" s="2186"/>
      <c r="AB116" s="2186"/>
      <c r="AC116" s="2186"/>
      <c r="AD116" s="2186"/>
      <c r="AE116" s="2186"/>
      <c r="AF116" s="2186"/>
      <c r="AG116" s="2186"/>
      <c r="AH116" s="2186"/>
      <c r="AI116" s="2186"/>
      <c r="AJ116" s="2186"/>
      <c r="AK116" s="2186"/>
      <c r="AL116" s="2186"/>
      <c r="AM116" s="2186"/>
      <c r="AN116" s="2186"/>
      <c r="AO116" s="2187"/>
      <c r="AP116" s="2187"/>
      <c r="AQ116" s="2188"/>
    </row>
    <row r="117" spans="1:43" s="1549" customFormat="1" ht="25.5" customHeight="1" x14ac:dyDescent="0.2">
      <c r="A117" s="1564"/>
      <c r="B117" s="782"/>
      <c r="C117" s="782"/>
      <c r="D117" s="1565"/>
      <c r="E117" s="782"/>
      <c r="F117" s="782"/>
      <c r="G117" s="1565"/>
      <c r="H117" s="782"/>
      <c r="I117" s="782"/>
      <c r="J117" s="2191"/>
      <c r="K117" s="2049"/>
      <c r="L117" s="2192"/>
      <c r="M117" s="2186"/>
      <c r="N117" s="2049"/>
      <c r="O117" s="2202"/>
      <c r="P117" s="2202"/>
      <c r="Q117" s="2195"/>
      <c r="R117" s="2196"/>
      <c r="S117" s="2049"/>
      <c r="T117" s="2049"/>
      <c r="U117" s="1627" t="s">
        <v>2000</v>
      </c>
      <c r="V117" s="1548">
        <v>1000000</v>
      </c>
      <c r="W117" s="2186"/>
      <c r="X117" s="2191"/>
      <c r="Y117" s="2186"/>
      <c r="Z117" s="2193"/>
      <c r="AA117" s="2186"/>
      <c r="AB117" s="2186"/>
      <c r="AC117" s="2186"/>
      <c r="AD117" s="2186"/>
      <c r="AE117" s="2186"/>
      <c r="AF117" s="2186"/>
      <c r="AG117" s="2186"/>
      <c r="AH117" s="2186"/>
      <c r="AI117" s="2186"/>
      <c r="AJ117" s="2186"/>
      <c r="AK117" s="2186"/>
      <c r="AL117" s="2186"/>
      <c r="AM117" s="2186"/>
      <c r="AN117" s="2186"/>
      <c r="AO117" s="2187"/>
      <c r="AP117" s="2187"/>
      <c r="AQ117" s="2188"/>
    </row>
    <row r="118" spans="1:43" s="1549" customFormat="1" ht="118.5" customHeight="1" x14ac:dyDescent="0.2">
      <c r="A118" s="1564"/>
      <c r="B118" s="782"/>
      <c r="C118" s="782"/>
      <c r="D118" s="1565"/>
      <c r="E118" s="782"/>
      <c r="F118" s="782"/>
      <c r="G118" s="1565"/>
      <c r="H118" s="782"/>
      <c r="I118" s="782"/>
      <c r="J118" s="2191"/>
      <c r="K118" s="2049"/>
      <c r="L118" s="2192"/>
      <c r="M118" s="2186"/>
      <c r="N118" s="2049"/>
      <c r="O118" s="2202"/>
      <c r="P118" s="2202"/>
      <c r="Q118" s="2195"/>
      <c r="R118" s="2196"/>
      <c r="S118" s="2202"/>
      <c r="T118" s="1173" t="s">
        <v>2001</v>
      </c>
      <c r="U118" s="1553" t="s">
        <v>2002</v>
      </c>
      <c r="V118" s="1548">
        <v>9930000</v>
      </c>
      <c r="W118" s="2186"/>
      <c r="X118" s="2191"/>
      <c r="Y118" s="2186"/>
      <c r="Z118" s="2193"/>
      <c r="AA118" s="2186"/>
      <c r="AB118" s="2186"/>
      <c r="AC118" s="2186"/>
      <c r="AD118" s="2186"/>
      <c r="AE118" s="2186"/>
      <c r="AF118" s="2186"/>
      <c r="AG118" s="2186"/>
      <c r="AH118" s="2186"/>
      <c r="AI118" s="2186"/>
      <c r="AJ118" s="2186"/>
      <c r="AK118" s="2186"/>
      <c r="AL118" s="2186"/>
      <c r="AM118" s="2186"/>
      <c r="AN118" s="2186"/>
      <c r="AO118" s="2187"/>
      <c r="AP118" s="2187"/>
      <c r="AQ118" s="2188"/>
    </row>
    <row r="119" spans="1:43" s="1549" customFormat="1" ht="82.5" customHeight="1" x14ac:dyDescent="0.2">
      <c r="A119" s="1564"/>
      <c r="B119" s="782"/>
      <c r="C119" s="782"/>
      <c r="D119" s="1565"/>
      <c r="E119" s="782"/>
      <c r="F119" s="782"/>
      <c r="G119" s="1565"/>
      <c r="H119" s="782"/>
      <c r="I119" s="1566"/>
      <c r="J119" s="1618">
        <v>267</v>
      </c>
      <c r="K119" s="1173" t="s">
        <v>2003</v>
      </c>
      <c r="L119" s="1173" t="s">
        <v>2004</v>
      </c>
      <c r="M119" s="1628">
        <v>1</v>
      </c>
      <c r="N119" s="2049" t="s">
        <v>2005</v>
      </c>
      <c r="O119" s="2202" t="s">
        <v>2006</v>
      </c>
      <c r="P119" s="2202" t="s">
        <v>2007</v>
      </c>
      <c r="Q119" s="1189">
        <f t="shared" ref="Q119:Q127" si="1">+V119/SUM($V$119:$V$127)</f>
        <v>0.04</v>
      </c>
      <c r="R119" s="2196">
        <f>SUM(V119:V127)</f>
        <v>250000000</v>
      </c>
      <c r="S119" s="2049" t="s">
        <v>2008</v>
      </c>
      <c r="T119" s="1173" t="s">
        <v>2009</v>
      </c>
      <c r="U119" s="1629" t="s">
        <v>2010</v>
      </c>
      <c r="V119" s="1548">
        <v>10000000</v>
      </c>
      <c r="W119" s="2191" t="s">
        <v>64</v>
      </c>
      <c r="X119" s="2191" t="s">
        <v>306</v>
      </c>
      <c r="Y119" s="2186">
        <v>282326</v>
      </c>
      <c r="Z119" s="2193">
        <v>292684</v>
      </c>
      <c r="AA119" s="2186">
        <v>135912</v>
      </c>
      <c r="AB119" s="2186">
        <v>45122</v>
      </c>
      <c r="AC119" s="2186">
        <v>307101</v>
      </c>
      <c r="AD119" s="2186">
        <v>86875</v>
      </c>
      <c r="AE119" s="2186">
        <v>2145</v>
      </c>
      <c r="AF119" s="2186">
        <v>12718</v>
      </c>
      <c r="AG119" s="2186">
        <v>26</v>
      </c>
      <c r="AH119" s="2186">
        <v>37</v>
      </c>
      <c r="AI119" s="2186"/>
      <c r="AJ119" s="2186"/>
      <c r="AK119" s="2186">
        <v>43029</v>
      </c>
      <c r="AL119" s="2186">
        <v>16982</v>
      </c>
      <c r="AM119" s="2186">
        <v>60013</v>
      </c>
      <c r="AN119" s="2186">
        <v>575010</v>
      </c>
      <c r="AO119" s="2187">
        <v>43102</v>
      </c>
      <c r="AP119" s="2187">
        <v>43465</v>
      </c>
      <c r="AQ119" s="2188" t="s">
        <v>1955</v>
      </c>
    </row>
    <row r="120" spans="1:43" s="1549" customFormat="1" ht="90.75" customHeight="1" x14ac:dyDescent="0.2">
      <c r="A120" s="1564"/>
      <c r="B120" s="782"/>
      <c r="C120" s="782"/>
      <c r="D120" s="1565"/>
      <c r="E120" s="782"/>
      <c r="F120" s="782"/>
      <c r="G120" s="1565"/>
      <c r="H120" s="782"/>
      <c r="I120" s="1566"/>
      <c r="J120" s="1618">
        <v>268</v>
      </c>
      <c r="K120" s="1173" t="s">
        <v>2011</v>
      </c>
      <c r="L120" s="1173" t="s">
        <v>2012</v>
      </c>
      <c r="M120" s="1628">
        <v>12</v>
      </c>
      <c r="N120" s="2049"/>
      <c r="O120" s="2202"/>
      <c r="P120" s="2202"/>
      <c r="Q120" s="1189">
        <f t="shared" si="1"/>
        <v>0.28000000000000003</v>
      </c>
      <c r="R120" s="2196"/>
      <c r="S120" s="2049"/>
      <c r="T120" s="2049" t="s">
        <v>2013</v>
      </c>
      <c r="U120" s="1629" t="s">
        <v>2014</v>
      </c>
      <c r="V120" s="1548">
        <f>21000000+9000000+40000000</f>
        <v>70000000</v>
      </c>
      <c r="W120" s="2186"/>
      <c r="X120" s="2191"/>
      <c r="Y120" s="2186"/>
      <c r="Z120" s="2193"/>
      <c r="AA120" s="2186"/>
      <c r="AB120" s="2186"/>
      <c r="AC120" s="2186"/>
      <c r="AD120" s="2186"/>
      <c r="AE120" s="2186"/>
      <c r="AF120" s="2186"/>
      <c r="AG120" s="2186"/>
      <c r="AH120" s="2186"/>
      <c r="AI120" s="2186"/>
      <c r="AJ120" s="2186"/>
      <c r="AK120" s="2186"/>
      <c r="AL120" s="2186"/>
      <c r="AM120" s="2186"/>
      <c r="AN120" s="2186"/>
      <c r="AO120" s="2187"/>
      <c r="AP120" s="2187"/>
      <c r="AQ120" s="2188"/>
    </row>
    <row r="121" spans="1:43" s="1549" customFormat="1" ht="123.75" customHeight="1" x14ac:dyDescent="0.2">
      <c r="A121" s="1564"/>
      <c r="B121" s="782"/>
      <c r="C121" s="782"/>
      <c r="D121" s="1565"/>
      <c r="E121" s="782"/>
      <c r="F121" s="782"/>
      <c r="G121" s="1565"/>
      <c r="H121" s="782"/>
      <c r="I121" s="1566"/>
      <c r="J121" s="1618">
        <v>269</v>
      </c>
      <c r="K121" s="1173" t="s">
        <v>2015</v>
      </c>
      <c r="L121" s="1173" t="s">
        <v>2016</v>
      </c>
      <c r="M121" s="1628">
        <v>12</v>
      </c>
      <c r="N121" s="2049"/>
      <c r="O121" s="2202"/>
      <c r="P121" s="2202"/>
      <c r="Q121" s="1189">
        <f t="shared" si="1"/>
        <v>0.12</v>
      </c>
      <c r="R121" s="2196"/>
      <c r="S121" s="2049"/>
      <c r="T121" s="2049"/>
      <c r="U121" s="1629" t="s">
        <v>2017</v>
      </c>
      <c r="V121" s="1548">
        <f>21000000+9000000</f>
        <v>30000000</v>
      </c>
      <c r="W121" s="2186"/>
      <c r="X121" s="2191"/>
      <c r="Y121" s="2186"/>
      <c r="Z121" s="2193"/>
      <c r="AA121" s="2186"/>
      <c r="AB121" s="2186"/>
      <c r="AC121" s="2186"/>
      <c r="AD121" s="2186"/>
      <c r="AE121" s="2186"/>
      <c r="AF121" s="2186"/>
      <c r="AG121" s="2186"/>
      <c r="AH121" s="2186"/>
      <c r="AI121" s="2186"/>
      <c r="AJ121" s="2186"/>
      <c r="AK121" s="2186"/>
      <c r="AL121" s="2186"/>
      <c r="AM121" s="2186"/>
      <c r="AN121" s="2186"/>
      <c r="AO121" s="2187"/>
      <c r="AP121" s="2187"/>
      <c r="AQ121" s="2188"/>
    </row>
    <row r="122" spans="1:43" s="1549" customFormat="1" ht="113.25" customHeight="1" x14ac:dyDescent="0.2">
      <c r="A122" s="1564"/>
      <c r="B122" s="782"/>
      <c r="C122" s="782"/>
      <c r="D122" s="1565"/>
      <c r="E122" s="782"/>
      <c r="F122" s="782"/>
      <c r="G122" s="1565"/>
      <c r="H122" s="782"/>
      <c r="I122" s="1566"/>
      <c r="J122" s="1618">
        <v>270</v>
      </c>
      <c r="K122" s="1173" t="s">
        <v>2018</v>
      </c>
      <c r="L122" s="1173" t="s">
        <v>2019</v>
      </c>
      <c r="M122" s="1628">
        <v>12</v>
      </c>
      <c r="N122" s="2049"/>
      <c r="O122" s="2202"/>
      <c r="P122" s="2202"/>
      <c r="Q122" s="1189">
        <f t="shared" si="1"/>
        <v>8.4000000000000005E-2</v>
      </c>
      <c r="R122" s="2196"/>
      <c r="S122" s="2049"/>
      <c r="T122" s="2049"/>
      <c r="U122" s="1629" t="s">
        <v>2020</v>
      </c>
      <c r="V122" s="1548">
        <v>21000000</v>
      </c>
      <c r="W122" s="2186"/>
      <c r="X122" s="2191"/>
      <c r="Y122" s="2186"/>
      <c r="Z122" s="2193"/>
      <c r="AA122" s="2186"/>
      <c r="AB122" s="2186"/>
      <c r="AC122" s="2186"/>
      <c r="AD122" s="2186"/>
      <c r="AE122" s="2186"/>
      <c r="AF122" s="2186"/>
      <c r="AG122" s="2186"/>
      <c r="AH122" s="2186"/>
      <c r="AI122" s="2186"/>
      <c r="AJ122" s="2186"/>
      <c r="AK122" s="2186"/>
      <c r="AL122" s="2186"/>
      <c r="AM122" s="2186"/>
      <c r="AN122" s="2186"/>
      <c r="AO122" s="2187"/>
      <c r="AP122" s="2187"/>
      <c r="AQ122" s="2188"/>
    </row>
    <row r="123" spans="1:43" s="1549" customFormat="1" ht="132.75" customHeight="1" x14ac:dyDescent="0.2">
      <c r="A123" s="1564"/>
      <c r="B123" s="782"/>
      <c r="C123" s="782"/>
      <c r="D123" s="1565"/>
      <c r="E123" s="782"/>
      <c r="F123" s="782"/>
      <c r="G123" s="1565"/>
      <c r="H123" s="782"/>
      <c r="I123" s="1566"/>
      <c r="J123" s="1618">
        <v>271</v>
      </c>
      <c r="K123" s="1173" t="s">
        <v>2021</v>
      </c>
      <c r="L123" s="1173" t="s">
        <v>2019</v>
      </c>
      <c r="M123" s="1628">
        <v>12</v>
      </c>
      <c r="N123" s="2049"/>
      <c r="O123" s="2202"/>
      <c r="P123" s="2202"/>
      <c r="Q123" s="1189">
        <f t="shared" si="1"/>
        <v>0.154</v>
      </c>
      <c r="R123" s="2196"/>
      <c r="S123" s="2049"/>
      <c r="T123" s="2049"/>
      <c r="U123" s="1630" t="s">
        <v>2022</v>
      </c>
      <c r="V123" s="1548">
        <v>38500000</v>
      </c>
      <c r="W123" s="2186"/>
      <c r="X123" s="2191"/>
      <c r="Y123" s="2186"/>
      <c r="Z123" s="2193"/>
      <c r="AA123" s="2186"/>
      <c r="AB123" s="2186"/>
      <c r="AC123" s="2186"/>
      <c r="AD123" s="2186"/>
      <c r="AE123" s="2186"/>
      <c r="AF123" s="2186"/>
      <c r="AG123" s="2186"/>
      <c r="AH123" s="2186"/>
      <c r="AI123" s="2186"/>
      <c r="AJ123" s="2186"/>
      <c r="AK123" s="2186"/>
      <c r="AL123" s="2186"/>
      <c r="AM123" s="2186"/>
      <c r="AN123" s="2186"/>
      <c r="AO123" s="2187"/>
      <c r="AP123" s="2187"/>
      <c r="AQ123" s="2188"/>
    </row>
    <row r="124" spans="1:43" s="1549" customFormat="1" ht="109.5" customHeight="1" x14ac:dyDescent="0.2">
      <c r="A124" s="1564"/>
      <c r="B124" s="782"/>
      <c r="C124" s="782"/>
      <c r="D124" s="1565"/>
      <c r="E124" s="782"/>
      <c r="F124" s="782"/>
      <c r="G124" s="1565"/>
      <c r="H124" s="782"/>
      <c r="I124" s="1566"/>
      <c r="J124" s="1618">
        <v>272</v>
      </c>
      <c r="K124" s="1173" t="s">
        <v>2023</v>
      </c>
      <c r="L124" s="1173" t="s">
        <v>2019</v>
      </c>
      <c r="M124" s="1628">
        <v>12</v>
      </c>
      <c r="N124" s="2049"/>
      <c r="O124" s="2202"/>
      <c r="P124" s="2202"/>
      <c r="Q124" s="1189">
        <f t="shared" si="1"/>
        <v>0.154</v>
      </c>
      <c r="R124" s="2196"/>
      <c r="S124" s="2049"/>
      <c r="T124" s="2049"/>
      <c r="U124" s="1630" t="s">
        <v>2024</v>
      </c>
      <c r="V124" s="1548">
        <v>38500000</v>
      </c>
      <c r="W124" s="2186"/>
      <c r="X124" s="2191"/>
      <c r="Y124" s="2186"/>
      <c r="Z124" s="2193"/>
      <c r="AA124" s="2186"/>
      <c r="AB124" s="2186"/>
      <c r="AC124" s="2186"/>
      <c r="AD124" s="2186"/>
      <c r="AE124" s="2186"/>
      <c r="AF124" s="2186"/>
      <c r="AG124" s="2186"/>
      <c r="AH124" s="2186"/>
      <c r="AI124" s="2186"/>
      <c r="AJ124" s="2186"/>
      <c r="AK124" s="2186"/>
      <c r="AL124" s="2186"/>
      <c r="AM124" s="2186"/>
      <c r="AN124" s="2186"/>
      <c r="AO124" s="2187"/>
      <c r="AP124" s="2187"/>
      <c r="AQ124" s="2188"/>
    </row>
    <row r="125" spans="1:43" s="1549" customFormat="1" ht="101.25" customHeight="1" x14ac:dyDescent="0.2">
      <c r="A125" s="1564"/>
      <c r="B125" s="782"/>
      <c r="C125" s="782"/>
      <c r="D125" s="1565"/>
      <c r="E125" s="782"/>
      <c r="F125" s="782"/>
      <c r="G125" s="1565"/>
      <c r="H125" s="782"/>
      <c r="I125" s="1566"/>
      <c r="J125" s="1618">
        <v>273</v>
      </c>
      <c r="K125" s="1173" t="s">
        <v>2025</v>
      </c>
      <c r="L125" s="1173" t="s">
        <v>2016</v>
      </c>
      <c r="M125" s="1628">
        <v>12</v>
      </c>
      <c r="N125" s="2049"/>
      <c r="O125" s="2202"/>
      <c r="P125" s="2202"/>
      <c r="Q125" s="1189">
        <f t="shared" si="1"/>
        <v>8.0000000000000002E-3</v>
      </c>
      <c r="R125" s="2196"/>
      <c r="S125" s="2049"/>
      <c r="T125" s="2049"/>
      <c r="U125" s="1629" t="s">
        <v>2026</v>
      </c>
      <c r="V125" s="1548">
        <v>2000000</v>
      </c>
      <c r="W125" s="2186"/>
      <c r="X125" s="2191"/>
      <c r="Y125" s="2186"/>
      <c r="Z125" s="2193"/>
      <c r="AA125" s="2186"/>
      <c r="AB125" s="2186"/>
      <c r="AC125" s="2186"/>
      <c r="AD125" s="2186"/>
      <c r="AE125" s="2186"/>
      <c r="AF125" s="2186"/>
      <c r="AG125" s="2186"/>
      <c r="AH125" s="2186"/>
      <c r="AI125" s="2186"/>
      <c r="AJ125" s="2186"/>
      <c r="AK125" s="2186"/>
      <c r="AL125" s="2186"/>
      <c r="AM125" s="2186"/>
      <c r="AN125" s="2186"/>
      <c r="AO125" s="2187"/>
      <c r="AP125" s="2187"/>
      <c r="AQ125" s="2188"/>
    </row>
    <row r="126" spans="1:43" s="1549" customFormat="1" ht="81" customHeight="1" x14ac:dyDescent="0.2">
      <c r="A126" s="1564"/>
      <c r="B126" s="782"/>
      <c r="C126" s="782"/>
      <c r="D126" s="1565"/>
      <c r="E126" s="782"/>
      <c r="F126" s="782"/>
      <c r="G126" s="1565"/>
      <c r="H126" s="782"/>
      <c r="I126" s="1566"/>
      <c r="J126" s="1618">
        <v>274</v>
      </c>
      <c r="K126" s="1173" t="s">
        <v>2027</v>
      </c>
      <c r="L126" s="1173" t="s">
        <v>2016</v>
      </c>
      <c r="M126" s="1628">
        <v>12</v>
      </c>
      <c r="N126" s="2049"/>
      <c r="O126" s="2202"/>
      <c r="P126" s="2202"/>
      <c r="Q126" s="1189">
        <f t="shared" si="1"/>
        <v>0.12</v>
      </c>
      <c r="R126" s="2196"/>
      <c r="S126" s="2049"/>
      <c r="T126" s="2049"/>
      <c r="U126" s="1629" t="s">
        <v>2028</v>
      </c>
      <c r="V126" s="1548">
        <f>21000000+9000000</f>
        <v>30000000</v>
      </c>
      <c r="W126" s="2186"/>
      <c r="X126" s="2191"/>
      <c r="Y126" s="2186"/>
      <c r="Z126" s="2193"/>
      <c r="AA126" s="2186"/>
      <c r="AB126" s="2186"/>
      <c r="AC126" s="2186"/>
      <c r="AD126" s="2186"/>
      <c r="AE126" s="2186"/>
      <c r="AF126" s="2186"/>
      <c r="AG126" s="2186"/>
      <c r="AH126" s="2186"/>
      <c r="AI126" s="2186"/>
      <c r="AJ126" s="2186"/>
      <c r="AK126" s="2186"/>
      <c r="AL126" s="2186"/>
      <c r="AM126" s="2186"/>
      <c r="AN126" s="2186"/>
      <c r="AO126" s="2187"/>
      <c r="AP126" s="2187"/>
      <c r="AQ126" s="2188"/>
    </row>
    <row r="127" spans="1:43" s="1549" customFormat="1" ht="102.75" customHeight="1" thickBot="1" x14ac:dyDescent="0.25">
      <c r="A127" s="1564"/>
      <c r="B127" s="782"/>
      <c r="C127" s="782"/>
      <c r="D127" s="1565"/>
      <c r="E127" s="782"/>
      <c r="F127" s="782"/>
      <c r="G127" s="1565"/>
      <c r="H127" s="782"/>
      <c r="I127" s="1566"/>
      <c r="J127" s="421">
        <v>260</v>
      </c>
      <c r="K127" s="1172" t="s">
        <v>2029</v>
      </c>
      <c r="L127" s="1172" t="s">
        <v>2030</v>
      </c>
      <c r="M127" s="1631">
        <v>12</v>
      </c>
      <c r="N127" s="2088"/>
      <c r="O127" s="2231"/>
      <c r="P127" s="2231"/>
      <c r="Q127" s="1632">
        <f t="shared" si="1"/>
        <v>0.04</v>
      </c>
      <c r="R127" s="2232"/>
      <c r="S127" s="2088"/>
      <c r="T127" s="2088"/>
      <c r="U127" s="1633" t="s">
        <v>2031</v>
      </c>
      <c r="V127" s="1634">
        <v>10000000</v>
      </c>
      <c r="W127" s="2203"/>
      <c r="X127" s="2205"/>
      <c r="Y127" s="2203"/>
      <c r="Z127" s="2207"/>
      <c r="AA127" s="2203"/>
      <c r="AB127" s="2203"/>
      <c r="AC127" s="2203"/>
      <c r="AD127" s="2203"/>
      <c r="AE127" s="2203"/>
      <c r="AF127" s="2203"/>
      <c r="AG127" s="2203"/>
      <c r="AH127" s="2203"/>
      <c r="AI127" s="2203"/>
      <c r="AJ127" s="2203"/>
      <c r="AK127" s="2203"/>
      <c r="AL127" s="2203"/>
      <c r="AM127" s="2203"/>
      <c r="AN127" s="2203"/>
      <c r="AO127" s="2233"/>
      <c r="AP127" s="2233"/>
      <c r="AQ127" s="2234"/>
    </row>
    <row r="128" spans="1:43" ht="27" customHeight="1" thickBot="1" x14ac:dyDescent="0.25">
      <c r="A128" s="1635"/>
      <c r="B128" s="1636"/>
      <c r="C128" s="1636"/>
      <c r="D128" s="1636"/>
      <c r="E128" s="1636"/>
      <c r="F128" s="1636"/>
      <c r="G128" s="1636"/>
      <c r="H128" s="1636"/>
      <c r="I128" s="1636"/>
      <c r="J128" s="1637"/>
      <c r="K128" s="455"/>
      <c r="L128" s="453"/>
      <c r="M128" s="453"/>
      <c r="N128" s="453"/>
      <c r="O128" s="453"/>
      <c r="P128" s="1638" t="s">
        <v>30</v>
      </c>
      <c r="Q128" s="1639"/>
      <c r="R128" s="461">
        <f>SUM(R12:R127)</f>
        <v>1617000000</v>
      </c>
      <c r="S128" s="766"/>
      <c r="T128" s="455"/>
      <c r="U128" s="466"/>
      <c r="V128" s="1640">
        <f>SUM(V9:V127)</f>
        <v>1617000000</v>
      </c>
      <c r="W128" s="462"/>
      <c r="X128" s="665"/>
      <c r="Y128" s="661"/>
      <c r="Z128" s="1641"/>
      <c r="AA128" s="661"/>
      <c r="AB128" s="661"/>
      <c r="AC128" s="661"/>
      <c r="AD128" s="661"/>
      <c r="AE128" s="661"/>
      <c r="AF128" s="661"/>
      <c r="AG128" s="661"/>
      <c r="AH128" s="661"/>
      <c r="AI128" s="661"/>
      <c r="AJ128" s="661"/>
      <c r="AK128" s="661"/>
      <c r="AL128" s="661"/>
      <c r="AM128" s="661"/>
      <c r="AN128" s="661"/>
      <c r="AO128" s="666"/>
      <c r="AP128" s="667"/>
      <c r="AQ128" s="668"/>
    </row>
    <row r="129" spans="3:19" ht="27" customHeight="1" x14ac:dyDescent="0.25">
      <c r="C129" s="1642"/>
      <c r="D129" s="1642"/>
      <c r="P129" s="1643"/>
      <c r="Q129" s="1644"/>
      <c r="R129" s="1645"/>
      <c r="S129" s="1643"/>
    </row>
    <row r="130" spans="3:19" ht="27" customHeight="1" x14ac:dyDescent="0.2">
      <c r="P130" s="1646"/>
      <c r="Q130" s="1643"/>
      <c r="R130" s="1647"/>
      <c r="S130" s="1648"/>
    </row>
    <row r="131" spans="3:19" ht="21" customHeight="1" x14ac:dyDescent="0.25">
      <c r="N131" s="1649" t="s">
        <v>2032</v>
      </c>
      <c r="O131" s="1649"/>
      <c r="P131" s="1649"/>
      <c r="Q131" s="1649"/>
      <c r="R131" s="1650"/>
      <c r="S131" s="1650"/>
    </row>
    <row r="132" spans="3:19" ht="15.75" customHeight="1" x14ac:dyDescent="0.25">
      <c r="N132" s="1651" t="s">
        <v>2033</v>
      </c>
      <c r="O132" s="1651"/>
      <c r="P132" s="1651"/>
      <c r="Q132" s="1651"/>
      <c r="R132" s="1651"/>
      <c r="S132" s="1651"/>
    </row>
  </sheetData>
  <sheetProtection password="CBEB" sheet="1" objects="1" scenarios="1"/>
  <mergeCells count="346">
    <mergeCell ref="T120:T127"/>
    <mergeCell ref="AL119:AL127"/>
    <mergeCell ref="AM119:AM127"/>
    <mergeCell ref="AN119:AN127"/>
    <mergeCell ref="AO119:AO127"/>
    <mergeCell ref="AP119:AP127"/>
    <mergeCell ref="AQ119:AQ127"/>
    <mergeCell ref="AF119:AF127"/>
    <mergeCell ref="AG119:AG127"/>
    <mergeCell ref="AH119:AH127"/>
    <mergeCell ref="AI119:AI127"/>
    <mergeCell ref="AJ119:AJ127"/>
    <mergeCell ref="AK119:AK127"/>
    <mergeCell ref="Z119:Z127"/>
    <mergeCell ref="AA119:AA127"/>
    <mergeCell ref="AB119:AB127"/>
    <mergeCell ref="AC119:AC127"/>
    <mergeCell ref="AD119:AD127"/>
    <mergeCell ref="AE119:AE127"/>
    <mergeCell ref="AP103:AP118"/>
    <mergeCell ref="AQ103:AQ118"/>
    <mergeCell ref="N119:N127"/>
    <mergeCell ref="O119:O127"/>
    <mergeCell ref="P119:P127"/>
    <mergeCell ref="R119:R127"/>
    <mergeCell ref="S119:S127"/>
    <mergeCell ref="W119:W127"/>
    <mergeCell ref="X119:X127"/>
    <mergeCell ref="Y119:Y127"/>
    <mergeCell ref="AJ103:AJ118"/>
    <mergeCell ref="AK103:AK118"/>
    <mergeCell ref="AL103:AL118"/>
    <mergeCell ref="AM103:AM118"/>
    <mergeCell ref="AN103:AN118"/>
    <mergeCell ref="AO103:AO118"/>
    <mergeCell ref="AD103:AD118"/>
    <mergeCell ref="AE103:AE118"/>
    <mergeCell ref="AF103:AF118"/>
    <mergeCell ref="AG103:AG118"/>
    <mergeCell ref="AH103:AH118"/>
    <mergeCell ref="AI103:AI118"/>
    <mergeCell ref="X103:X118"/>
    <mergeCell ref="Y103:Y118"/>
    <mergeCell ref="Z103:Z118"/>
    <mergeCell ref="AA103:AA118"/>
    <mergeCell ref="AB103:AB118"/>
    <mergeCell ref="AC103:AC118"/>
    <mergeCell ref="P103:P118"/>
    <mergeCell ref="Q103:Q118"/>
    <mergeCell ref="R103:R118"/>
    <mergeCell ref="S103:S118"/>
    <mergeCell ref="T103:T117"/>
    <mergeCell ref="W103:W118"/>
    <mergeCell ref="J103:J118"/>
    <mergeCell ref="K103:K118"/>
    <mergeCell ref="L103:L118"/>
    <mergeCell ref="M103:M118"/>
    <mergeCell ref="N103:N118"/>
    <mergeCell ref="O103:O118"/>
    <mergeCell ref="AL89:AL102"/>
    <mergeCell ref="AM89:AM102"/>
    <mergeCell ref="AN89:AN102"/>
    <mergeCell ref="Z89:Z102"/>
    <mergeCell ref="AA89:AA102"/>
    <mergeCell ref="AB89:AB102"/>
    <mergeCell ref="AC89:AC102"/>
    <mergeCell ref="AD89:AD102"/>
    <mergeCell ref="AE89:AE102"/>
    <mergeCell ref="R89:R102"/>
    <mergeCell ref="S89:S102"/>
    <mergeCell ref="T89:T97"/>
    <mergeCell ref="W89:W102"/>
    <mergeCell ref="X89:X102"/>
    <mergeCell ref="Y89:Y102"/>
    <mergeCell ref="T98:T100"/>
    <mergeCell ref="T101:T102"/>
    <mergeCell ref="L89:L102"/>
    <mergeCell ref="AO89:AO102"/>
    <mergeCell ref="AP89:AP102"/>
    <mergeCell ref="AQ89:AQ102"/>
    <mergeCell ref="AF89:AF102"/>
    <mergeCell ref="AG89:AG102"/>
    <mergeCell ref="AH89:AH102"/>
    <mergeCell ref="AI89:AI102"/>
    <mergeCell ref="AJ89:AJ102"/>
    <mergeCell ref="AK89:AK102"/>
    <mergeCell ref="M89:M102"/>
    <mergeCell ref="N89:N102"/>
    <mergeCell ref="O89:O102"/>
    <mergeCell ref="P89:P102"/>
    <mergeCell ref="Q89:Q102"/>
    <mergeCell ref="AP78:AP88"/>
    <mergeCell ref="AQ78:AQ88"/>
    <mergeCell ref="A89:A102"/>
    <mergeCell ref="B89:C102"/>
    <mergeCell ref="D89:D102"/>
    <mergeCell ref="E89:F102"/>
    <mergeCell ref="G89:G102"/>
    <mergeCell ref="H89:I102"/>
    <mergeCell ref="J89:J102"/>
    <mergeCell ref="K89:K102"/>
    <mergeCell ref="AJ78:AJ88"/>
    <mergeCell ref="AK78:AK88"/>
    <mergeCell ref="AL78:AL88"/>
    <mergeCell ref="AM78:AM88"/>
    <mergeCell ref="AN78:AN88"/>
    <mergeCell ref="AO78:AO88"/>
    <mergeCell ref="AD78:AD88"/>
    <mergeCell ref="AE78:AE88"/>
    <mergeCell ref="AF78:AF88"/>
    <mergeCell ref="AG78:AG88"/>
    <mergeCell ref="AH78:AH88"/>
    <mergeCell ref="AI78:AI88"/>
    <mergeCell ref="X78:X88"/>
    <mergeCell ref="Y78:Y88"/>
    <mergeCell ref="Z78:Z88"/>
    <mergeCell ref="AA78:AA88"/>
    <mergeCell ref="AB78:AB88"/>
    <mergeCell ref="AC78:AC88"/>
    <mergeCell ref="P78:P88"/>
    <mergeCell ref="Q78:Q88"/>
    <mergeCell ref="R78:R88"/>
    <mergeCell ref="S78:S88"/>
    <mergeCell ref="T78:T88"/>
    <mergeCell ref="W78:W88"/>
    <mergeCell ref="J78:J88"/>
    <mergeCell ref="K78:K88"/>
    <mergeCell ref="L78:L88"/>
    <mergeCell ref="M78:M88"/>
    <mergeCell ref="N78:N88"/>
    <mergeCell ref="O78:O88"/>
    <mergeCell ref="AM71:AM77"/>
    <mergeCell ref="AN71:AN77"/>
    <mergeCell ref="AO71:AO77"/>
    <mergeCell ref="AP71:AP77"/>
    <mergeCell ref="AQ71:AQ77"/>
    <mergeCell ref="T73:T77"/>
    <mergeCell ref="AG71:AG77"/>
    <mergeCell ref="AH71:AH77"/>
    <mergeCell ref="AI71:AI77"/>
    <mergeCell ref="AJ71:AJ77"/>
    <mergeCell ref="AK71:AK77"/>
    <mergeCell ref="AL71:AL77"/>
    <mergeCell ref="AA71:AA77"/>
    <mergeCell ref="AB71:AB77"/>
    <mergeCell ref="AC71:AC77"/>
    <mergeCell ref="AD71:AD77"/>
    <mergeCell ref="AE71:AE77"/>
    <mergeCell ref="AF71:AF77"/>
    <mergeCell ref="S71:S77"/>
    <mergeCell ref="T71:T72"/>
    <mergeCell ref="W71:W77"/>
    <mergeCell ref="X71:X77"/>
    <mergeCell ref="Y71:Y77"/>
    <mergeCell ref="Z71:Z77"/>
    <mergeCell ref="M71:M77"/>
    <mergeCell ref="N71:N77"/>
    <mergeCell ref="O71:O77"/>
    <mergeCell ref="P71:P77"/>
    <mergeCell ref="Q71:Q77"/>
    <mergeCell ref="R71:R77"/>
    <mergeCell ref="E71:F77"/>
    <mergeCell ref="G71:G77"/>
    <mergeCell ref="H71:I77"/>
    <mergeCell ref="J71:J77"/>
    <mergeCell ref="K71:K77"/>
    <mergeCell ref="L71:L77"/>
    <mergeCell ref="AP63:AP70"/>
    <mergeCell ref="AQ63:AQ70"/>
    <mergeCell ref="J66:J67"/>
    <mergeCell ref="K66:K67"/>
    <mergeCell ref="L66:L67"/>
    <mergeCell ref="M66:M67"/>
    <mergeCell ref="Q66:Q67"/>
    <mergeCell ref="R66:R67"/>
    <mergeCell ref="T66:T67"/>
    <mergeCell ref="AJ63:AJ70"/>
    <mergeCell ref="AK63:AK70"/>
    <mergeCell ref="AL63:AL70"/>
    <mergeCell ref="AM63:AM70"/>
    <mergeCell ref="AN63:AN70"/>
    <mergeCell ref="AO63:AO70"/>
    <mergeCell ref="AD63:AD70"/>
    <mergeCell ref="AE63:AE70"/>
    <mergeCell ref="AF63:AF70"/>
    <mergeCell ref="AG63:AG70"/>
    <mergeCell ref="AH63:AH70"/>
    <mergeCell ref="AI63:AI70"/>
    <mergeCell ref="X63:X70"/>
    <mergeCell ref="Y63:Y70"/>
    <mergeCell ref="Z63:Z70"/>
    <mergeCell ref="AA63:AA70"/>
    <mergeCell ref="AB63:AB70"/>
    <mergeCell ref="AC63:AC70"/>
    <mergeCell ref="P63:P70"/>
    <mergeCell ref="Q63:Q65"/>
    <mergeCell ref="R63:R65"/>
    <mergeCell ref="S63:S70"/>
    <mergeCell ref="T63:T65"/>
    <mergeCell ref="W63:W70"/>
    <mergeCell ref="J63:J65"/>
    <mergeCell ref="K63:K65"/>
    <mergeCell ref="L63:L65"/>
    <mergeCell ref="M63:M65"/>
    <mergeCell ref="N63:N70"/>
    <mergeCell ref="O63:O70"/>
    <mergeCell ref="AP53:AP60"/>
    <mergeCell ref="AQ53:AQ60"/>
    <mergeCell ref="T57:T58"/>
    <mergeCell ref="T59:T60"/>
    <mergeCell ref="F61:K61"/>
    <mergeCell ref="H62:K62"/>
    <mergeCell ref="AJ53:AJ60"/>
    <mergeCell ref="AK53:AK60"/>
    <mergeCell ref="AL53:AL60"/>
    <mergeCell ref="AM53:AM60"/>
    <mergeCell ref="AN53:AN60"/>
    <mergeCell ref="AO53:AO60"/>
    <mergeCell ref="AD53:AD60"/>
    <mergeCell ref="AE53:AE60"/>
    <mergeCell ref="AF53:AF60"/>
    <mergeCell ref="AG53:AG60"/>
    <mergeCell ref="AH53:AH60"/>
    <mergeCell ref="AI53:AI60"/>
    <mergeCell ref="X53:X60"/>
    <mergeCell ref="Y53:Y60"/>
    <mergeCell ref="Z53:Z60"/>
    <mergeCell ref="AA53:AA60"/>
    <mergeCell ref="AB53:AB60"/>
    <mergeCell ref="AC53:AC60"/>
    <mergeCell ref="P53:P60"/>
    <mergeCell ref="Q53:Q60"/>
    <mergeCell ref="R53:R60"/>
    <mergeCell ref="S53:S60"/>
    <mergeCell ref="T53:T56"/>
    <mergeCell ref="W53:W60"/>
    <mergeCell ref="J53:J60"/>
    <mergeCell ref="K53:K60"/>
    <mergeCell ref="L53:L60"/>
    <mergeCell ref="M53:M60"/>
    <mergeCell ref="N53:N60"/>
    <mergeCell ref="O53:O60"/>
    <mergeCell ref="E51:K51"/>
    <mergeCell ref="H52:K52"/>
    <mergeCell ref="AI43:AI50"/>
    <mergeCell ref="AJ43:AJ50"/>
    <mergeCell ref="AK43:AK50"/>
    <mergeCell ref="AL43:AL50"/>
    <mergeCell ref="AM43:AM50"/>
    <mergeCell ref="AN43:AN50"/>
    <mergeCell ref="AC43:AC50"/>
    <mergeCell ref="AD43:AD50"/>
    <mergeCell ref="AE43:AE50"/>
    <mergeCell ref="AF43:AF50"/>
    <mergeCell ref="AG43:AG50"/>
    <mergeCell ref="AH43:AH50"/>
    <mergeCell ref="W43:W50"/>
    <mergeCell ref="X43:X50"/>
    <mergeCell ref="Y43:Y50"/>
    <mergeCell ref="Z43:Z50"/>
    <mergeCell ref="AA43:AA50"/>
    <mergeCell ref="AB43:AB50"/>
    <mergeCell ref="O43:O50"/>
    <mergeCell ref="P43:P50"/>
    <mergeCell ref="Q43:Q50"/>
    <mergeCell ref="R43:R50"/>
    <mergeCell ref="S43:S50"/>
    <mergeCell ref="T43:T47"/>
    <mergeCell ref="AP12:AP41"/>
    <mergeCell ref="AQ12:AQ41"/>
    <mergeCell ref="T15:T37"/>
    <mergeCell ref="T38:T41"/>
    <mergeCell ref="AM12:AM41"/>
    <mergeCell ref="AN12:AN41"/>
    <mergeCell ref="AO12:AO41"/>
    <mergeCell ref="Z12:Z41"/>
    <mergeCell ref="AA12:AA41"/>
    <mergeCell ref="AB12:AB41"/>
    <mergeCell ref="AC12:AC41"/>
    <mergeCell ref="R12:R41"/>
    <mergeCell ref="S12:S41"/>
    <mergeCell ref="W12:W41"/>
    <mergeCell ref="AO43:AO50"/>
    <mergeCell ref="AP43:AP50"/>
    <mergeCell ref="AQ43:AQ50"/>
    <mergeCell ref="T49:T50"/>
    <mergeCell ref="H42:K42"/>
    <mergeCell ref="J43:J50"/>
    <mergeCell ref="K43:K50"/>
    <mergeCell ref="L43:L50"/>
    <mergeCell ref="M43:M50"/>
    <mergeCell ref="N43:N50"/>
    <mergeCell ref="AJ12:AJ41"/>
    <mergeCell ref="AK12:AK41"/>
    <mergeCell ref="AL12:AL41"/>
    <mergeCell ref="AD12:AD41"/>
    <mergeCell ref="AE12:AE41"/>
    <mergeCell ref="AF12:AF41"/>
    <mergeCell ref="AG12:AG41"/>
    <mergeCell ref="AH12:AH41"/>
    <mergeCell ref="AI12:AI41"/>
    <mergeCell ref="X12:X41"/>
    <mergeCell ref="Y12:Y41"/>
    <mergeCell ref="O12:O41"/>
    <mergeCell ref="P12:P41"/>
    <mergeCell ref="Q12:Q41"/>
    <mergeCell ref="H11:K11"/>
    <mergeCell ref="J12:J41"/>
    <mergeCell ref="K12:K41"/>
    <mergeCell ref="L12:L41"/>
    <mergeCell ref="M12:M41"/>
    <mergeCell ref="N12:N41"/>
    <mergeCell ref="B9:K9"/>
    <mergeCell ref="E10:K10"/>
    <mergeCell ref="V7:V8"/>
    <mergeCell ref="X7:X8"/>
    <mergeCell ref="Y7:Z7"/>
    <mergeCell ref="AA7:AD7"/>
    <mergeCell ref="AE7:AJ7"/>
    <mergeCell ref="AK7:AM7"/>
    <mergeCell ref="P7:P8"/>
    <mergeCell ref="Q7:Q8"/>
    <mergeCell ref="R7:R8"/>
    <mergeCell ref="S7:S8"/>
    <mergeCell ref="T7:T8"/>
    <mergeCell ref="U7:U8"/>
    <mergeCell ref="J7:J8"/>
    <mergeCell ref="K7:K8"/>
    <mergeCell ref="L7:L8"/>
    <mergeCell ref="M7:M8"/>
    <mergeCell ref="N7:N8"/>
    <mergeCell ref="O7:O8"/>
    <mergeCell ref="A1:AO4"/>
    <mergeCell ref="A5:M6"/>
    <mergeCell ref="N5:AQ5"/>
    <mergeCell ref="Y6:AN6"/>
    <mergeCell ref="A7:A8"/>
    <mergeCell ref="B7:C8"/>
    <mergeCell ref="D7:D8"/>
    <mergeCell ref="E7:F8"/>
    <mergeCell ref="G7:G8"/>
    <mergeCell ref="H7:I8"/>
    <mergeCell ref="AQ7:AQ8"/>
    <mergeCell ref="AN7:AN8"/>
    <mergeCell ref="AO7:AO8"/>
    <mergeCell ref="AP7:AP8"/>
  </mergeCells>
  <pageMargins left="1.1023622047244095" right="0.11811023622047245" top="0.35433070866141736" bottom="0.35433070866141736" header="0.31496062992125984" footer="0.31496062992125984"/>
  <pageSetup paperSize="5"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N28"/>
  <sheetViews>
    <sheetView showGridLines="0" topLeftCell="O15" zoomScale="70" zoomScaleNormal="70" workbookViewId="0">
      <selection activeCell="O20" sqref="O20:O22"/>
    </sheetView>
  </sheetViews>
  <sheetFormatPr baseColWidth="10" defaultColWidth="11.42578125" defaultRowHeight="27" customHeight="1" x14ac:dyDescent="0.2"/>
  <cols>
    <col min="1" max="1" width="8.28515625" style="787" customWidth="1"/>
    <col min="2" max="2" width="4" style="485" customWidth="1"/>
    <col min="3" max="3" width="17" style="485" customWidth="1"/>
    <col min="4" max="4" width="16.5703125" style="485" customWidth="1"/>
    <col min="5" max="5" width="10" style="485" customWidth="1"/>
    <col min="6" max="6" width="11.85546875" style="485" customWidth="1"/>
    <col min="7" max="7" width="14.42578125" style="485" customWidth="1"/>
    <col min="8" max="8" width="3.28515625" style="485" customWidth="1"/>
    <col min="9" max="9" width="20.7109375" style="485" customWidth="1"/>
    <col min="10" max="10" width="16.7109375" style="485" customWidth="1"/>
    <col min="11" max="11" width="41.28515625" style="477" customWidth="1"/>
    <col min="12" max="12" width="40" style="468" customWidth="1"/>
    <col min="13" max="13" width="20.28515625" style="468" customWidth="1"/>
    <col min="14" max="14" width="39.85546875" style="468" customWidth="1"/>
    <col min="15" max="15" width="26" style="468" customWidth="1"/>
    <col min="16" max="16" width="24.140625" style="477" customWidth="1"/>
    <col min="17" max="17" width="15.5703125" style="788" customWidth="1"/>
    <col min="18" max="18" width="28.5703125" style="479" customWidth="1"/>
    <col min="19" max="19" width="27.28515625" style="477" customWidth="1"/>
    <col min="20" max="20" width="37.28515625" style="477" customWidth="1"/>
    <col min="21" max="21" width="32.42578125" style="477" customWidth="1"/>
    <col min="22" max="22" width="27" style="476" customWidth="1"/>
    <col min="23" max="23" width="11.7109375" style="480" customWidth="1"/>
    <col min="24" max="24" width="18.140625" style="481" customWidth="1"/>
    <col min="25" max="25" width="11.7109375" style="485" customWidth="1"/>
    <col min="26" max="26" width="11.85546875" style="485" customWidth="1"/>
    <col min="27" max="27" width="9.28515625" style="485" customWidth="1"/>
    <col min="28" max="28" width="7.28515625" style="485" customWidth="1"/>
    <col min="29" max="29" width="8.42578125" style="485" customWidth="1"/>
    <col min="30" max="30" width="9.5703125" style="485" customWidth="1"/>
    <col min="31" max="31" width="6.28515625" style="485" customWidth="1"/>
    <col min="32" max="32" width="8.85546875" style="485" customWidth="1"/>
    <col min="33" max="34" width="4.42578125" style="485" customWidth="1"/>
    <col min="35" max="35" width="5" style="485" customWidth="1"/>
    <col min="36" max="36" width="5.85546875" style="485" customWidth="1"/>
    <col min="37" max="39" width="10.7109375" style="485" customWidth="1"/>
    <col min="40" max="40" width="11.5703125" style="485" customWidth="1"/>
    <col min="41" max="41" width="11.5703125" style="785" customWidth="1"/>
    <col min="42" max="42" width="13.7109375" style="786" customWidth="1"/>
    <col min="43" max="43" width="20.85546875" style="488" customWidth="1"/>
    <col min="44" max="256" width="11.42578125" style="485"/>
    <col min="257" max="257" width="13.140625" style="485" customWidth="1"/>
    <col min="258" max="258" width="4" style="485" customWidth="1"/>
    <col min="259" max="259" width="20.7109375" style="485" customWidth="1"/>
    <col min="260" max="260" width="14.7109375" style="485" customWidth="1"/>
    <col min="261" max="261" width="10" style="485" customWidth="1"/>
    <col min="262" max="262" width="6.28515625" style="485" customWidth="1"/>
    <col min="263" max="263" width="12.28515625" style="485" customWidth="1"/>
    <col min="264" max="264" width="8.5703125" style="485" customWidth="1"/>
    <col min="265" max="265" width="13.7109375" style="485" customWidth="1"/>
    <col min="266" max="266" width="11.5703125" style="485" customWidth="1"/>
    <col min="267" max="267" width="20" style="485" customWidth="1"/>
    <col min="268" max="268" width="17.42578125" style="485" customWidth="1"/>
    <col min="269" max="269" width="21.140625" style="485" customWidth="1"/>
    <col min="270" max="270" width="22.140625" style="485" customWidth="1"/>
    <col min="271" max="271" width="8" style="485" customWidth="1"/>
    <col min="272" max="272" width="17" style="485" customWidth="1"/>
    <col min="273" max="273" width="12.7109375" style="485" customWidth="1"/>
    <col min="274" max="274" width="19" style="485" customWidth="1"/>
    <col min="275" max="275" width="23.5703125" style="485" customWidth="1"/>
    <col min="276" max="276" width="31.5703125" style="485" customWidth="1"/>
    <col min="277" max="277" width="19" style="485" customWidth="1"/>
    <col min="278" max="278" width="23.28515625" style="485" customWidth="1"/>
    <col min="279" max="279" width="11.7109375" style="485" customWidth="1"/>
    <col min="280" max="280" width="11.85546875" style="485" customWidth="1"/>
    <col min="281" max="281" width="5.5703125" style="485" customWidth="1"/>
    <col min="282" max="282" width="4.7109375" style="485" customWidth="1"/>
    <col min="283" max="284" width="7.28515625" style="485" customWidth="1"/>
    <col min="285" max="285" width="8.42578125" style="485" customWidth="1"/>
    <col min="286" max="286" width="9.5703125" style="485" customWidth="1"/>
    <col min="287" max="287" width="6.28515625" style="485" customWidth="1"/>
    <col min="288" max="288" width="5.85546875" style="485" customWidth="1"/>
    <col min="289" max="290" width="4.42578125" style="485" customWidth="1"/>
    <col min="291" max="291" width="5" style="485" customWidth="1"/>
    <col min="292" max="292" width="5.85546875" style="485" customWidth="1"/>
    <col min="293" max="293" width="6.140625" style="485" customWidth="1"/>
    <col min="294" max="294" width="6.28515625" style="485" customWidth="1"/>
    <col min="295" max="295" width="4.85546875" style="485" customWidth="1"/>
    <col min="296" max="296" width="8.140625" style="485" customWidth="1"/>
    <col min="297" max="297" width="11.5703125" style="485" customWidth="1"/>
    <col min="298" max="298" width="13.7109375" style="485" customWidth="1"/>
    <col min="299" max="299" width="20.85546875" style="485" customWidth="1"/>
    <col min="300" max="512" width="11.42578125" style="485"/>
    <col min="513" max="513" width="13.140625" style="485" customWidth="1"/>
    <col min="514" max="514" width="4" style="485" customWidth="1"/>
    <col min="515" max="515" width="20.7109375" style="485" customWidth="1"/>
    <col min="516" max="516" width="14.7109375" style="485" customWidth="1"/>
    <col min="517" max="517" width="10" style="485" customWidth="1"/>
    <col min="518" max="518" width="6.28515625" style="485" customWidth="1"/>
    <col min="519" max="519" width="12.28515625" style="485" customWidth="1"/>
    <col min="520" max="520" width="8.5703125" style="485" customWidth="1"/>
    <col min="521" max="521" width="13.7109375" style="485" customWidth="1"/>
    <col min="522" max="522" width="11.5703125" style="485" customWidth="1"/>
    <col min="523" max="523" width="20" style="485" customWidth="1"/>
    <col min="524" max="524" width="17.42578125" style="485" customWidth="1"/>
    <col min="525" max="525" width="21.140625" style="485" customWidth="1"/>
    <col min="526" max="526" width="22.140625" style="485" customWidth="1"/>
    <col min="527" max="527" width="8" style="485" customWidth="1"/>
    <col min="528" max="528" width="17" style="485" customWidth="1"/>
    <col min="529" max="529" width="12.7109375" style="485" customWidth="1"/>
    <col min="530" max="530" width="19" style="485" customWidth="1"/>
    <col min="531" max="531" width="23.5703125" style="485" customWidth="1"/>
    <col min="532" max="532" width="31.5703125" style="485" customWidth="1"/>
    <col min="533" max="533" width="19" style="485" customWidth="1"/>
    <col min="534" max="534" width="23.28515625" style="485" customWidth="1"/>
    <col min="535" max="535" width="11.7109375" style="485" customWidth="1"/>
    <col min="536" max="536" width="11.85546875" style="485" customWidth="1"/>
    <col min="537" max="537" width="5.5703125" style="485" customWidth="1"/>
    <col min="538" max="538" width="4.7109375" style="485" customWidth="1"/>
    <col min="539" max="540" width="7.28515625" style="485" customWidth="1"/>
    <col min="541" max="541" width="8.42578125" style="485" customWidth="1"/>
    <col min="542" max="542" width="9.5703125" style="485" customWidth="1"/>
    <col min="543" max="543" width="6.28515625" style="485" customWidth="1"/>
    <col min="544" max="544" width="5.85546875" style="485" customWidth="1"/>
    <col min="545" max="546" width="4.42578125" style="485" customWidth="1"/>
    <col min="547" max="547" width="5" style="485" customWidth="1"/>
    <col min="548" max="548" width="5.85546875" style="485" customWidth="1"/>
    <col min="549" max="549" width="6.140625" style="485" customWidth="1"/>
    <col min="550" max="550" width="6.28515625" style="485" customWidth="1"/>
    <col min="551" max="551" width="4.85546875" style="485" customWidth="1"/>
    <col min="552" max="552" width="8.140625" style="485" customWidth="1"/>
    <col min="553" max="553" width="11.5703125" style="485" customWidth="1"/>
    <col min="554" max="554" width="13.7109375" style="485" customWidth="1"/>
    <col min="555" max="555" width="20.85546875" style="485" customWidth="1"/>
    <col min="556" max="768" width="11.42578125" style="485"/>
    <col min="769" max="769" width="13.140625" style="485" customWidth="1"/>
    <col min="770" max="770" width="4" style="485" customWidth="1"/>
    <col min="771" max="771" width="20.7109375" style="485" customWidth="1"/>
    <col min="772" max="772" width="14.7109375" style="485" customWidth="1"/>
    <col min="773" max="773" width="10" style="485" customWidth="1"/>
    <col min="774" max="774" width="6.28515625" style="485" customWidth="1"/>
    <col min="775" max="775" width="12.28515625" style="485" customWidth="1"/>
    <col min="776" max="776" width="8.5703125" style="485" customWidth="1"/>
    <col min="777" max="777" width="13.7109375" style="485" customWidth="1"/>
    <col min="778" max="778" width="11.5703125" style="485" customWidth="1"/>
    <col min="779" max="779" width="20" style="485" customWidth="1"/>
    <col min="780" max="780" width="17.42578125" style="485" customWidth="1"/>
    <col min="781" max="781" width="21.140625" style="485" customWidth="1"/>
    <col min="782" max="782" width="22.140625" style="485" customWidth="1"/>
    <col min="783" max="783" width="8" style="485" customWidth="1"/>
    <col min="784" max="784" width="17" style="485" customWidth="1"/>
    <col min="785" max="785" width="12.7109375" style="485" customWidth="1"/>
    <col min="786" max="786" width="19" style="485" customWidth="1"/>
    <col min="787" max="787" width="23.5703125" style="485" customWidth="1"/>
    <col min="788" max="788" width="31.5703125" style="485" customWidth="1"/>
    <col min="789" max="789" width="19" style="485" customWidth="1"/>
    <col min="790" max="790" width="23.28515625" style="485" customWidth="1"/>
    <col min="791" max="791" width="11.7109375" style="485" customWidth="1"/>
    <col min="792" max="792" width="11.85546875" style="485" customWidth="1"/>
    <col min="793" max="793" width="5.5703125" style="485" customWidth="1"/>
    <col min="794" max="794" width="4.7109375" style="485" customWidth="1"/>
    <col min="795" max="796" width="7.28515625" style="485" customWidth="1"/>
    <col min="797" max="797" width="8.42578125" style="485" customWidth="1"/>
    <col min="798" max="798" width="9.5703125" style="485" customWidth="1"/>
    <col min="799" max="799" width="6.28515625" style="485" customWidth="1"/>
    <col min="800" max="800" width="5.85546875" style="485" customWidth="1"/>
    <col min="801" max="802" width="4.42578125" style="485" customWidth="1"/>
    <col min="803" max="803" width="5" style="485" customWidth="1"/>
    <col min="804" max="804" width="5.85546875" style="485" customWidth="1"/>
    <col min="805" max="805" width="6.140625" style="485" customWidth="1"/>
    <col min="806" max="806" width="6.28515625" style="485" customWidth="1"/>
    <col min="807" max="807" width="4.85546875" style="485" customWidth="1"/>
    <col min="808" max="808" width="8.140625" style="485" customWidth="1"/>
    <col min="809" max="809" width="11.5703125" style="485" customWidth="1"/>
    <col min="810" max="810" width="13.7109375" style="485" customWidth="1"/>
    <col min="811" max="811" width="20.85546875" style="485" customWidth="1"/>
    <col min="812" max="1024" width="11.42578125" style="485"/>
    <col min="1025" max="1025" width="13.140625" style="485" customWidth="1"/>
    <col min="1026" max="1026" width="4" style="485" customWidth="1"/>
    <col min="1027" max="1027" width="20.7109375" style="485" customWidth="1"/>
    <col min="1028" max="1028" width="14.7109375" style="485" customWidth="1"/>
    <col min="1029" max="1029" width="10" style="485" customWidth="1"/>
    <col min="1030" max="1030" width="6.28515625" style="485" customWidth="1"/>
    <col min="1031" max="1031" width="12.28515625" style="485" customWidth="1"/>
    <col min="1032" max="1032" width="8.5703125" style="485" customWidth="1"/>
    <col min="1033" max="1033" width="13.7109375" style="485" customWidth="1"/>
    <col min="1034" max="1034" width="11.5703125" style="485" customWidth="1"/>
    <col min="1035" max="1035" width="20" style="485" customWidth="1"/>
    <col min="1036" max="1036" width="17.42578125" style="485" customWidth="1"/>
    <col min="1037" max="1037" width="21.140625" style="485" customWidth="1"/>
    <col min="1038" max="1038" width="22.140625" style="485" customWidth="1"/>
    <col min="1039" max="1039" width="8" style="485" customWidth="1"/>
    <col min="1040" max="1040" width="17" style="485" customWidth="1"/>
    <col min="1041" max="1041" width="12.7109375" style="485" customWidth="1"/>
    <col min="1042" max="1042" width="19" style="485" customWidth="1"/>
    <col min="1043" max="1043" width="23.5703125" style="485" customWidth="1"/>
    <col min="1044" max="1044" width="31.5703125" style="485" customWidth="1"/>
    <col min="1045" max="1045" width="19" style="485" customWidth="1"/>
    <col min="1046" max="1046" width="23.28515625" style="485" customWidth="1"/>
    <col min="1047" max="1047" width="11.7109375" style="485" customWidth="1"/>
    <col min="1048" max="1048" width="11.85546875" style="485" customWidth="1"/>
    <col min="1049" max="1049" width="5.5703125" style="485" customWidth="1"/>
    <col min="1050" max="1050" width="4.7109375" style="485" customWidth="1"/>
    <col min="1051" max="1052" width="7.28515625" style="485" customWidth="1"/>
    <col min="1053" max="1053" width="8.42578125" style="485" customWidth="1"/>
    <col min="1054" max="1054" width="9.5703125" style="485" customWidth="1"/>
    <col min="1055" max="1055" width="6.28515625" style="485" customWidth="1"/>
    <col min="1056" max="1056" width="5.85546875" style="485" customWidth="1"/>
    <col min="1057" max="1058" width="4.42578125" style="485" customWidth="1"/>
    <col min="1059" max="1059" width="5" style="485" customWidth="1"/>
    <col min="1060" max="1060" width="5.85546875" style="485" customWidth="1"/>
    <col min="1061" max="1061" width="6.140625" style="485" customWidth="1"/>
    <col min="1062" max="1062" width="6.28515625" style="485" customWidth="1"/>
    <col min="1063" max="1063" width="4.85546875" style="485" customWidth="1"/>
    <col min="1064" max="1064" width="8.140625" style="485" customWidth="1"/>
    <col min="1065" max="1065" width="11.5703125" style="485" customWidth="1"/>
    <col min="1066" max="1066" width="13.7109375" style="485" customWidth="1"/>
    <col min="1067" max="1067" width="20.85546875" style="485" customWidth="1"/>
    <col min="1068" max="1280" width="11.42578125" style="485"/>
    <col min="1281" max="1281" width="13.140625" style="485" customWidth="1"/>
    <col min="1282" max="1282" width="4" style="485" customWidth="1"/>
    <col min="1283" max="1283" width="20.7109375" style="485" customWidth="1"/>
    <col min="1284" max="1284" width="14.7109375" style="485" customWidth="1"/>
    <col min="1285" max="1285" width="10" style="485" customWidth="1"/>
    <col min="1286" max="1286" width="6.28515625" style="485" customWidth="1"/>
    <col min="1287" max="1287" width="12.28515625" style="485" customWidth="1"/>
    <col min="1288" max="1288" width="8.5703125" style="485" customWidth="1"/>
    <col min="1289" max="1289" width="13.7109375" style="485" customWidth="1"/>
    <col min="1290" max="1290" width="11.5703125" style="485" customWidth="1"/>
    <col min="1291" max="1291" width="20" style="485" customWidth="1"/>
    <col min="1292" max="1292" width="17.42578125" style="485" customWidth="1"/>
    <col min="1293" max="1293" width="21.140625" style="485" customWidth="1"/>
    <col min="1294" max="1294" width="22.140625" style="485" customWidth="1"/>
    <col min="1295" max="1295" width="8" style="485" customWidth="1"/>
    <col min="1296" max="1296" width="17" style="485" customWidth="1"/>
    <col min="1297" max="1297" width="12.7109375" style="485" customWidth="1"/>
    <col min="1298" max="1298" width="19" style="485" customWidth="1"/>
    <col min="1299" max="1299" width="23.5703125" style="485" customWidth="1"/>
    <col min="1300" max="1300" width="31.5703125" style="485" customWidth="1"/>
    <col min="1301" max="1301" width="19" style="485" customWidth="1"/>
    <col min="1302" max="1302" width="23.28515625" style="485" customWidth="1"/>
    <col min="1303" max="1303" width="11.7109375" style="485" customWidth="1"/>
    <col min="1304" max="1304" width="11.85546875" style="485" customWidth="1"/>
    <col min="1305" max="1305" width="5.5703125" style="485" customWidth="1"/>
    <col min="1306" max="1306" width="4.7109375" style="485" customWidth="1"/>
    <col min="1307" max="1308" width="7.28515625" style="485" customWidth="1"/>
    <col min="1309" max="1309" width="8.42578125" style="485" customWidth="1"/>
    <col min="1310" max="1310" width="9.5703125" style="485" customWidth="1"/>
    <col min="1311" max="1311" width="6.28515625" style="485" customWidth="1"/>
    <col min="1312" max="1312" width="5.85546875" style="485" customWidth="1"/>
    <col min="1313" max="1314" width="4.42578125" style="485" customWidth="1"/>
    <col min="1315" max="1315" width="5" style="485" customWidth="1"/>
    <col min="1316" max="1316" width="5.85546875" style="485" customWidth="1"/>
    <col min="1317" max="1317" width="6.140625" style="485" customWidth="1"/>
    <col min="1318" max="1318" width="6.28515625" style="485" customWidth="1"/>
    <col min="1319" max="1319" width="4.85546875" style="485" customWidth="1"/>
    <col min="1320" max="1320" width="8.140625" style="485" customWidth="1"/>
    <col min="1321" max="1321" width="11.5703125" style="485" customWidth="1"/>
    <col min="1322" max="1322" width="13.7109375" style="485" customWidth="1"/>
    <col min="1323" max="1323" width="20.85546875" style="485" customWidth="1"/>
    <col min="1324" max="1536" width="11.42578125" style="485"/>
    <col min="1537" max="1537" width="13.140625" style="485" customWidth="1"/>
    <col min="1538" max="1538" width="4" style="485" customWidth="1"/>
    <col min="1539" max="1539" width="20.7109375" style="485" customWidth="1"/>
    <col min="1540" max="1540" width="14.7109375" style="485" customWidth="1"/>
    <col min="1541" max="1541" width="10" style="485" customWidth="1"/>
    <col min="1542" max="1542" width="6.28515625" style="485" customWidth="1"/>
    <col min="1543" max="1543" width="12.28515625" style="485" customWidth="1"/>
    <col min="1544" max="1544" width="8.5703125" style="485" customWidth="1"/>
    <col min="1545" max="1545" width="13.7109375" style="485" customWidth="1"/>
    <col min="1546" max="1546" width="11.5703125" style="485" customWidth="1"/>
    <col min="1547" max="1547" width="20" style="485" customWidth="1"/>
    <col min="1548" max="1548" width="17.42578125" style="485" customWidth="1"/>
    <col min="1549" max="1549" width="21.140625" style="485" customWidth="1"/>
    <col min="1550" max="1550" width="22.140625" style="485" customWidth="1"/>
    <col min="1551" max="1551" width="8" style="485" customWidth="1"/>
    <col min="1552" max="1552" width="17" style="485" customWidth="1"/>
    <col min="1553" max="1553" width="12.7109375" style="485" customWidth="1"/>
    <col min="1554" max="1554" width="19" style="485" customWidth="1"/>
    <col min="1555" max="1555" width="23.5703125" style="485" customWidth="1"/>
    <col min="1556" max="1556" width="31.5703125" style="485" customWidth="1"/>
    <col min="1557" max="1557" width="19" style="485" customWidth="1"/>
    <col min="1558" max="1558" width="23.28515625" style="485" customWidth="1"/>
    <col min="1559" max="1559" width="11.7109375" style="485" customWidth="1"/>
    <col min="1560" max="1560" width="11.85546875" style="485" customWidth="1"/>
    <col min="1561" max="1561" width="5.5703125" style="485" customWidth="1"/>
    <col min="1562" max="1562" width="4.7109375" style="485" customWidth="1"/>
    <col min="1563" max="1564" width="7.28515625" style="485" customWidth="1"/>
    <col min="1565" max="1565" width="8.42578125" style="485" customWidth="1"/>
    <col min="1566" max="1566" width="9.5703125" style="485" customWidth="1"/>
    <col min="1567" max="1567" width="6.28515625" style="485" customWidth="1"/>
    <col min="1568" max="1568" width="5.85546875" style="485" customWidth="1"/>
    <col min="1569" max="1570" width="4.42578125" style="485" customWidth="1"/>
    <col min="1571" max="1571" width="5" style="485" customWidth="1"/>
    <col min="1572" max="1572" width="5.85546875" style="485" customWidth="1"/>
    <col min="1573" max="1573" width="6.140625" style="485" customWidth="1"/>
    <col min="1574" max="1574" width="6.28515625" style="485" customWidth="1"/>
    <col min="1575" max="1575" width="4.85546875" style="485" customWidth="1"/>
    <col min="1576" max="1576" width="8.140625" style="485" customWidth="1"/>
    <col min="1577" max="1577" width="11.5703125" style="485" customWidth="1"/>
    <col min="1578" max="1578" width="13.7109375" style="485" customWidth="1"/>
    <col min="1579" max="1579" width="20.85546875" style="485" customWidth="1"/>
    <col min="1580" max="1792" width="11.42578125" style="485"/>
    <col min="1793" max="1793" width="13.140625" style="485" customWidth="1"/>
    <col min="1794" max="1794" width="4" style="485" customWidth="1"/>
    <col min="1795" max="1795" width="20.7109375" style="485" customWidth="1"/>
    <col min="1796" max="1796" width="14.7109375" style="485" customWidth="1"/>
    <col min="1797" max="1797" width="10" style="485" customWidth="1"/>
    <col min="1798" max="1798" width="6.28515625" style="485" customWidth="1"/>
    <col min="1799" max="1799" width="12.28515625" style="485" customWidth="1"/>
    <col min="1800" max="1800" width="8.5703125" style="485" customWidth="1"/>
    <col min="1801" max="1801" width="13.7109375" style="485" customWidth="1"/>
    <col min="1802" max="1802" width="11.5703125" style="485" customWidth="1"/>
    <col min="1803" max="1803" width="20" style="485" customWidth="1"/>
    <col min="1804" max="1804" width="17.42578125" style="485" customWidth="1"/>
    <col min="1805" max="1805" width="21.140625" style="485" customWidth="1"/>
    <col min="1806" max="1806" width="22.140625" style="485" customWidth="1"/>
    <col min="1807" max="1807" width="8" style="485" customWidth="1"/>
    <col min="1808" max="1808" width="17" style="485" customWidth="1"/>
    <col min="1809" max="1809" width="12.7109375" style="485" customWidth="1"/>
    <col min="1810" max="1810" width="19" style="485" customWidth="1"/>
    <col min="1811" max="1811" width="23.5703125" style="485" customWidth="1"/>
    <col min="1812" max="1812" width="31.5703125" style="485" customWidth="1"/>
    <col min="1813" max="1813" width="19" style="485" customWidth="1"/>
    <col min="1814" max="1814" width="23.28515625" style="485" customWidth="1"/>
    <col min="1815" max="1815" width="11.7109375" style="485" customWidth="1"/>
    <col min="1816" max="1816" width="11.85546875" style="485" customWidth="1"/>
    <col min="1817" max="1817" width="5.5703125" style="485" customWidth="1"/>
    <col min="1818" max="1818" width="4.7109375" style="485" customWidth="1"/>
    <col min="1819" max="1820" width="7.28515625" style="485" customWidth="1"/>
    <col min="1821" max="1821" width="8.42578125" style="485" customWidth="1"/>
    <col min="1822" max="1822" width="9.5703125" style="485" customWidth="1"/>
    <col min="1823" max="1823" width="6.28515625" style="485" customWidth="1"/>
    <col min="1824" max="1824" width="5.85546875" style="485" customWidth="1"/>
    <col min="1825" max="1826" width="4.42578125" style="485" customWidth="1"/>
    <col min="1827" max="1827" width="5" style="485" customWidth="1"/>
    <col min="1828" max="1828" width="5.85546875" style="485" customWidth="1"/>
    <col min="1829" max="1829" width="6.140625" style="485" customWidth="1"/>
    <col min="1830" max="1830" width="6.28515625" style="485" customWidth="1"/>
    <col min="1831" max="1831" width="4.85546875" style="485" customWidth="1"/>
    <col min="1832" max="1832" width="8.140625" style="485" customWidth="1"/>
    <col min="1833" max="1833" width="11.5703125" style="485" customWidth="1"/>
    <col min="1834" max="1834" width="13.7109375" style="485" customWidth="1"/>
    <col min="1835" max="1835" width="20.85546875" style="485" customWidth="1"/>
    <col min="1836" max="2048" width="11.42578125" style="485"/>
    <col min="2049" max="2049" width="13.140625" style="485" customWidth="1"/>
    <col min="2050" max="2050" width="4" style="485" customWidth="1"/>
    <col min="2051" max="2051" width="20.7109375" style="485" customWidth="1"/>
    <col min="2052" max="2052" width="14.7109375" style="485" customWidth="1"/>
    <col min="2053" max="2053" width="10" style="485" customWidth="1"/>
    <col min="2054" max="2054" width="6.28515625" style="485" customWidth="1"/>
    <col min="2055" max="2055" width="12.28515625" style="485" customWidth="1"/>
    <col min="2056" max="2056" width="8.5703125" style="485" customWidth="1"/>
    <col min="2057" max="2057" width="13.7109375" style="485" customWidth="1"/>
    <col min="2058" max="2058" width="11.5703125" style="485" customWidth="1"/>
    <col min="2059" max="2059" width="20" style="485" customWidth="1"/>
    <col min="2060" max="2060" width="17.42578125" style="485" customWidth="1"/>
    <col min="2061" max="2061" width="21.140625" style="485" customWidth="1"/>
    <col min="2062" max="2062" width="22.140625" style="485" customWidth="1"/>
    <col min="2063" max="2063" width="8" style="485" customWidth="1"/>
    <col min="2064" max="2064" width="17" style="485" customWidth="1"/>
    <col min="2065" max="2065" width="12.7109375" style="485" customWidth="1"/>
    <col min="2066" max="2066" width="19" style="485" customWidth="1"/>
    <col min="2067" max="2067" width="23.5703125" style="485" customWidth="1"/>
    <col min="2068" max="2068" width="31.5703125" style="485" customWidth="1"/>
    <col min="2069" max="2069" width="19" style="485" customWidth="1"/>
    <col min="2070" max="2070" width="23.28515625" style="485" customWidth="1"/>
    <col min="2071" max="2071" width="11.7109375" style="485" customWidth="1"/>
    <col min="2072" max="2072" width="11.85546875" style="485" customWidth="1"/>
    <col min="2073" max="2073" width="5.5703125" style="485" customWidth="1"/>
    <col min="2074" max="2074" width="4.7109375" style="485" customWidth="1"/>
    <col min="2075" max="2076" width="7.28515625" style="485" customWidth="1"/>
    <col min="2077" max="2077" width="8.42578125" style="485" customWidth="1"/>
    <col min="2078" max="2078" width="9.5703125" style="485" customWidth="1"/>
    <col min="2079" max="2079" width="6.28515625" style="485" customWidth="1"/>
    <col min="2080" max="2080" width="5.85546875" style="485" customWidth="1"/>
    <col min="2081" max="2082" width="4.42578125" style="485" customWidth="1"/>
    <col min="2083" max="2083" width="5" style="485" customWidth="1"/>
    <col min="2084" max="2084" width="5.85546875" style="485" customWidth="1"/>
    <col min="2085" max="2085" width="6.140625" style="485" customWidth="1"/>
    <col min="2086" max="2086" width="6.28515625" style="485" customWidth="1"/>
    <col min="2087" max="2087" width="4.85546875" style="485" customWidth="1"/>
    <col min="2088" max="2088" width="8.140625" style="485" customWidth="1"/>
    <col min="2089" max="2089" width="11.5703125" style="485" customWidth="1"/>
    <col min="2090" max="2090" width="13.7109375" style="485" customWidth="1"/>
    <col min="2091" max="2091" width="20.85546875" style="485" customWidth="1"/>
    <col min="2092" max="2304" width="11.42578125" style="485"/>
    <col min="2305" max="2305" width="13.140625" style="485" customWidth="1"/>
    <col min="2306" max="2306" width="4" style="485" customWidth="1"/>
    <col min="2307" max="2307" width="20.7109375" style="485" customWidth="1"/>
    <col min="2308" max="2308" width="14.7109375" style="485" customWidth="1"/>
    <col min="2309" max="2309" width="10" style="485" customWidth="1"/>
    <col min="2310" max="2310" width="6.28515625" style="485" customWidth="1"/>
    <col min="2311" max="2311" width="12.28515625" style="485" customWidth="1"/>
    <col min="2312" max="2312" width="8.5703125" style="485" customWidth="1"/>
    <col min="2313" max="2313" width="13.7109375" style="485" customWidth="1"/>
    <col min="2314" max="2314" width="11.5703125" style="485" customWidth="1"/>
    <col min="2315" max="2315" width="20" style="485" customWidth="1"/>
    <col min="2316" max="2316" width="17.42578125" style="485" customWidth="1"/>
    <col min="2317" max="2317" width="21.140625" style="485" customWidth="1"/>
    <col min="2318" max="2318" width="22.140625" style="485" customWidth="1"/>
    <col min="2319" max="2319" width="8" style="485" customWidth="1"/>
    <col min="2320" max="2320" width="17" style="485" customWidth="1"/>
    <col min="2321" max="2321" width="12.7109375" style="485" customWidth="1"/>
    <col min="2322" max="2322" width="19" style="485" customWidth="1"/>
    <col min="2323" max="2323" width="23.5703125" style="485" customWidth="1"/>
    <col min="2324" max="2324" width="31.5703125" style="485" customWidth="1"/>
    <col min="2325" max="2325" width="19" style="485" customWidth="1"/>
    <col min="2326" max="2326" width="23.28515625" style="485" customWidth="1"/>
    <col min="2327" max="2327" width="11.7109375" style="485" customWidth="1"/>
    <col min="2328" max="2328" width="11.85546875" style="485" customWidth="1"/>
    <col min="2329" max="2329" width="5.5703125" style="485" customWidth="1"/>
    <col min="2330" max="2330" width="4.7109375" style="485" customWidth="1"/>
    <col min="2331" max="2332" width="7.28515625" style="485" customWidth="1"/>
    <col min="2333" max="2333" width="8.42578125" style="485" customWidth="1"/>
    <col min="2334" max="2334" width="9.5703125" style="485" customWidth="1"/>
    <col min="2335" max="2335" width="6.28515625" style="485" customWidth="1"/>
    <col min="2336" max="2336" width="5.85546875" style="485" customWidth="1"/>
    <col min="2337" max="2338" width="4.42578125" style="485" customWidth="1"/>
    <col min="2339" max="2339" width="5" style="485" customWidth="1"/>
    <col min="2340" max="2340" width="5.85546875" style="485" customWidth="1"/>
    <col min="2341" max="2341" width="6.140625" style="485" customWidth="1"/>
    <col min="2342" max="2342" width="6.28515625" style="485" customWidth="1"/>
    <col min="2343" max="2343" width="4.85546875" style="485" customWidth="1"/>
    <col min="2344" max="2344" width="8.140625" style="485" customWidth="1"/>
    <col min="2345" max="2345" width="11.5703125" style="485" customWidth="1"/>
    <col min="2346" max="2346" width="13.7109375" style="485" customWidth="1"/>
    <col min="2347" max="2347" width="20.85546875" style="485" customWidth="1"/>
    <col min="2348" max="2560" width="11.42578125" style="485"/>
    <col min="2561" max="2561" width="13.140625" style="485" customWidth="1"/>
    <col min="2562" max="2562" width="4" style="485" customWidth="1"/>
    <col min="2563" max="2563" width="20.7109375" style="485" customWidth="1"/>
    <col min="2564" max="2564" width="14.7109375" style="485" customWidth="1"/>
    <col min="2565" max="2565" width="10" style="485" customWidth="1"/>
    <col min="2566" max="2566" width="6.28515625" style="485" customWidth="1"/>
    <col min="2567" max="2567" width="12.28515625" style="485" customWidth="1"/>
    <col min="2568" max="2568" width="8.5703125" style="485" customWidth="1"/>
    <col min="2569" max="2569" width="13.7109375" style="485" customWidth="1"/>
    <col min="2570" max="2570" width="11.5703125" style="485" customWidth="1"/>
    <col min="2571" max="2571" width="20" style="485" customWidth="1"/>
    <col min="2572" max="2572" width="17.42578125" style="485" customWidth="1"/>
    <col min="2573" max="2573" width="21.140625" style="485" customWidth="1"/>
    <col min="2574" max="2574" width="22.140625" style="485" customWidth="1"/>
    <col min="2575" max="2575" width="8" style="485" customWidth="1"/>
    <col min="2576" max="2576" width="17" style="485" customWidth="1"/>
    <col min="2577" max="2577" width="12.7109375" style="485" customWidth="1"/>
    <col min="2578" max="2578" width="19" style="485" customWidth="1"/>
    <col min="2579" max="2579" width="23.5703125" style="485" customWidth="1"/>
    <col min="2580" max="2580" width="31.5703125" style="485" customWidth="1"/>
    <col min="2581" max="2581" width="19" style="485" customWidth="1"/>
    <col min="2582" max="2582" width="23.28515625" style="485" customWidth="1"/>
    <col min="2583" max="2583" width="11.7109375" style="485" customWidth="1"/>
    <col min="2584" max="2584" width="11.85546875" style="485" customWidth="1"/>
    <col min="2585" max="2585" width="5.5703125" style="485" customWidth="1"/>
    <col min="2586" max="2586" width="4.7109375" style="485" customWidth="1"/>
    <col min="2587" max="2588" width="7.28515625" style="485" customWidth="1"/>
    <col min="2589" max="2589" width="8.42578125" style="485" customWidth="1"/>
    <col min="2590" max="2590" width="9.5703125" style="485" customWidth="1"/>
    <col min="2591" max="2591" width="6.28515625" style="485" customWidth="1"/>
    <col min="2592" max="2592" width="5.85546875" style="485" customWidth="1"/>
    <col min="2593" max="2594" width="4.42578125" style="485" customWidth="1"/>
    <col min="2595" max="2595" width="5" style="485" customWidth="1"/>
    <col min="2596" max="2596" width="5.85546875" style="485" customWidth="1"/>
    <col min="2597" max="2597" width="6.140625" style="485" customWidth="1"/>
    <col min="2598" max="2598" width="6.28515625" style="485" customWidth="1"/>
    <col min="2599" max="2599" width="4.85546875" style="485" customWidth="1"/>
    <col min="2600" max="2600" width="8.140625" style="485" customWidth="1"/>
    <col min="2601" max="2601" width="11.5703125" style="485" customWidth="1"/>
    <col min="2602" max="2602" width="13.7109375" style="485" customWidth="1"/>
    <col min="2603" max="2603" width="20.85546875" style="485" customWidth="1"/>
    <col min="2604" max="2816" width="11.42578125" style="485"/>
    <col min="2817" max="2817" width="13.140625" style="485" customWidth="1"/>
    <col min="2818" max="2818" width="4" style="485" customWidth="1"/>
    <col min="2819" max="2819" width="20.7109375" style="485" customWidth="1"/>
    <col min="2820" max="2820" width="14.7109375" style="485" customWidth="1"/>
    <col min="2821" max="2821" width="10" style="485" customWidth="1"/>
    <col min="2822" max="2822" width="6.28515625" style="485" customWidth="1"/>
    <col min="2823" max="2823" width="12.28515625" style="485" customWidth="1"/>
    <col min="2824" max="2824" width="8.5703125" style="485" customWidth="1"/>
    <col min="2825" max="2825" width="13.7109375" style="485" customWidth="1"/>
    <col min="2826" max="2826" width="11.5703125" style="485" customWidth="1"/>
    <col min="2827" max="2827" width="20" style="485" customWidth="1"/>
    <col min="2828" max="2828" width="17.42578125" style="485" customWidth="1"/>
    <col min="2829" max="2829" width="21.140625" style="485" customWidth="1"/>
    <col min="2830" max="2830" width="22.140625" style="485" customWidth="1"/>
    <col min="2831" max="2831" width="8" style="485" customWidth="1"/>
    <col min="2832" max="2832" width="17" style="485" customWidth="1"/>
    <col min="2833" max="2833" width="12.7109375" style="485" customWidth="1"/>
    <col min="2834" max="2834" width="19" style="485" customWidth="1"/>
    <col min="2835" max="2835" width="23.5703125" style="485" customWidth="1"/>
    <col min="2836" max="2836" width="31.5703125" style="485" customWidth="1"/>
    <col min="2837" max="2837" width="19" style="485" customWidth="1"/>
    <col min="2838" max="2838" width="23.28515625" style="485" customWidth="1"/>
    <col min="2839" max="2839" width="11.7109375" style="485" customWidth="1"/>
    <col min="2840" max="2840" width="11.85546875" style="485" customWidth="1"/>
    <col min="2841" max="2841" width="5.5703125" style="485" customWidth="1"/>
    <col min="2842" max="2842" width="4.7109375" style="485" customWidth="1"/>
    <col min="2843" max="2844" width="7.28515625" style="485" customWidth="1"/>
    <col min="2845" max="2845" width="8.42578125" style="485" customWidth="1"/>
    <col min="2846" max="2846" width="9.5703125" style="485" customWidth="1"/>
    <col min="2847" max="2847" width="6.28515625" style="485" customWidth="1"/>
    <col min="2848" max="2848" width="5.85546875" style="485" customWidth="1"/>
    <col min="2849" max="2850" width="4.42578125" style="485" customWidth="1"/>
    <col min="2851" max="2851" width="5" style="485" customWidth="1"/>
    <col min="2852" max="2852" width="5.85546875" style="485" customWidth="1"/>
    <col min="2853" max="2853" width="6.140625" style="485" customWidth="1"/>
    <col min="2854" max="2854" width="6.28515625" style="485" customWidth="1"/>
    <col min="2855" max="2855" width="4.85546875" style="485" customWidth="1"/>
    <col min="2856" max="2856" width="8.140625" style="485" customWidth="1"/>
    <col min="2857" max="2857" width="11.5703125" style="485" customWidth="1"/>
    <col min="2858" max="2858" width="13.7109375" style="485" customWidth="1"/>
    <col min="2859" max="2859" width="20.85546875" style="485" customWidth="1"/>
    <col min="2860" max="3072" width="11.42578125" style="485"/>
    <col min="3073" max="3073" width="13.140625" style="485" customWidth="1"/>
    <col min="3074" max="3074" width="4" style="485" customWidth="1"/>
    <col min="3075" max="3075" width="20.7109375" style="485" customWidth="1"/>
    <col min="3076" max="3076" width="14.7109375" style="485" customWidth="1"/>
    <col min="3077" max="3077" width="10" style="485" customWidth="1"/>
    <col min="3078" max="3078" width="6.28515625" style="485" customWidth="1"/>
    <col min="3079" max="3079" width="12.28515625" style="485" customWidth="1"/>
    <col min="3080" max="3080" width="8.5703125" style="485" customWidth="1"/>
    <col min="3081" max="3081" width="13.7109375" style="485" customWidth="1"/>
    <col min="3082" max="3082" width="11.5703125" style="485" customWidth="1"/>
    <col min="3083" max="3083" width="20" style="485" customWidth="1"/>
    <col min="3084" max="3084" width="17.42578125" style="485" customWidth="1"/>
    <col min="3085" max="3085" width="21.140625" style="485" customWidth="1"/>
    <col min="3086" max="3086" width="22.140625" style="485" customWidth="1"/>
    <col min="3087" max="3087" width="8" style="485" customWidth="1"/>
    <col min="3088" max="3088" width="17" style="485" customWidth="1"/>
    <col min="3089" max="3089" width="12.7109375" style="485" customWidth="1"/>
    <col min="3090" max="3090" width="19" style="485" customWidth="1"/>
    <col min="3091" max="3091" width="23.5703125" style="485" customWidth="1"/>
    <col min="3092" max="3092" width="31.5703125" style="485" customWidth="1"/>
    <col min="3093" max="3093" width="19" style="485" customWidth="1"/>
    <col min="3094" max="3094" width="23.28515625" style="485" customWidth="1"/>
    <col min="3095" max="3095" width="11.7109375" style="485" customWidth="1"/>
    <col min="3096" max="3096" width="11.85546875" style="485" customWidth="1"/>
    <col min="3097" max="3097" width="5.5703125" style="485" customWidth="1"/>
    <col min="3098" max="3098" width="4.7109375" style="485" customWidth="1"/>
    <col min="3099" max="3100" width="7.28515625" style="485" customWidth="1"/>
    <col min="3101" max="3101" width="8.42578125" style="485" customWidth="1"/>
    <col min="3102" max="3102" width="9.5703125" style="485" customWidth="1"/>
    <col min="3103" max="3103" width="6.28515625" style="485" customWidth="1"/>
    <col min="3104" max="3104" width="5.85546875" style="485" customWidth="1"/>
    <col min="3105" max="3106" width="4.42578125" style="485" customWidth="1"/>
    <col min="3107" max="3107" width="5" style="485" customWidth="1"/>
    <col min="3108" max="3108" width="5.85546875" style="485" customWidth="1"/>
    <col min="3109" max="3109" width="6.140625" style="485" customWidth="1"/>
    <col min="3110" max="3110" width="6.28515625" style="485" customWidth="1"/>
    <col min="3111" max="3111" width="4.85546875" style="485" customWidth="1"/>
    <col min="3112" max="3112" width="8.140625" style="485" customWidth="1"/>
    <col min="3113" max="3113" width="11.5703125" style="485" customWidth="1"/>
    <col min="3114" max="3114" width="13.7109375" style="485" customWidth="1"/>
    <col min="3115" max="3115" width="20.85546875" style="485" customWidth="1"/>
    <col min="3116" max="3328" width="11.42578125" style="485"/>
    <col min="3329" max="3329" width="13.140625" style="485" customWidth="1"/>
    <col min="3330" max="3330" width="4" style="485" customWidth="1"/>
    <col min="3331" max="3331" width="20.7109375" style="485" customWidth="1"/>
    <col min="3332" max="3332" width="14.7109375" style="485" customWidth="1"/>
    <col min="3333" max="3333" width="10" style="485" customWidth="1"/>
    <col min="3334" max="3334" width="6.28515625" style="485" customWidth="1"/>
    <col min="3335" max="3335" width="12.28515625" style="485" customWidth="1"/>
    <col min="3336" max="3336" width="8.5703125" style="485" customWidth="1"/>
    <col min="3337" max="3337" width="13.7109375" style="485" customWidth="1"/>
    <col min="3338" max="3338" width="11.5703125" style="485" customWidth="1"/>
    <col min="3339" max="3339" width="20" style="485" customWidth="1"/>
    <col min="3340" max="3340" width="17.42578125" style="485" customWidth="1"/>
    <col min="3341" max="3341" width="21.140625" style="485" customWidth="1"/>
    <col min="3342" max="3342" width="22.140625" style="485" customWidth="1"/>
    <col min="3343" max="3343" width="8" style="485" customWidth="1"/>
    <col min="3344" max="3344" width="17" style="485" customWidth="1"/>
    <col min="3345" max="3345" width="12.7109375" style="485" customWidth="1"/>
    <col min="3346" max="3346" width="19" style="485" customWidth="1"/>
    <col min="3347" max="3347" width="23.5703125" style="485" customWidth="1"/>
    <col min="3348" max="3348" width="31.5703125" style="485" customWidth="1"/>
    <col min="3349" max="3349" width="19" style="485" customWidth="1"/>
    <col min="3350" max="3350" width="23.28515625" style="485" customWidth="1"/>
    <col min="3351" max="3351" width="11.7109375" style="485" customWidth="1"/>
    <col min="3352" max="3352" width="11.85546875" style="485" customWidth="1"/>
    <col min="3353" max="3353" width="5.5703125" style="485" customWidth="1"/>
    <col min="3354" max="3354" width="4.7109375" style="485" customWidth="1"/>
    <col min="3355" max="3356" width="7.28515625" style="485" customWidth="1"/>
    <col min="3357" max="3357" width="8.42578125" style="485" customWidth="1"/>
    <col min="3358" max="3358" width="9.5703125" style="485" customWidth="1"/>
    <col min="3359" max="3359" width="6.28515625" style="485" customWidth="1"/>
    <col min="3360" max="3360" width="5.85546875" style="485" customWidth="1"/>
    <col min="3361" max="3362" width="4.42578125" style="485" customWidth="1"/>
    <col min="3363" max="3363" width="5" style="485" customWidth="1"/>
    <col min="3364" max="3364" width="5.85546875" style="485" customWidth="1"/>
    <col min="3365" max="3365" width="6.140625" style="485" customWidth="1"/>
    <col min="3366" max="3366" width="6.28515625" style="485" customWidth="1"/>
    <col min="3367" max="3367" width="4.85546875" style="485" customWidth="1"/>
    <col min="3368" max="3368" width="8.140625" style="485" customWidth="1"/>
    <col min="3369" max="3369" width="11.5703125" style="485" customWidth="1"/>
    <col min="3370" max="3370" width="13.7109375" style="485" customWidth="1"/>
    <col min="3371" max="3371" width="20.85546875" style="485" customWidth="1"/>
    <col min="3372" max="3584" width="11.42578125" style="485"/>
    <col min="3585" max="3585" width="13.140625" style="485" customWidth="1"/>
    <col min="3586" max="3586" width="4" style="485" customWidth="1"/>
    <col min="3587" max="3587" width="20.7109375" style="485" customWidth="1"/>
    <col min="3588" max="3588" width="14.7109375" style="485" customWidth="1"/>
    <col min="3589" max="3589" width="10" style="485" customWidth="1"/>
    <col min="3590" max="3590" width="6.28515625" style="485" customWidth="1"/>
    <col min="3591" max="3591" width="12.28515625" style="485" customWidth="1"/>
    <col min="3592" max="3592" width="8.5703125" style="485" customWidth="1"/>
    <col min="3593" max="3593" width="13.7109375" style="485" customWidth="1"/>
    <col min="3594" max="3594" width="11.5703125" style="485" customWidth="1"/>
    <col min="3595" max="3595" width="20" style="485" customWidth="1"/>
    <col min="3596" max="3596" width="17.42578125" style="485" customWidth="1"/>
    <col min="3597" max="3597" width="21.140625" style="485" customWidth="1"/>
    <col min="3598" max="3598" width="22.140625" style="485" customWidth="1"/>
    <col min="3599" max="3599" width="8" style="485" customWidth="1"/>
    <col min="3600" max="3600" width="17" style="485" customWidth="1"/>
    <col min="3601" max="3601" width="12.7109375" style="485" customWidth="1"/>
    <col min="3602" max="3602" width="19" style="485" customWidth="1"/>
    <col min="3603" max="3603" width="23.5703125" style="485" customWidth="1"/>
    <col min="3604" max="3604" width="31.5703125" style="485" customWidth="1"/>
    <col min="3605" max="3605" width="19" style="485" customWidth="1"/>
    <col min="3606" max="3606" width="23.28515625" style="485" customWidth="1"/>
    <col min="3607" max="3607" width="11.7109375" style="485" customWidth="1"/>
    <col min="3608" max="3608" width="11.85546875" style="485" customWidth="1"/>
    <col min="3609" max="3609" width="5.5703125" style="485" customWidth="1"/>
    <col min="3610" max="3610" width="4.7109375" style="485" customWidth="1"/>
    <col min="3611" max="3612" width="7.28515625" style="485" customWidth="1"/>
    <col min="3613" max="3613" width="8.42578125" style="485" customWidth="1"/>
    <col min="3614" max="3614" width="9.5703125" style="485" customWidth="1"/>
    <col min="3615" max="3615" width="6.28515625" style="485" customWidth="1"/>
    <col min="3616" max="3616" width="5.85546875" style="485" customWidth="1"/>
    <col min="3617" max="3618" width="4.42578125" style="485" customWidth="1"/>
    <col min="3619" max="3619" width="5" style="485" customWidth="1"/>
    <col min="3620" max="3620" width="5.85546875" style="485" customWidth="1"/>
    <col min="3621" max="3621" width="6.140625" style="485" customWidth="1"/>
    <col min="3622" max="3622" width="6.28515625" style="485" customWidth="1"/>
    <col min="3623" max="3623" width="4.85546875" style="485" customWidth="1"/>
    <col min="3624" max="3624" width="8.140625" style="485" customWidth="1"/>
    <col min="3625" max="3625" width="11.5703125" style="485" customWidth="1"/>
    <col min="3626" max="3626" width="13.7109375" style="485" customWidth="1"/>
    <col min="3627" max="3627" width="20.85546875" style="485" customWidth="1"/>
    <col min="3628" max="3840" width="11.42578125" style="485"/>
    <col min="3841" max="3841" width="13.140625" style="485" customWidth="1"/>
    <col min="3842" max="3842" width="4" style="485" customWidth="1"/>
    <col min="3843" max="3843" width="20.7109375" style="485" customWidth="1"/>
    <col min="3844" max="3844" width="14.7109375" style="485" customWidth="1"/>
    <col min="3845" max="3845" width="10" style="485" customWidth="1"/>
    <col min="3846" max="3846" width="6.28515625" style="485" customWidth="1"/>
    <col min="3847" max="3847" width="12.28515625" style="485" customWidth="1"/>
    <col min="3848" max="3848" width="8.5703125" style="485" customWidth="1"/>
    <col min="3849" max="3849" width="13.7109375" style="485" customWidth="1"/>
    <col min="3850" max="3850" width="11.5703125" style="485" customWidth="1"/>
    <col min="3851" max="3851" width="20" style="485" customWidth="1"/>
    <col min="3852" max="3852" width="17.42578125" style="485" customWidth="1"/>
    <col min="3853" max="3853" width="21.140625" style="485" customWidth="1"/>
    <col min="3854" max="3854" width="22.140625" style="485" customWidth="1"/>
    <col min="3855" max="3855" width="8" style="485" customWidth="1"/>
    <col min="3856" max="3856" width="17" style="485" customWidth="1"/>
    <col min="3857" max="3857" width="12.7109375" style="485" customWidth="1"/>
    <col min="3858" max="3858" width="19" style="485" customWidth="1"/>
    <col min="3859" max="3859" width="23.5703125" style="485" customWidth="1"/>
    <col min="3860" max="3860" width="31.5703125" style="485" customWidth="1"/>
    <col min="3861" max="3861" width="19" style="485" customWidth="1"/>
    <col min="3862" max="3862" width="23.28515625" style="485" customWidth="1"/>
    <col min="3863" max="3863" width="11.7109375" style="485" customWidth="1"/>
    <col min="3864" max="3864" width="11.85546875" style="485" customWidth="1"/>
    <col min="3865" max="3865" width="5.5703125" style="485" customWidth="1"/>
    <col min="3866" max="3866" width="4.7109375" style="485" customWidth="1"/>
    <col min="3867" max="3868" width="7.28515625" style="485" customWidth="1"/>
    <col min="3869" max="3869" width="8.42578125" style="485" customWidth="1"/>
    <col min="3870" max="3870" width="9.5703125" style="485" customWidth="1"/>
    <col min="3871" max="3871" width="6.28515625" style="485" customWidth="1"/>
    <col min="3872" max="3872" width="5.85546875" style="485" customWidth="1"/>
    <col min="3873" max="3874" width="4.42578125" style="485" customWidth="1"/>
    <col min="3875" max="3875" width="5" style="485" customWidth="1"/>
    <col min="3876" max="3876" width="5.85546875" style="485" customWidth="1"/>
    <col min="3877" max="3877" width="6.140625" style="485" customWidth="1"/>
    <col min="3878" max="3878" width="6.28515625" style="485" customWidth="1"/>
    <col min="3879" max="3879" width="4.85546875" style="485" customWidth="1"/>
    <col min="3880" max="3880" width="8.140625" style="485" customWidth="1"/>
    <col min="3881" max="3881" width="11.5703125" style="485" customWidth="1"/>
    <col min="3882" max="3882" width="13.7109375" style="485" customWidth="1"/>
    <col min="3883" max="3883" width="20.85546875" style="485" customWidth="1"/>
    <col min="3884" max="4096" width="11.42578125" style="485"/>
    <col min="4097" max="4097" width="13.140625" style="485" customWidth="1"/>
    <col min="4098" max="4098" width="4" style="485" customWidth="1"/>
    <col min="4099" max="4099" width="20.7109375" style="485" customWidth="1"/>
    <col min="4100" max="4100" width="14.7109375" style="485" customWidth="1"/>
    <col min="4101" max="4101" width="10" style="485" customWidth="1"/>
    <col min="4102" max="4102" width="6.28515625" style="485" customWidth="1"/>
    <col min="4103" max="4103" width="12.28515625" style="485" customWidth="1"/>
    <col min="4104" max="4104" width="8.5703125" style="485" customWidth="1"/>
    <col min="4105" max="4105" width="13.7109375" style="485" customWidth="1"/>
    <col min="4106" max="4106" width="11.5703125" style="485" customWidth="1"/>
    <col min="4107" max="4107" width="20" style="485" customWidth="1"/>
    <col min="4108" max="4108" width="17.42578125" style="485" customWidth="1"/>
    <col min="4109" max="4109" width="21.140625" style="485" customWidth="1"/>
    <col min="4110" max="4110" width="22.140625" style="485" customWidth="1"/>
    <col min="4111" max="4111" width="8" style="485" customWidth="1"/>
    <col min="4112" max="4112" width="17" style="485" customWidth="1"/>
    <col min="4113" max="4113" width="12.7109375" style="485" customWidth="1"/>
    <col min="4114" max="4114" width="19" style="485" customWidth="1"/>
    <col min="4115" max="4115" width="23.5703125" style="485" customWidth="1"/>
    <col min="4116" max="4116" width="31.5703125" style="485" customWidth="1"/>
    <col min="4117" max="4117" width="19" style="485" customWidth="1"/>
    <col min="4118" max="4118" width="23.28515625" style="485" customWidth="1"/>
    <col min="4119" max="4119" width="11.7109375" style="485" customWidth="1"/>
    <col min="4120" max="4120" width="11.85546875" style="485" customWidth="1"/>
    <col min="4121" max="4121" width="5.5703125" style="485" customWidth="1"/>
    <col min="4122" max="4122" width="4.7109375" style="485" customWidth="1"/>
    <col min="4123" max="4124" width="7.28515625" style="485" customWidth="1"/>
    <col min="4125" max="4125" width="8.42578125" style="485" customWidth="1"/>
    <col min="4126" max="4126" width="9.5703125" style="485" customWidth="1"/>
    <col min="4127" max="4127" width="6.28515625" style="485" customWidth="1"/>
    <col min="4128" max="4128" width="5.85546875" style="485" customWidth="1"/>
    <col min="4129" max="4130" width="4.42578125" style="485" customWidth="1"/>
    <col min="4131" max="4131" width="5" style="485" customWidth="1"/>
    <col min="4132" max="4132" width="5.85546875" style="485" customWidth="1"/>
    <col min="4133" max="4133" width="6.140625" style="485" customWidth="1"/>
    <col min="4134" max="4134" width="6.28515625" style="485" customWidth="1"/>
    <col min="4135" max="4135" width="4.85546875" style="485" customWidth="1"/>
    <col min="4136" max="4136" width="8.140625" style="485" customWidth="1"/>
    <col min="4137" max="4137" width="11.5703125" style="485" customWidth="1"/>
    <col min="4138" max="4138" width="13.7109375" style="485" customWidth="1"/>
    <col min="4139" max="4139" width="20.85546875" style="485" customWidth="1"/>
    <col min="4140" max="4352" width="11.42578125" style="485"/>
    <col min="4353" max="4353" width="13.140625" style="485" customWidth="1"/>
    <col min="4354" max="4354" width="4" style="485" customWidth="1"/>
    <col min="4355" max="4355" width="20.7109375" style="485" customWidth="1"/>
    <col min="4356" max="4356" width="14.7109375" style="485" customWidth="1"/>
    <col min="4357" max="4357" width="10" style="485" customWidth="1"/>
    <col min="4358" max="4358" width="6.28515625" style="485" customWidth="1"/>
    <col min="4359" max="4359" width="12.28515625" style="485" customWidth="1"/>
    <col min="4360" max="4360" width="8.5703125" style="485" customWidth="1"/>
    <col min="4361" max="4361" width="13.7109375" style="485" customWidth="1"/>
    <col min="4362" max="4362" width="11.5703125" style="485" customWidth="1"/>
    <col min="4363" max="4363" width="20" style="485" customWidth="1"/>
    <col min="4364" max="4364" width="17.42578125" style="485" customWidth="1"/>
    <col min="4365" max="4365" width="21.140625" style="485" customWidth="1"/>
    <col min="4366" max="4366" width="22.140625" style="485" customWidth="1"/>
    <col min="4367" max="4367" width="8" style="485" customWidth="1"/>
    <col min="4368" max="4368" width="17" style="485" customWidth="1"/>
    <col min="4369" max="4369" width="12.7109375" style="485" customWidth="1"/>
    <col min="4370" max="4370" width="19" style="485" customWidth="1"/>
    <col min="4371" max="4371" width="23.5703125" style="485" customWidth="1"/>
    <col min="4372" max="4372" width="31.5703125" style="485" customWidth="1"/>
    <col min="4373" max="4373" width="19" style="485" customWidth="1"/>
    <col min="4374" max="4374" width="23.28515625" style="485" customWidth="1"/>
    <col min="4375" max="4375" width="11.7109375" style="485" customWidth="1"/>
    <col min="4376" max="4376" width="11.85546875" style="485" customWidth="1"/>
    <col min="4377" max="4377" width="5.5703125" style="485" customWidth="1"/>
    <col min="4378" max="4378" width="4.7109375" style="485" customWidth="1"/>
    <col min="4379" max="4380" width="7.28515625" style="485" customWidth="1"/>
    <col min="4381" max="4381" width="8.42578125" style="485" customWidth="1"/>
    <col min="4382" max="4382" width="9.5703125" style="485" customWidth="1"/>
    <col min="4383" max="4383" width="6.28515625" style="485" customWidth="1"/>
    <col min="4384" max="4384" width="5.85546875" style="485" customWidth="1"/>
    <col min="4385" max="4386" width="4.42578125" style="485" customWidth="1"/>
    <col min="4387" max="4387" width="5" style="485" customWidth="1"/>
    <col min="4388" max="4388" width="5.85546875" style="485" customWidth="1"/>
    <col min="4389" max="4389" width="6.140625" style="485" customWidth="1"/>
    <col min="4390" max="4390" width="6.28515625" style="485" customWidth="1"/>
    <col min="4391" max="4391" width="4.85546875" style="485" customWidth="1"/>
    <col min="4392" max="4392" width="8.140625" style="485" customWidth="1"/>
    <col min="4393" max="4393" width="11.5703125" style="485" customWidth="1"/>
    <col min="4394" max="4394" width="13.7109375" style="485" customWidth="1"/>
    <col min="4395" max="4395" width="20.85546875" style="485" customWidth="1"/>
    <col min="4396" max="4608" width="11.42578125" style="485"/>
    <col min="4609" max="4609" width="13.140625" style="485" customWidth="1"/>
    <col min="4610" max="4610" width="4" style="485" customWidth="1"/>
    <col min="4611" max="4611" width="20.7109375" style="485" customWidth="1"/>
    <col min="4612" max="4612" width="14.7109375" style="485" customWidth="1"/>
    <col min="4613" max="4613" width="10" style="485" customWidth="1"/>
    <col min="4614" max="4614" width="6.28515625" style="485" customWidth="1"/>
    <col min="4615" max="4615" width="12.28515625" style="485" customWidth="1"/>
    <col min="4616" max="4616" width="8.5703125" style="485" customWidth="1"/>
    <col min="4617" max="4617" width="13.7109375" style="485" customWidth="1"/>
    <col min="4618" max="4618" width="11.5703125" style="485" customWidth="1"/>
    <col min="4619" max="4619" width="20" style="485" customWidth="1"/>
    <col min="4620" max="4620" width="17.42578125" style="485" customWidth="1"/>
    <col min="4621" max="4621" width="21.140625" style="485" customWidth="1"/>
    <col min="4622" max="4622" width="22.140625" style="485" customWidth="1"/>
    <col min="4623" max="4623" width="8" style="485" customWidth="1"/>
    <col min="4624" max="4624" width="17" style="485" customWidth="1"/>
    <col min="4625" max="4625" width="12.7109375" style="485" customWidth="1"/>
    <col min="4626" max="4626" width="19" style="485" customWidth="1"/>
    <col min="4627" max="4627" width="23.5703125" style="485" customWidth="1"/>
    <col min="4628" max="4628" width="31.5703125" style="485" customWidth="1"/>
    <col min="4629" max="4629" width="19" style="485" customWidth="1"/>
    <col min="4630" max="4630" width="23.28515625" style="485" customWidth="1"/>
    <col min="4631" max="4631" width="11.7109375" style="485" customWidth="1"/>
    <col min="4632" max="4632" width="11.85546875" style="485" customWidth="1"/>
    <col min="4633" max="4633" width="5.5703125" style="485" customWidth="1"/>
    <col min="4634" max="4634" width="4.7109375" style="485" customWidth="1"/>
    <col min="4635" max="4636" width="7.28515625" style="485" customWidth="1"/>
    <col min="4637" max="4637" width="8.42578125" style="485" customWidth="1"/>
    <col min="4638" max="4638" width="9.5703125" style="485" customWidth="1"/>
    <col min="4639" max="4639" width="6.28515625" style="485" customWidth="1"/>
    <col min="4640" max="4640" width="5.85546875" style="485" customWidth="1"/>
    <col min="4641" max="4642" width="4.42578125" style="485" customWidth="1"/>
    <col min="4643" max="4643" width="5" style="485" customWidth="1"/>
    <col min="4644" max="4644" width="5.85546875" style="485" customWidth="1"/>
    <col min="4645" max="4645" width="6.140625" style="485" customWidth="1"/>
    <col min="4646" max="4646" width="6.28515625" style="485" customWidth="1"/>
    <col min="4647" max="4647" width="4.85546875" style="485" customWidth="1"/>
    <col min="4648" max="4648" width="8.140625" style="485" customWidth="1"/>
    <col min="4649" max="4649" width="11.5703125" style="485" customWidth="1"/>
    <col min="4650" max="4650" width="13.7109375" style="485" customWidth="1"/>
    <col min="4651" max="4651" width="20.85546875" style="485" customWidth="1"/>
    <col min="4652" max="4864" width="11.42578125" style="485"/>
    <col min="4865" max="4865" width="13.140625" style="485" customWidth="1"/>
    <col min="4866" max="4866" width="4" style="485" customWidth="1"/>
    <col min="4867" max="4867" width="20.7109375" style="485" customWidth="1"/>
    <col min="4868" max="4868" width="14.7109375" style="485" customWidth="1"/>
    <col min="4869" max="4869" width="10" style="485" customWidth="1"/>
    <col min="4870" max="4870" width="6.28515625" style="485" customWidth="1"/>
    <col min="4871" max="4871" width="12.28515625" style="485" customWidth="1"/>
    <col min="4872" max="4872" width="8.5703125" style="485" customWidth="1"/>
    <col min="4873" max="4873" width="13.7109375" style="485" customWidth="1"/>
    <col min="4874" max="4874" width="11.5703125" style="485" customWidth="1"/>
    <col min="4875" max="4875" width="20" style="485" customWidth="1"/>
    <col min="4876" max="4876" width="17.42578125" style="485" customWidth="1"/>
    <col min="4877" max="4877" width="21.140625" style="485" customWidth="1"/>
    <col min="4878" max="4878" width="22.140625" style="485" customWidth="1"/>
    <col min="4879" max="4879" width="8" style="485" customWidth="1"/>
    <col min="4880" max="4880" width="17" style="485" customWidth="1"/>
    <col min="4881" max="4881" width="12.7109375" style="485" customWidth="1"/>
    <col min="4882" max="4882" width="19" style="485" customWidth="1"/>
    <col min="4883" max="4883" width="23.5703125" style="485" customWidth="1"/>
    <col min="4884" max="4884" width="31.5703125" style="485" customWidth="1"/>
    <col min="4885" max="4885" width="19" style="485" customWidth="1"/>
    <col min="4886" max="4886" width="23.28515625" style="485" customWidth="1"/>
    <col min="4887" max="4887" width="11.7109375" style="485" customWidth="1"/>
    <col min="4888" max="4888" width="11.85546875" style="485" customWidth="1"/>
    <col min="4889" max="4889" width="5.5703125" style="485" customWidth="1"/>
    <col min="4890" max="4890" width="4.7109375" style="485" customWidth="1"/>
    <col min="4891" max="4892" width="7.28515625" style="485" customWidth="1"/>
    <col min="4893" max="4893" width="8.42578125" style="485" customWidth="1"/>
    <col min="4894" max="4894" width="9.5703125" style="485" customWidth="1"/>
    <col min="4895" max="4895" width="6.28515625" style="485" customWidth="1"/>
    <col min="4896" max="4896" width="5.85546875" style="485" customWidth="1"/>
    <col min="4897" max="4898" width="4.42578125" style="485" customWidth="1"/>
    <col min="4899" max="4899" width="5" style="485" customWidth="1"/>
    <col min="4900" max="4900" width="5.85546875" style="485" customWidth="1"/>
    <col min="4901" max="4901" width="6.140625" style="485" customWidth="1"/>
    <col min="4902" max="4902" width="6.28515625" style="485" customWidth="1"/>
    <col min="4903" max="4903" width="4.85546875" style="485" customWidth="1"/>
    <col min="4904" max="4904" width="8.140625" style="485" customWidth="1"/>
    <col min="4905" max="4905" width="11.5703125" style="485" customWidth="1"/>
    <col min="4906" max="4906" width="13.7109375" style="485" customWidth="1"/>
    <col min="4907" max="4907" width="20.85546875" style="485" customWidth="1"/>
    <col min="4908" max="5120" width="11.42578125" style="485"/>
    <col min="5121" max="5121" width="13.140625" style="485" customWidth="1"/>
    <col min="5122" max="5122" width="4" style="485" customWidth="1"/>
    <col min="5123" max="5123" width="20.7109375" style="485" customWidth="1"/>
    <col min="5124" max="5124" width="14.7109375" style="485" customWidth="1"/>
    <col min="5125" max="5125" width="10" style="485" customWidth="1"/>
    <col min="5126" max="5126" width="6.28515625" style="485" customWidth="1"/>
    <col min="5127" max="5127" width="12.28515625" style="485" customWidth="1"/>
    <col min="5128" max="5128" width="8.5703125" style="485" customWidth="1"/>
    <col min="5129" max="5129" width="13.7109375" style="485" customWidth="1"/>
    <col min="5130" max="5130" width="11.5703125" style="485" customWidth="1"/>
    <col min="5131" max="5131" width="20" style="485" customWidth="1"/>
    <col min="5132" max="5132" width="17.42578125" style="485" customWidth="1"/>
    <col min="5133" max="5133" width="21.140625" style="485" customWidth="1"/>
    <col min="5134" max="5134" width="22.140625" style="485" customWidth="1"/>
    <col min="5135" max="5135" width="8" style="485" customWidth="1"/>
    <col min="5136" max="5136" width="17" style="485" customWidth="1"/>
    <col min="5137" max="5137" width="12.7109375" style="485" customWidth="1"/>
    <col min="5138" max="5138" width="19" style="485" customWidth="1"/>
    <col min="5139" max="5139" width="23.5703125" style="485" customWidth="1"/>
    <col min="5140" max="5140" width="31.5703125" style="485" customWidth="1"/>
    <col min="5141" max="5141" width="19" style="485" customWidth="1"/>
    <col min="5142" max="5142" width="23.28515625" style="485" customWidth="1"/>
    <col min="5143" max="5143" width="11.7109375" style="485" customWidth="1"/>
    <col min="5144" max="5144" width="11.85546875" style="485" customWidth="1"/>
    <col min="5145" max="5145" width="5.5703125" style="485" customWidth="1"/>
    <col min="5146" max="5146" width="4.7109375" style="485" customWidth="1"/>
    <col min="5147" max="5148" width="7.28515625" style="485" customWidth="1"/>
    <col min="5149" max="5149" width="8.42578125" style="485" customWidth="1"/>
    <col min="5150" max="5150" width="9.5703125" style="485" customWidth="1"/>
    <col min="5151" max="5151" width="6.28515625" style="485" customWidth="1"/>
    <col min="5152" max="5152" width="5.85546875" style="485" customWidth="1"/>
    <col min="5153" max="5154" width="4.42578125" style="485" customWidth="1"/>
    <col min="5155" max="5155" width="5" style="485" customWidth="1"/>
    <col min="5156" max="5156" width="5.85546875" style="485" customWidth="1"/>
    <col min="5157" max="5157" width="6.140625" style="485" customWidth="1"/>
    <col min="5158" max="5158" width="6.28515625" style="485" customWidth="1"/>
    <col min="5159" max="5159" width="4.85546875" style="485" customWidth="1"/>
    <col min="5160" max="5160" width="8.140625" style="485" customWidth="1"/>
    <col min="5161" max="5161" width="11.5703125" style="485" customWidth="1"/>
    <col min="5162" max="5162" width="13.7109375" style="485" customWidth="1"/>
    <col min="5163" max="5163" width="20.85546875" style="485" customWidth="1"/>
    <col min="5164" max="5376" width="11.42578125" style="485"/>
    <col min="5377" max="5377" width="13.140625" style="485" customWidth="1"/>
    <col min="5378" max="5378" width="4" style="485" customWidth="1"/>
    <col min="5379" max="5379" width="20.7109375" style="485" customWidth="1"/>
    <col min="5380" max="5380" width="14.7109375" style="485" customWidth="1"/>
    <col min="5381" max="5381" width="10" style="485" customWidth="1"/>
    <col min="5382" max="5382" width="6.28515625" style="485" customWidth="1"/>
    <col min="5383" max="5383" width="12.28515625" style="485" customWidth="1"/>
    <col min="5384" max="5384" width="8.5703125" style="485" customWidth="1"/>
    <col min="5385" max="5385" width="13.7109375" style="485" customWidth="1"/>
    <col min="5386" max="5386" width="11.5703125" style="485" customWidth="1"/>
    <col min="5387" max="5387" width="20" style="485" customWidth="1"/>
    <col min="5388" max="5388" width="17.42578125" style="485" customWidth="1"/>
    <col min="5389" max="5389" width="21.140625" style="485" customWidth="1"/>
    <col min="5390" max="5390" width="22.140625" style="485" customWidth="1"/>
    <col min="5391" max="5391" width="8" style="485" customWidth="1"/>
    <col min="5392" max="5392" width="17" style="485" customWidth="1"/>
    <col min="5393" max="5393" width="12.7109375" style="485" customWidth="1"/>
    <col min="5394" max="5394" width="19" style="485" customWidth="1"/>
    <col min="5395" max="5395" width="23.5703125" style="485" customWidth="1"/>
    <col min="5396" max="5396" width="31.5703125" style="485" customWidth="1"/>
    <col min="5397" max="5397" width="19" style="485" customWidth="1"/>
    <col min="5398" max="5398" width="23.28515625" style="485" customWidth="1"/>
    <col min="5399" max="5399" width="11.7109375" style="485" customWidth="1"/>
    <col min="5400" max="5400" width="11.85546875" style="485" customWidth="1"/>
    <col min="5401" max="5401" width="5.5703125" style="485" customWidth="1"/>
    <col min="5402" max="5402" width="4.7109375" style="485" customWidth="1"/>
    <col min="5403" max="5404" width="7.28515625" style="485" customWidth="1"/>
    <col min="5405" max="5405" width="8.42578125" style="485" customWidth="1"/>
    <col min="5406" max="5406" width="9.5703125" style="485" customWidth="1"/>
    <col min="5407" max="5407" width="6.28515625" style="485" customWidth="1"/>
    <col min="5408" max="5408" width="5.85546875" style="485" customWidth="1"/>
    <col min="5409" max="5410" width="4.42578125" style="485" customWidth="1"/>
    <col min="5411" max="5411" width="5" style="485" customWidth="1"/>
    <col min="5412" max="5412" width="5.85546875" style="485" customWidth="1"/>
    <col min="5413" max="5413" width="6.140625" style="485" customWidth="1"/>
    <col min="5414" max="5414" width="6.28515625" style="485" customWidth="1"/>
    <col min="5415" max="5415" width="4.85546875" style="485" customWidth="1"/>
    <col min="5416" max="5416" width="8.140625" style="485" customWidth="1"/>
    <col min="5417" max="5417" width="11.5703125" style="485" customWidth="1"/>
    <col min="5418" max="5418" width="13.7109375" style="485" customWidth="1"/>
    <col min="5419" max="5419" width="20.85546875" style="485" customWidth="1"/>
    <col min="5420" max="5632" width="11.42578125" style="485"/>
    <col min="5633" max="5633" width="13.140625" style="485" customWidth="1"/>
    <col min="5634" max="5634" width="4" style="485" customWidth="1"/>
    <col min="5635" max="5635" width="20.7109375" style="485" customWidth="1"/>
    <col min="5636" max="5636" width="14.7109375" style="485" customWidth="1"/>
    <col min="5637" max="5637" width="10" style="485" customWidth="1"/>
    <col min="5638" max="5638" width="6.28515625" style="485" customWidth="1"/>
    <col min="5639" max="5639" width="12.28515625" style="485" customWidth="1"/>
    <col min="5640" max="5640" width="8.5703125" style="485" customWidth="1"/>
    <col min="5641" max="5641" width="13.7109375" style="485" customWidth="1"/>
    <col min="5642" max="5642" width="11.5703125" style="485" customWidth="1"/>
    <col min="5643" max="5643" width="20" style="485" customWidth="1"/>
    <col min="5644" max="5644" width="17.42578125" style="485" customWidth="1"/>
    <col min="5645" max="5645" width="21.140625" style="485" customWidth="1"/>
    <col min="5646" max="5646" width="22.140625" style="485" customWidth="1"/>
    <col min="5647" max="5647" width="8" style="485" customWidth="1"/>
    <col min="5648" max="5648" width="17" style="485" customWidth="1"/>
    <col min="5649" max="5649" width="12.7109375" style="485" customWidth="1"/>
    <col min="5650" max="5650" width="19" style="485" customWidth="1"/>
    <col min="5651" max="5651" width="23.5703125" style="485" customWidth="1"/>
    <col min="5652" max="5652" width="31.5703125" style="485" customWidth="1"/>
    <col min="5653" max="5653" width="19" style="485" customWidth="1"/>
    <col min="5654" max="5654" width="23.28515625" style="485" customWidth="1"/>
    <col min="5655" max="5655" width="11.7109375" style="485" customWidth="1"/>
    <col min="5656" max="5656" width="11.85546875" style="485" customWidth="1"/>
    <col min="5657" max="5657" width="5.5703125" style="485" customWidth="1"/>
    <col min="5658" max="5658" width="4.7109375" style="485" customWidth="1"/>
    <col min="5659" max="5660" width="7.28515625" style="485" customWidth="1"/>
    <col min="5661" max="5661" width="8.42578125" style="485" customWidth="1"/>
    <col min="5662" max="5662" width="9.5703125" style="485" customWidth="1"/>
    <col min="5663" max="5663" width="6.28515625" style="485" customWidth="1"/>
    <col min="5664" max="5664" width="5.85546875" style="485" customWidth="1"/>
    <col min="5665" max="5666" width="4.42578125" style="485" customWidth="1"/>
    <col min="5667" max="5667" width="5" style="485" customWidth="1"/>
    <col min="5668" max="5668" width="5.85546875" style="485" customWidth="1"/>
    <col min="5669" max="5669" width="6.140625" style="485" customWidth="1"/>
    <col min="5670" max="5670" width="6.28515625" style="485" customWidth="1"/>
    <col min="5671" max="5671" width="4.85546875" style="485" customWidth="1"/>
    <col min="5672" max="5672" width="8.140625" style="485" customWidth="1"/>
    <col min="5673" max="5673" width="11.5703125" style="485" customWidth="1"/>
    <col min="5674" max="5674" width="13.7109375" style="485" customWidth="1"/>
    <col min="5675" max="5675" width="20.85546875" style="485" customWidth="1"/>
    <col min="5676" max="5888" width="11.42578125" style="485"/>
    <col min="5889" max="5889" width="13.140625" style="485" customWidth="1"/>
    <col min="5890" max="5890" width="4" style="485" customWidth="1"/>
    <col min="5891" max="5891" width="20.7109375" style="485" customWidth="1"/>
    <col min="5892" max="5892" width="14.7109375" style="485" customWidth="1"/>
    <col min="5893" max="5893" width="10" style="485" customWidth="1"/>
    <col min="5894" max="5894" width="6.28515625" style="485" customWidth="1"/>
    <col min="5895" max="5895" width="12.28515625" style="485" customWidth="1"/>
    <col min="5896" max="5896" width="8.5703125" style="485" customWidth="1"/>
    <col min="5897" max="5897" width="13.7109375" style="485" customWidth="1"/>
    <col min="5898" max="5898" width="11.5703125" style="485" customWidth="1"/>
    <col min="5899" max="5899" width="20" style="485" customWidth="1"/>
    <col min="5900" max="5900" width="17.42578125" style="485" customWidth="1"/>
    <col min="5901" max="5901" width="21.140625" style="485" customWidth="1"/>
    <col min="5902" max="5902" width="22.140625" style="485" customWidth="1"/>
    <col min="5903" max="5903" width="8" style="485" customWidth="1"/>
    <col min="5904" max="5904" width="17" style="485" customWidth="1"/>
    <col min="5905" max="5905" width="12.7109375" style="485" customWidth="1"/>
    <col min="5906" max="5906" width="19" style="485" customWidth="1"/>
    <col min="5907" max="5907" width="23.5703125" style="485" customWidth="1"/>
    <col min="5908" max="5908" width="31.5703125" style="485" customWidth="1"/>
    <col min="5909" max="5909" width="19" style="485" customWidth="1"/>
    <col min="5910" max="5910" width="23.28515625" style="485" customWidth="1"/>
    <col min="5911" max="5911" width="11.7109375" style="485" customWidth="1"/>
    <col min="5912" max="5912" width="11.85546875" style="485" customWidth="1"/>
    <col min="5913" max="5913" width="5.5703125" style="485" customWidth="1"/>
    <col min="5914" max="5914" width="4.7109375" style="485" customWidth="1"/>
    <col min="5915" max="5916" width="7.28515625" style="485" customWidth="1"/>
    <col min="5917" max="5917" width="8.42578125" style="485" customWidth="1"/>
    <col min="5918" max="5918" width="9.5703125" style="485" customWidth="1"/>
    <col min="5919" max="5919" width="6.28515625" style="485" customWidth="1"/>
    <col min="5920" max="5920" width="5.85546875" style="485" customWidth="1"/>
    <col min="5921" max="5922" width="4.42578125" style="485" customWidth="1"/>
    <col min="5923" max="5923" width="5" style="485" customWidth="1"/>
    <col min="5924" max="5924" width="5.85546875" style="485" customWidth="1"/>
    <col min="5925" max="5925" width="6.140625" style="485" customWidth="1"/>
    <col min="5926" max="5926" width="6.28515625" style="485" customWidth="1"/>
    <col min="5927" max="5927" width="4.85546875" style="485" customWidth="1"/>
    <col min="5928" max="5928" width="8.140625" style="485" customWidth="1"/>
    <col min="5929" max="5929" width="11.5703125" style="485" customWidth="1"/>
    <col min="5930" max="5930" width="13.7109375" style="485" customWidth="1"/>
    <col min="5931" max="5931" width="20.85546875" style="485" customWidth="1"/>
    <col min="5932" max="6144" width="11.42578125" style="485"/>
    <col min="6145" max="6145" width="13.140625" style="485" customWidth="1"/>
    <col min="6146" max="6146" width="4" style="485" customWidth="1"/>
    <col min="6147" max="6147" width="20.7109375" style="485" customWidth="1"/>
    <col min="6148" max="6148" width="14.7109375" style="485" customWidth="1"/>
    <col min="6149" max="6149" width="10" style="485" customWidth="1"/>
    <col min="6150" max="6150" width="6.28515625" style="485" customWidth="1"/>
    <col min="6151" max="6151" width="12.28515625" style="485" customWidth="1"/>
    <col min="6152" max="6152" width="8.5703125" style="485" customWidth="1"/>
    <col min="6153" max="6153" width="13.7109375" style="485" customWidth="1"/>
    <col min="6154" max="6154" width="11.5703125" style="485" customWidth="1"/>
    <col min="6155" max="6155" width="20" style="485" customWidth="1"/>
    <col min="6156" max="6156" width="17.42578125" style="485" customWidth="1"/>
    <col min="6157" max="6157" width="21.140625" style="485" customWidth="1"/>
    <col min="6158" max="6158" width="22.140625" style="485" customWidth="1"/>
    <col min="6159" max="6159" width="8" style="485" customWidth="1"/>
    <col min="6160" max="6160" width="17" style="485" customWidth="1"/>
    <col min="6161" max="6161" width="12.7109375" style="485" customWidth="1"/>
    <col min="6162" max="6162" width="19" style="485" customWidth="1"/>
    <col min="6163" max="6163" width="23.5703125" style="485" customWidth="1"/>
    <col min="6164" max="6164" width="31.5703125" style="485" customWidth="1"/>
    <col min="6165" max="6165" width="19" style="485" customWidth="1"/>
    <col min="6166" max="6166" width="23.28515625" style="485" customWidth="1"/>
    <col min="6167" max="6167" width="11.7109375" style="485" customWidth="1"/>
    <col min="6168" max="6168" width="11.85546875" style="485" customWidth="1"/>
    <col min="6169" max="6169" width="5.5703125" style="485" customWidth="1"/>
    <col min="6170" max="6170" width="4.7109375" style="485" customWidth="1"/>
    <col min="6171" max="6172" width="7.28515625" style="485" customWidth="1"/>
    <col min="6173" max="6173" width="8.42578125" style="485" customWidth="1"/>
    <col min="6174" max="6174" width="9.5703125" style="485" customWidth="1"/>
    <col min="6175" max="6175" width="6.28515625" style="485" customWidth="1"/>
    <col min="6176" max="6176" width="5.85546875" style="485" customWidth="1"/>
    <col min="6177" max="6178" width="4.42578125" style="485" customWidth="1"/>
    <col min="6179" max="6179" width="5" style="485" customWidth="1"/>
    <col min="6180" max="6180" width="5.85546875" style="485" customWidth="1"/>
    <col min="6181" max="6181" width="6.140625" style="485" customWidth="1"/>
    <col min="6182" max="6182" width="6.28515625" style="485" customWidth="1"/>
    <col min="6183" max="6183" width="4.85546875" style="485" customWidth="1"/>
    <col min="6184" max="6184" width="8.140625" style="485" customWidth="1"/>
    <col min="6185" max="6185" width="11.5703125" style="485" customWidth="1"/>
    <col min="6186" max="6186" width="13.7109375" style="485" customWidth="1"/>
    <col min="6187" max="6187" width="20.85546875" style="485" customWidth="1"/>
    <col min="6188" max="6400" width="11.42578125" style="485"/>
    <col min="6401" max="6401" width="13.140625" style="485" customWidth="1"/>
    <col min="6402" max="6402" width="4" style="485" customWidth="1"/>
    <col min="6403" max="6403" width="20.7109375" style="485" customWidth="1"/>
    <col min="6404" max="6404" width="14.7109375" style="485" customWidth="1"/>
    <col min="6405" max="6405" width="10" style="485" customWidth="1"/>
    <col min="6406" max="6406" width="6.28515625" style="485" customWidth="1"/>
    <col min="6407" max="6407" width="12.28515625" style="485" customWidth="1"/>
    <col min="6408" max="6408" width="8.5703125" style="485" customWidth="1"/>
    <col min="6409" max="6409" width="13.7109375" style="485" customWidth="1"/>
    <col min="6410" max="6410" width="11.5703125" style="485" customWidth="1"/>
    <col min="6411" max="6411" width="20" style="485" customWidth="1"/>
    <col min="6412" max="6412" width="17.42578125" style="485" customWidth="1"/>
    <col min="6413" max="6413" width="21.140625" style="485" customWidth="1"/>
    <col min="6414" max="6414" width="22.140625" style="485" customWidth="1"/>
    <col min="6415" max="6415" width="8" style="485" customWidth="1"/>
    <col min="6416" max="6416" width="17" style="485" customWidth="1"/>
    <col min="6417" max="6417" width="12.7109375" style="485" customWidth="1"/>
    <col min="6418" max="6418" width="19" style="485" customWidth="1"/>
    <col min="6419" max="6419" width="23.5703125" style="485" customWidth="1"/>
    <col min="6420" max="6420" width="31.5703125" style="485" customWidth="1"/>
    <col min="6421" max="6421" width="19" style="485" customWidth="1"/>
    <col min="6422" max="6422" width="23.28515625" style="485" customWidth="1"/>
    <col min="6423" max="6423" width="11.7109375" style="485" customWidth="1"/>
    <col min="6424" max="6424" width="11.85546875" style="485" customWidth="1"/>
    <col min="6425" max="6425" width="5.5703125" style="485" customWidth="1"/>
    <col min="6426" max="6426" width="4.7109375" style="485" customWidth="1"/>
    <col min="6427" max="6428" width="7.28515625" style="485" customWidth="1"/>
    <col min="6429" max="6429" width="8.42578125" style="485" customWidth="1"/>
    <col min="6430" max="6430" width="9.5703125" style="485" customWidth="1"/>
    <col min="6431" max="6431" width="6.28515625" style="485" customWidth="1"/>
    <col min="6432" max="6432" width="5.85546875" style="485" customWidth="1"/>
    <col min="6433" max="6434" width="4.42578125" style="485" customWidth="1"/>
    <col min="6435" max="6435" width="5" style="485" customWidth="1"/>
    <col min="6436" max="6436" width="5.85546875" style="485" customWidth="1"/>
    <col min="6437" max="6437" width="6.140625" style="485" customWidth="1"/>
    <col min="6438" max="6438" width="6.28515625" style="485" customWidth="1"/>
    <col min="6439" max="6439" width="4.85546875" style="485" customWidth="1"/>
    <col min="6440" max="6440" width="8.140625" style="485" customWidth="1"/>
    <col min="6441" max="6441" width="11.5703125" style="485" customWidth="1"/>
    <col min="6442" max="6442" width="13.7109375" style="485" customWidth="1"/>
    <col min="6443" max="6443" width="20.85546875" style="485" customWidth="1"/>
    <col min="6444" max="6656" width="11.42578125" style="485"/>
    <col min="6657" max="6657" width="13.140625" style="485" customWidth="1"/>
    <col min="6658" max="6658" width="4" style="485" customWidth="1"/>
    <col min="6659" max="6659" width="20.7109375" style="485" customWidth="1"/>
    <col min="6660" max="6660" width="14.7109375" style="485" customWidth="1"/>
    <col min="6661" max="6661" width="10" style="485" customWidth="1"/>
    <col min="6662" max="6662" width="6.28515625" style="485" customWidth="1"/>
    <col min="6663" max="6663" width="12.28515625" style="485" customWidth="1"/>
    <col min="6664" max="6664" width="8.5703125" style="485" customWidth="1"/>
    <col min="6665" max="6665" width="13.7109375" style="485" customWidth="1"/>
    <col min="6666" max="6666" width="11.5703125" style="485" customWidth="1"/>
    <col min="6667" max="6667" width="20" style="485" customWidth="1"/>
    <col min="6668" max="6668" width="17.42578125" style="485" customWidth="1"/>
    <col min="6669" max="6669" width="21.140625" style="485" customWidth="1"/>
    <col min="6670" max="6670" width="22.140625" style="485" customWidth="1"/>
    <col min="6671" max="6671" width="8" style="485" customWidth="1"/>
    <col min="6672" max="6672" width="17" style="485" customWidth="1"/>
    <col min="6673" max="6673" width="12.7109375" style="485" customWidth="1"/>
    <col min="6674" max="6674" width="19" style="485" customWidth="1"/>
    <col min="6675" max="6675" width="23.5703125" style="485" customWidth="1"/>
    <col min="6676" max="6676" width="31.5703125" style="485" customWidth="1"/>
    <col min="6677" max="6677" width="19" style="485" customWidth="1"/>
    <col min="6678" max="6678" width="23.28515625" style="485" customWidth="1"/>
    <col min="6679" max="6679" width="11.7109375" style="485" customWidth="1"/>
    <col min="6680" max="6680" width="11.85546875" style="485" customWidth="1"/>
    <col min="6681" max="6681" width="5.5703125" style="485" customWidth="1"/>
    <col min="6682" max="6682" width="4.7109375" style="485" customWidth="1"/>
    <col min="6683" max="6684" width="7.28515625" style="485" customWidth="1"/>
    <col min="6685" max="6685" width="8.42578125" style="485" customWidth="1"/>
    <col min="6686" max="6686" width="9.5703125" style="485" customWidth="1"/>
    <col min="6687" max="6687" width="6.28515625" style="485" customWidth="1"/>
    <col min="6688" max="6688" width="5.85546875" style="485" customWidth="1"/>
    <col min="6689" max="6690" width="4.42578125" style="485" customWidth="1"/>
    <col min="6691" max="6691" width="5" style="485" customWidth="1"/>
    <col min="6692" max="6692" width="5.85546875" style="485" customWidth="1"/>
    <col min="6693" max="6693" width="6.140625" style="485" customWidth="1"/>
    <col min="6694" max="6694" width="6.28515625" style="485" customWidth="1"/>
    <col min="6695" max="6695" width="4.85546875" style="485" customWidth="1"/>
    <col min="6696" max="6696" width="8.140625" style="485" customWidth="1"/>
    <col min="6697" max="6697" width="11.5703125" style="485" customWidth="1"/>
    <col min="6698" max="6698" width="13.7109375" style="485" customWidth="1"/>
    <col min="6699" max="6699" width="20.85546875" style="485" customWidth="1"/>
    <col min="6700" max="6912" width="11.42578125" style="485"/>
    <col min="6913" max="6913" width="13.140625" style="485" customWidth="1"/>
    <col min="6914" max="6914" width="4" style="485" customWidth="1"/>
    <col min="6915" max="6915" width="20.7109375" style="485" customWidth="1"/>
    <col min="6916" max="6916" width="14.7109375" style="485" customWidth="1"/>
    <col min="6917" max="6917" width="10" style="485" customWidth="1"/>
    <col min="6918" max="6918" width="6.28515625" style="485" customWidth="1"/>
    <col min="6919" max="6919" width="12.28515625" style="485" customWidth="1"/>
    <col min="6920" max="6920" width="8.5703125" style="485" customWidth="1"/>
    <col min="6921" max="6921" width="13.7109375" style="485" customWidth="1"/>
    <col min="6922" max="6922" width="11.5703125" style="485" customWidth="1"/>
    <col min="6923" max="6923" width="20" style="485" customWidth="1"/>
    <col min="6924" max="6924" width="17.42578125" style="485" customWidth="1"/>
    <col min="6925" max="6925" width="21.140625" style="485" customWidth="1"/>
    <col min="6926" max="6926" width="22.140625" style="485" customWidth="1"/>
    <col min="6927" max="6927" width="8" style="485" customWidth="1"/>
    <col min="6928" max="6928" width="17" style="485" customWidth="1"/>
    <col min="6929" max="6929" width="12.7109375" style="485" customWidth="1"/>
    <col min="6930" max="6930" width="19" style="485" customWidth="1"/>
    <col min="6931" max="6931" width="23.5703125" style="485" customWidth="1"/>
    <col min="6932" max="6932" width="31.5703125" style="485" customWidth="1"/>
    <col min="6933" max="6933" width="19" style="485" customWidth="1"/>
    <col min="6934" max="6934" width="23.28515625" style="485" customWidth="1"/>
    <col min="6935" max="6935" width="11.7109375" style="485" customWidth="1"/>
    <col min="6936" max="6936" width="11.85546875" style="485" customWidth="1"/>
    <col min="6937" max="6937" width="5.5703125" style="485" customWidth="1"/>
    <col min="6938" max="6938" width="4.7109375" style="485" customWidth="1"/>
    <col min="6939" max="6940" width="7.28515625" style="485" customWidth="1"/>
    <col min="6941" max="6941" width="8.42578125" style="485" customWidth="1"/>
    <col min="6942" max="6942" width="9.5703125" style="485" customWidth="1"/>
    <col min="6943" max="6943" width="6.28515625" style="485" customWidth="1"/>
    <col min="6944" max="6944" width="5.85546875" style="485" customWidth="1"/>
    <col min="6945" max="6946" width="4.42578125" style="485" customWidth="1"/>
    <col min="6947" max="6947" width="5" style="485" customWidth="1"/>
    <col min="6948" max="6948" width="5.85546875" style="485" customWidth="1"/>
    <col min="6949" max="6949" width="6.140625" style="485" customWidth="1"/>
    <col min="6950" max="6950" width="6.28515625" style="485" customWidth="1"/>
    <col min="6951" max="6951" width="4.85546875" style="485" customWidth="1"/>
    <col min="6952" max="6952" width="8.140625" style="485" customWidth="1"/>
    <col min="6953" max="6953" width="11.5703125" style="485" customWidth="1"/>
    <col min="6954" max="6954" width="13.7109375" style="485" customWidth="1"/>
    <col min="6955" max="6955" width="20.85546875" style="485" customWidth="1"/>
    <col min="6956" max="7168" width="11.42578125" style="485"/>
    <col min="7169" max="7169" width="13.140625" style="485" customWidth="1"/>
    <col min="7170" max="7170" width="4" style="485" customWidth="1"/>
    <col min="7171" max="7171" width="20.7109375" style="485" customWidth="1"/>
    <col min="7172" max="7172" width="14.7109375" style="485" customWidth="1"/>
    <col min="7173" max="7173" width="10" style="485" customWidth="1"/>
    <col min="7174" max="7174" width="6.28515625" style="485" customWidth="1"/>
    <col min="7175" max="7175" width="12.28515625" style="485" customWidth="1"/>
    <col min="7176" max="7176" width="8.5703125" style="485" customWidth="1"/>
    <col min="7177" max="7177" width="13.7109375" style="485" customWidth="1"/>
    <col min="7178" max="7178" width="11.5703125" style="485" customWidth="1"/>
    <col min="7179" max="7179" width="20" style="485" customWidth="1"/>
    <col min="7180" max="7180" width="17.42578125" style="485" customWidth="1"/>
    <col min="7181" max="7181" width="21.140625" style="485" customWidth="1"/>
    <col min="7182" max="7182" width="22.140625" style="485" customWidth="1"/>
    <col min="7183" max="7183" width="8" style="485" customWidth="1"/>
    <col min="7184" max="7184" width="17" style="485" customWidth="1"/>
    <col min="7185" max="7185" width="12.7109375" style="485" customWidth="1"/>
    <col min="7186" max="7186" width="19" style="485" customWidth="1"/>
    <col min="7187" max="7187" width="23.5703125" style="485" customWidth="1"/>
    <col min="7188" max="7188" width="31.5703125" style="485" customWidth="1"/>
    <col min="7189" max="7189" width="19" style="485" customWidth="1"/>
    <col min="7190" max="7190" width="23.28515625" style="485" customWidth="1"/>
    <col min="7191" max="7191" width="11.7109375" style="485" customWidth="1"/>
    <col min="7192" max="7192" width="11.85546875" style="485" customWidth="1"/>
    <col min="7193" max="7193" width="5.5703125" style="485" customWidth="1"/>
    <col min="7194" max="7194" width="4.7109375" style="485" customWidth="1"/>
    <col min="7195" max="7196" width="7.28515625" style="485" customWidth="1"/>
    <col min="7197" max="7197" width="8.42578125" style="485" customWidth="1"/>
    <col min="7198" max="7198" width="9.5703125" style="485" customWidth="1"/>
    <col min="7199" max="7199" width="6.28515625" style="485" customWidth="1"/>
    <col min="7200" max="7200" width="5.85546875" style="485" customWidth="1"/>
    <col min="7201" max="7202" width="4.42578125" style="485" customWidth="1"/>
    <col min="7203" max="7203" width="5" style="485" customWidth="1"/>
    <col min="7204" max="7204" width="5.85546875" style="485" customWidth="1"/>
    <col min="7205" max="7205" width="6.140625" style="485" customWidth="1"/>
    <col min="7206" max="7206" width="6.28515625" style="485" customWidth="1"/>
    <col min="7207" max="7207" width="4.85546875" style="485" customWidth="1"/>
    <col min="7208" max="7208" width="8.140625" style="485" customWidth="1"/>
    <col min="7209" max="7209" width="11.5703125" style="485" customWidth="1"/>
    <col min="7210" max="7210" width="13.7109375" style="485" customWidth="1"/>
    <col min="7211" max="7211" width="20.85546875" style="485" customWidth="1"/>
    <col min="7212" max="7424" width="11.42578125" style="485"/>
    <col min="7425" max="7425" width="13.140625" style="485" customWidth="1"/>
    <col min="7426" max="7426" width="4" style="485" customWidth="1"/>
    <col min="7427" max="7427" width="20.7109375" style="485" customWidth="1"/>
    <col min="7428" max="7428" width="14.7109375" style="485" customWidth="1"/>
    <col min="7429" max="7429" width="10" style="485" customWidth="1"/>
    <col min="7430" max="7430" width="6.28515625" style="485" customWidth="1"/>
    <col min="7431" max="7431" width="12.28515625" style="485" customWidth="1"/>
    <col min="7432" max="7432" width="8.5703125" style="485" customWidth="1"/>
    <col min="7433" max="7433" width="13.7109375" style="485" customWidth="1"/>
    <col min="7434" max="7434" width="11.5703125" style="485" customWidth="1"/>
    <col min="7435" max="7435" width="20" style="485" customWidth="1"/>
    <col min="7436" max="7436" width="17.42578125" style="485" customWidth="1"/>
    <col min="7437" max="7437" width="21.140625" style="485" customWidth="1"/>
    <col min="7438" max="7438" width="22.140625" style="485" customWidth="1"/>
    <col min="7439" max="7439" width="8" style="485" customWidth="1"/>
    <col min="7440" max="7440" width="17" style="485" customWidth="1"/>
    <col min="7441" max="7441" width="12.7109375" style="485" customWidth="1"/>
    <col min="7442" max="7442" width="19" style="485" customWidth="1"/>
    <col min="7443" max="7443" width="23.5703125" style="485" customWidth="1"/>
    <col min="7444" max="7444" width="31.5703125" style="485" customWidth="1"/>
    <col min="7445" max="7445" width="19" style="485" customWidth="1"/>
    <col min="7446" max="7446" width="23.28515625" style="485" customWidth="1"/>
    <col min="7447" max="7447" width="11.7109375" style="485" customWidth="1"/>
    <col min="7448" max="7448" width="11.85546875" style="485" customWidth="1"/>
    <col min="7449" max="7449" width="5.5703125" style="485" customWidth="1"/>
    <col min="7450" max="7450" width="4.7109375" style="485" customWidth="1"/>
    <col min="7451" max="7452" width="7.28515625" style="485" customWidth="1"/>
    <col min="7453" max="7453" width="8.42578125" style="485" customWidth="1"/>
    <col min="7454" max="7454" width="9.5703125" style="485" customWidth="1"/>
    <col min="7455" max="7455" width="6.28515625" style="485" customWidth="1"/>
    <col min="7456" max="7456" width="5.85546875" style="485" customWidth="1"/>
    <col min="7457" max="7458" width="4.42578125" style="485" customWidth="1"/>
    <col min="7459" max="7459" width="5" style="485" customWidth="1"/>
    <col min="7460" max="7460" width="5.85546875" style="485" customWidth="1"/>
    <col min="7461" max="7461" width="6.140625" style="485" customWidth="1"/>
    <col min="7462" max="7462" width="6.28515625" style="485" customWidth="1"/>
    <col min="7463" max="7463" width="4.85546875" style="485" customWidth="1"/>
    <col min="7464" max="7464" width="8.140625" style="485" customWidth="1"/>
    <col min="7465" max="7465" width="11.5703125" style="485" customWidth="1"/>
    <col min="7466" max="7466" width="13.7109375" style="485" customWidth="1"/>
    <col min="7467" max="7467" width="20.85546875" style="485" customWidth="1"/>
    <col min="7468" max="7680" width="11.42578125" style="485"/>
    <col min="7681" max="7681" width="13.140625" style="485" customWidth="1"/>
    <col min="7682" max="7682" width="4" style="485" customWidth="1"/>
    <col min="7683" max="7683" width="20.7109375" style="485" customWidth="1"/>
    <col min="7684" max="7684" width="14.7109375" style="485" customWidth="1"/>
    <col min="7685" max="7685" width="10" style="485" customWidth="1"/>
    <col min="7686" max="7686" width="6.28515625" style="485" customWidth="1"/>
    <col min="7687" max="7687" width="12.28515625" style="485" customWidth="1"/>
    <col min="7688" max="7688" width="8.5703125" style="485" customWidth="1"/>
    <col min="7689" max="7689" width="13.7109375" style="485" customWidth="1"/>
    <col min="7690" max="7690" width="11.5703125" style="485" customWidth="1"/>
    <col min="7691" max="7691" width="20" style="485" customWidth="1"/>
    <col min="7692" max="7692" width="17.42578125" style="485" customWidth="1"/>
    <col min="7693" max="7693" width="21.140625" style="485" customWidth="1"/>
    <col min="7694" max="7694" width="22.140625" style="485" customWidth="1"/>
    <col min="7695" max="7695" width="8" style="485" customWidth="1"/>
    <col min="7696" max="7696" width="17" style="485" customWidth="1"/>
    <col min="7697" max="7697" width="12.7109375" style="485" customWidth="1"/>
    <col min="7698" max="7698" width="19" style="485" customWidth="1"/>
    <col min="7699" max="7699" width="23.5703125" style="485" customWidth="1"/>
    <col min="7700" max="7700" width="31.5703125" style="485" customWidth="1"/>
    <col min="7701" max="7701" width="19" style="485" customWidth="1"/>
    <col min="7702" max="7702" width="23.28515625" style="485" customWidth="1"/>
    <col min="7703" max="7703" width="11.7109375" style="485" customWidth="1"/>
    <col min="7704" max="7704" width="11.85546875" style="485" customWidth="1"/>
    <col min="7705" max="7705" width="5.5703125" style="485" customWidth="1"/>
    <col min="7706" max="7706" width="4.7109375" style="485" customWidth="1"/>
    <col min="7707" max="7708" width="7.28515625" style="485" customWidth="1"/>
    <col min="7709" max="7709" width="8.42578125" style="485" customWidth="1"/>
    <col min="7710" max="7710" width="9.5703125" style="485" customWidth="1"/>
    <col min="7711" max="7711" width="6.28515625" style="485" customWidth="1"/>
    <col min="7712" max="7712" width="5.85546875" style="485" customWidth="1"/>
    <col min="7713" max="7714" width="4.42578125" style="485" customWidth="1"/>
    <col min="7715" max="7715" width="5" style="485" customWidth="1"/>
    <col min="7716" max="7716" width="5.85546875" style="485" customWidth="1"/>
    <col min="7717" max="7717" width="6.140625" style="485" customWidth="1"/>
    <col min="7718" max="7718" width="6.28515625" style="485" customWidth="1"/>
    <col min="7719" max="7719" width="4.85546875" style="485" customWidth="1"/>
    <col min="7720" max="7720" width="8.140625" style="485" customWidth="1"/>
    <col min="7721" max="7721" width="11.5703125" style="485" customWidth="1"/>
    <col min="7722" max="7722" width="13.7109375" style="485" customWidth="1"/>
    <col min="7723" max="7723" width="20.85546875" style="485" customWidth="1"/>
    <col min="7724" max="7936" width="11.42578125" style="485"/>
    <col min="7937" max="7937" width="13.140625" style="485" customWidth="1"/>
    <col min="7938" max="7938" width="4" style="485" customWidth="1"/>
    <col min="7939" max="7939" width="20.7109375" style="485" customWidth="1"/>
    <col min="7940" max="7940" width="14.7109375" style="485" customWidth="1"/>
    <col min="7941" max="7941" width="10" style="485" customWidth="1"/>
    <col min="7942" max="7942" width="6.28515625" style="485" customWidth="1"/>
    <col min="7943" max="7943" width="12.28515625" style="485" customWidth="1"/>
    <col min="7944" max="7944" width="8.5703125" style="485" customWidth="1"/>
    <col min="7945" max="7945" width="13.7109375" style="485" customWidth="1"/>
    <col min="7946" max="7946" width="11.5703125" style="485" customWidth="1"/>
    <col min="7947" max="7947" width="20" style="485" customWidth="1"/>
    <col min="7948" max="7948" width="17.42578125" style="485" customWidth="1"/>
    <col min="7949" max="7949" width="21.140625" style="485" customWidth="1"/>
    <col min="7950" max="7950" width="22.140625" style="485" customWidth="1"/>
    <col min="7951" max="7951" width="8" style="485" customWidth="1"/>
    <col min="7952" max="7952" width="17" style="485" customWidth="1"/>
    <col min="7953" max="7953" width="12.7109375" style="485" customWidth="1"/>
    <col min="7954" max="7954" width="19" style="485" customWidth="1"/>
    <col min="7955" max="7955" width="23.5703125" style="485" customWidth="1"/>
    <col min="7956" max="7956" width="31.5703125" style="485" customWidth="1"/>
    <col min="7957" max="7957" width="19" style="485" customWidth="1"/>
    <col min="7958" max="7958" width="23.28515625" style="485" customWidth="1"/>
    <col min="7959" max="7959" width="11.7109375" style="485" customWidth="1"/>
    <col min="7960" max="7960" width="11.85546875" style="485" customWidth="1"/>
    <col min="7961" max="7961" width="5.5703125" style="485" customWidth="1"/>
    <col min="7962" max="7962" width="4.7109375" style="485" customWidth="1"/>
    <col min="7963" max="7964" width="7.28515625" style="485" customWidth="1"/>
    <col min="7965" max="7965" width="8.42578125" style="485" customWidth="1"/>
    <col min="7966" max="7966" width="9.5703125" style="485" customWidth="1"/>
    <col min="7967" max="7967" width="6.28515625" style="485" customWidth="1"/>
    <col min="7968" max="7968" width="5.85546875" style="485" customWidth="1"/>
    <col min="7969" max="7970" width="4.42578125" style="485" customWidth="1"/>
    <col min="7971" max="7971" width="5" style="485" customWidth="1"/>
    <col min="7972" max="7972" width="5.85546875" style="485" customWidth="1"/>
    <col min="7973" max="7973" width="6.140625" style="485" customWidth="1"/>
    <col min="7974" max="7974" width="6.28515625" style="485" customWidth="1"/>
    <col min="7975" max="7975" width="4.85546875" style="485" customWidth="1"/>
    <col min="7976" max="7976" width="8.140625" style="485" customWidth="1"/>
    <col min="7977" max="7977" width="11.5703125" style="485" customWidth="1"/>
    <col min="7978" max="7978" width="13.7109375" style="485" customWidth="1"/>
    <col min="7979" max="7979" width="20.85546875" style="485" customWidth="1"/>
    <col min="7980" max="8192" width="11.42578125" style="485"/>
    <col min="8193" max="8193" width="13.140625" style="485" customWidth="1"/>
    <col min="8194" max="8194" width="4" style="485" customWidth="1"/>
    <col min="8195" max="8195" width="20.7109375" style="485" customWidth="1"/>
    <col min="8196" max="8196" width="14.7109375" style="485" customWidth="1"/>
    <col min="8197" max="8197" width="10" style="485" customWidth="1"/>
    <col min="8198" max="8198" width="6.28515625" style="485" customWidth="1"/>
    <col min="8199" max="8199" width="12.28515625" style="485" customWidth="1"/>
    <col min="8200" max="8200" width="8.5703125" style="485" customWidth="1"/>
    <col min="8201" max="8201" width="13.7109375" style="485" customWidth="1"/>
    <col min="8202" max="8202" width="11.5703125" style="485" customWidth="1"/>
    <col min="8203" max="8203" width="20" style="485" customWidth="1"/>
    <col min="8204" max="8204" width="17.42578125" style="485" customWidth="1"/>
    <col min="8205" max="8205" width="21.140625" style="485" customWidth="1"/>
    <col min="8206" max="8206" width="22.140625" style="485" customWidth="1"/>
    <col min="8207" max="8207" width="8" style="485" customWidth="1"/>
    <col min="8208" max="8208" width="17" style="485" customWidth="1"/>
    <col min="8209" max="8209" width="12.7109375" style="485" customWidth="1"/>
    <col min="8210" max="8210" width="19" style="485" customWidth="1"/>
    <col min="8211" max="8211" width="23.5703125" style="485" customWidth="1"/>
    <col min="8212" max="8212" width="31.5703125" style="485" customWidth="1"/>
    <col min="8213" max="8213" width="19" style="485" customWidth="1"/>
    <col min="8214" max="8214" width="23.28515625" style="485" customWidth="1"/>
    <col min="8215" max="8215" width="11.7109375" style="485" customWidth="1"/>
    <col min="8216" max="8216" width="11.85546875" style="485" customWidth="1"/>
    <col min="8217" max="8217" width="5.5703125" style="485" customWidth="1"/>
    <col min="8218" max="8218" width="4.7109375" style="485" customWidth="1"/>
    <col min="8219" max="8220" width="7.28515625" style="485" customWidth="1"/>
    <col min="8221" max="8221" width="8.42578125" style="485" customWidth="1"/>
    <col min="8222" max="8222" width="9.5703125" style="485" customWidth="1"/>
    <col min="8223" max="8223" width="6.28515625" style="485" customWidth="1"/>
    <col min="8224" max="8224" width="5.85546875" style="485" customWidth="1"/>
    <col min="8225" max="8226" width="4.42578125" style="485" customWidth="1"/>
    <col min="8227" max="8227" width="5" style="485" customWidth="1"/>
    <col min="8228" max="8228" width="5.85546875" style="485" customWidth="1"/>
    <col min="8229" max="8229" width="6.140625" style="485" customWidth="1"/>
    <col min="8230" max="8230" width="6.28515625" style="485" customWidth="1"/>
    <col min="8231" max="8231" width="4.85546875" style="485" customWidth="1"/>
    <col min="8232" max="8232" width="8.140625" style="485" customWidth="1"/>
    <col min="8233" max="8233" width="11.5703125" style="485" customWidth="1"/>
    <col min="8234" max="8234" width="13.7109375" style="485" customWidth="1"/>
    <col min="8235" max="8235" width="20.85546875" style="485" customWidth="1"/>
    <col min="8236" max="8448" width="11.42578125" style="485"/>
    <col min="8449" max="8449" width="13.140625" style="485" customWidth="1"/>
    <col min="8450" max="8450" width="4" style="485" customWidth="1"/>
    <col min="8451" max="8451" width="20.7109375" style="485" customWidth="1"/>
    <col min="8452" max="8452" width="14.7109375" style="485" customWidth="1"/>
    <col min="8453" max="8453" width="10" style="485" customWidth="1"/>
    <col min="8454" max="8454" width="6.28515625" style="485" customWidth="1"/>
    <col min="8455" max="8455" width="12.28515625" style="485" customWidth="1"/>
    <col min="8456" max="8456" width="8.5703125" style="485" customWidth="1"/>
    <col min="8457" max="8457" width="13.7109375" style="485" customWidth="1"/>
    <col min="8458" max="8458" width="11.5703125" style="485" customWidth="1"/>
    <col min="8459" max="8459" width="20" style="485" customWidth="1"/>
    <col min="8460" max="8460" width="17.42578125" style="485" customWidth="1"/>
    <col min="8461" max="8461" width="21.140625" style="485" customWidth="1"/>
    <col min="8462" max="8462" width="22.140625" style="485" customWidth="1"/>
    <col min="8463" max="8463" width="8" style="485" customWidth="1"/>
    <col min="8464" max="8464" width="17" style="485" customWidth="1"/>
    <col min="8465" max="8465" width="12.7109375" style="485" customWidth="1"/>
    <col min="8466" max="8466" width="19" style="485" customWidth="1"/>
    <col min="8467" max="8467" width="23.5703125" style="485" customWidth="1"/>
    <col min="8468" max="8468" width="31.5703125" style="485" customWidth="1"/>
    <col min="8469" max="8469" width="19" style="485" customWidth="1"/>
    <col min="8470" max="8470" width="23.28515625" style="485" customWidth="1"/>
    <col min="8471" max="8471" width="11.7109375" style="485" customWidth="1"/>
    <col min="8472" max="8472" width="11.85546875" style="485" customWidth="1"/>
    <col min="8473" max="8473" width="5.5703125" style="485" customWidth="1"/>
    <col min="8474" max="8474" width="4.7109375" style="485" customWidth="1"/>
    <col min="8475" max="8476" width="7.28515625" style="485" customWidth="1"/>
    <col min="8477" max="8477" width="8.42578125" style="485" customWidth="1"/>
    <col min="8478" max="8478" width="9.5703125" style="485" customWidth="1"/>
    <col min="8479" max="8479" width="6.28515625" style="485" customWidth="1"/>
    <col min="8480" max="8480" width="5.85546875" style="485" customWidth="1"/>
    <col min="8481" max="8482" width="4.42578125" style="485" customWidth="1"/>
    <col min="8483" max="8483" width="5" style="485" customWidth="1"/>
    <col min="8484" max="8484" width="5.85546875" style="485" customWidth="1"/>
    <col min="8485" max="8485" width="6.140625" style="485" customWidth="1"/>
    <col min="8486" max="8486" width="6.28515625" style="485" customWidth="1"/>
    <col min="8487" max="8487" width="4.85546875" style="485" customWidth="1"/>
    <col min="8488" max="8488" width="8.140625" style="485" customWidth="1"/>
    <col min="8489" max="8489" width="11.5703125" style="485" customWidth="1"/>
    <col min="8490" max="8490" width="13.7109375" style="485" customWidth="1"/>
    <col min="8491" max="8491" width="20.85546875" style="485" customWidth="1"/>
    <col min="8492" max="8704" width="11.42578125" style="485"/>
    <col min="8705" max="8705" width="13.140625" style="485" customWidth="1"/>
    <col min="8706" max="8706" width="4" style="485" customWidth="1"/>
    <col min="8707" max="8707" width="20.7109375" style="485" customWidth="1"/>
    <col min="8708" max="8708" width="14.7109375" style="485" customWidth="1"/>
    <col min="8709" max="8709" width="10" style="485" customWidth="1"/>
    <col min="8710" max="8710" width="6.28515625" style="485" customWidth="1"/>
    <col min="8711" max="8711" width="12.28515625" style="485" customWidth="1"/>
    <col min="8712" max="8712" width="8.5703125" style="485" customWidth="1"/>
    <col min="8713" max="8713" width="13.7109375" style="485" customWidth="1"/>
    <col min="8714" max="8714" width="11.5703125" style="485" customWidth="1"/>
    <col min="8715" max="8715" width="20" style="485" customWidth="1"/>
    <col min="8716" max="8716" width="17.42578125" style="485" customWidth="1"/>
    <col min="8717" max="8717" width="21.140625" style="485" customWidth="1"/>
    <col min="8718" max="8718" width="22.140625" style="485" customWidth="1"/>
    <col min="8719" max="8719" width="8" style="485" customWidth="1"/>
    <col min="8720" max="8720" width="17" style="485" customWidth="1"/>
    <col min="8721" max="8721" width="12.7109375" style="485" customWidth="1"/>
    <col min="8722" max="8722" width="19" style="485" customWidth="1"/>
    <col min="8723" max="8723" width="23.5703125" style="485" customWidth="1"/>
    <col min="8724" max="8724" width="31.5703125" style="485" customWidth="1"/>
    <col min="8725" max="8725" width="19" style="485" customWidth="1"/>
    <col min="8726" max="8726" width="23.28515625" style="485" customWidth="1"/>
    <col min="8727" max="8727" width="11.7109375" style="485" customWidth="1"/>
    <col min="8728" max="8728" width="11.85546875" style="485" customWidth="1"/>
    <col min="8729" max="8729" width="5.5703125" style="485" customWidth="1"/>
    <col min="8730" max="8730" width="4.7109375" style="485" customWidth="1"/>
    <col min="8731" max="8732" width="7.28515625" style="485" customWidth="1"/>
    <col min="8733" max="8733" width="8.42578125" style="485" customWidth="1"/>
    <col min="8734" max="8734" width="9.5703125" style="485" customWidth="1"/>
    <col min="8735" max="8735" width="6.28515625" style="485" customWidth="1"/>
    <col min="8736" max="8736" width="5.85546875" style="485" customWidth="1"/>
    <col min="8737" max="8738" width="4.42578125" style="485" customWidth="1"/>
    <col min="8739" max="8739" width="5" style="485" customWidth="1"/>
    <col min="8740" max="8740" width="5.85546875" style="485" customWidth="1"/>
    <col min="8741" max="8741" width="6.140625" style="485" customWidth="1"/>
    <col min="8742" max="8742" width="6.28515625" style="485" customWidth="1"/>
    <col min="8743" max="8743" width="4.85546875" style="485" customWidth="1"/>
    <col min="8744" max="8744" width="8.140625" style="485" customWidth="1"/>
    <col min="8745" max="8745" width="11.5703125" style="485" customWidth="1"/>
    <col min="8746" max="8746" width="13.7109375" style="485" customWidth="1"/>
    <col min="8747" max="8747" width="20.85546875" style="485" customWidth="1"/>
    <col min="8748" max="8960" width="11.42578125" style="485"/>
    <col min="8961" max="8961" width="13.140625" style="485" customWidth="1"/>
    <col min="8962" max="8962" width="4" style="485" customWidth="1"/>
    <col min="8963" max="8963" width="20.7109375" style="485" customWidth="1"/>
    <col min="8964" max="8964" width="14.7109375" style="485" customWidth="1"/>
    <col min="8965" max="8965" width="10" style="485" customWidth="1"/>
    <col min="8966" max="8966" width="6.28515625" style="485" customWidth="1"/>
    <col min="8967" max="8967" width="12.28515625" style="485" customWidth="1"/>
    <col min="8968" max="8968" width="8.5703125" style="485" customWidth="1"/>
    <col min="8969" max="8969" width="13.7109375" style="485" customWidth="1"/>
    <col min="8970" max="8970" width="11.5703125" style="485" customWidth="1"/>
    <col min="8971" max="8971" width="20" style="485" customWidth="1"/>
    <col min="8972" max="8972" width="17.42578125" style="485" customWidth="1"/>
    <col min="8973" max="8973" width="21.140625" style="485" customWidth="1"/>
    <col min="8974" max="8974" width="22.140625" style="485" customWidth="1"/>
    <col min="8975" max="8975" width="8" style="485" customWidth="1"/>
    <col min="8976" max="8976" width="17" style="485" customWidth="1"/>
    <col min="8977" max="8977" width="12.7109375" style="485" customWidth="1"/>
    <col min="8978" max="8978" width="19" style="485" customWidth="1"/>
    <col min="8979" max="8979" width="23.5703125" style="485" customWidth="1"/>
    <col min="8980" max="8980" width="31.5703125" style="485" customWidth="1"/>
    <col min="8981" max="8981" width="19" style="485" customWidth="1"/>
    <col min="8982" max="8982" width="23.28515625" style="485" customWidth="1"/>
    <col min="8983" max="8983" width="11.7109375" style="485" customWidth="1"/>
    <col min="8984" max="8984" width="11.85546875" style="485" customWidth="1"/>
    <col min="8985" max="8985" width="5.5703125" style="485" customWidth="1"/>
    <col min="8986" max="8986" width="4.7109375" style="485" customWidth="1"/>
    <col min="8987" max="8988" width="7.28515625" style="485" customWidth="1"/>
    <col min="8989" max="8989" width="8.42578125" style="485" customWidth="1"/>
    <col min="8990" max="8990" width="9.5703125" style="485" customWidth="1"/>
    <col min="8991" max="8991" width="6.28515625" style="485" customWidth="1"/>
    <col min="8992" max="8992" width="5.85546875" style="485" customWidth="1"/>
    <col min="8993" max="8994" width="4.42578125" style="485" customWidth="1"/>
    <col min="8995" max="8995" width="5" style="485" customWidth="1"/>
    <col min="8996" max="8996" width="5.85546875" style="485" customWidth="1"/>
    <col min="8997" max="8997" width="6.140625" style="485" customWidth="1"/>
    <col min="8998" max="8998" width="6.28515625" style="485" customWidth="1"/>
    <col min="8999" max="8999" width="4.85546875" style="485" customWidth="1"/>
    <col min="9000" max="9000" width="8.140625" style="485" customWidth="1"/>
    <col min="9001" max="9001" width="11.5703125" style="485" customWidth="1"/>
    <col min="9002" max="9002" width="13.7109375" style="485" customWidth="1"/>
    <col min="9003" max="9003" width="20.85546875" style="485" customWidth="1"/>
    <col min="9004" max="9216" width="11.42578125" style="485"/>
    <col min="9217" max="9217" width="13.140625" style="485" customWidth="1"/>
    <col min="9218" max="9218" width="4" style="485" customWidth="1"/>
    <col min="9219" max="9219" width="20.7109375" style="485" customWidth="1"/>
    <col min="9220" max="9220" width="14.7109375" style="485" customWidth="1"/>
    <col min="9221" max="9221" width="10" style="485" customWidth="1"/>
    <col min="9222" max="9222" width="6.28515625" style="485" customWidth="1"/>
    <col min="9223" max="9223" width="12.28515625" style="485" customWidth="1"/>
    <col min="9224" max="9224" width="8.5703125" style="485" customWidth="1"/>
    <col min="9225" max="9225" width="13.7109375" style="485" customWidth="1"/>
    <col min="9226" max="9226" width="11.5703125" style="485" customWidth="1"/>
    <col min="9227" max="9227" width="20" style="485" customWidth="1"/>
    <col min="9228" max="9228" width="17.42578125" style="485" customWidth="1"/>
    <col min="9229" max="9229" width="21.140625" style="485" customWidth="1"/>
    <col min="9230" max="9230" width="22.140625" style="485" customWidth="1"/>
    <col min="9231" max="9231" width="8" style="485" customWidth="1"/>
    <col min="9232" max="9232" width="17" style="485" customWidth="1"/>
    <col min="9233" max="9233" width="12.7109375" style="485" customWidth="1"/>
    <col min="9234" max="9234" width="19" style="485" customWidth="1"/>
    <col min="9235" max="9235" width="23.5703125" style="485" customWidth="1"/>
    <col min="9236" max="9236" width="31.5703125" style="485" customWidth="1"/>
    <col min="9237" max="9237" width="19" style="485" customWidth="1"/>
    <col min="9238" max="9238" width="23.28515625" style="485" customWidth="1"/>
    <col min="9239" max="9239" width="11.7109375" style="485" customWidth="1"/>
    <col min="9240" max="9240" width="11.85546875" style="485" customWidth="1"/>
    <col min="9241" max="9241" width="5.5703125" style="485" customWidth="1"/>
    <col min="9242" max="9242" width="4.7109375" style="485" customWidth="1"/>
    <col min="9243" max="9244" width="7.28515625" style="485" customWidth="1"/>
    <col min="9245" max="9245" width="8.42578125" style="485" customWidth="1"/>
    <col min="9246" max="9246" width="9.5703125" style="485" customWidth="1"/>
    <col min="9247" max="9247" width="6.28515625" style="485" customWidth="1"/>
    <col min="9248" max="9248" width="5.85546875" style="485" customWidth="1"/>
    <col min="9249" max="9250" width="4.42578125" style="485" customWidth="1"/>
    <col min="9251" max="9251" width="5" style="485" customWidth="1"/>
    <col min="9252" max="9252" width="5.85546875" style="485" customWidth="1"/>
    <col min="9253" max="9253" width="6.140625" style="485" customWidth="1"/>
    <col min="9254" max="9254" width="6.28515625" style="485" customWidth="1"/>
    <col min="9255" max="9255" width="4.85546875" style="485" customWidth="1"/>
    <col min="9256" max="9256" width="8.140625" style="485" customWidth="1"/>
    <col min="9257" max="9257" width="11.5703125" style="485" customWidth="1"/>
    <col min="9258" max="9258" width="13.7109375" style="485" customWidth="1"/>
    <col min="9259" max="9259" width="20.85546875" style="485" customWidth="1"/>
    <col min="9260" max="9472" width="11.42578125" style="485"/>
    <col min="9473" max="9473" width="13.140625" style="485" customWidth="1"/>
    <col min="9474" max="9474" width="4" style="485" customWidth="1"/>
    <col min="9475" max="9475" width="20.7109375" style="485" customWidth="1"/>
    <col min="9476" max="9476" width="14.7109375" style="485" customWidth="1"/>
    <col min="9477" max="9477" width="10" style="485" customWidth="1"/>
    <col min="9478" max="9478" width="6.28515625" style="485" customWidth="1"/>
    <col min="9479" max="9479" width="12.28515625" style="485" customWidth="1"/>
    <col min="9480" max="9480" width="8.5703125" style="485" customWidth="1"/>
    <col min="9481" max="9481" width="13.7109375" style="485" customWidth="1"/>
    <col min="9482" max="9482" width="11.5703125" style="485" customWidth="1"/>
    <col min="9483" max="9483" width="20" style="485" customWidth="1"/>
    <col min="9484" max="9484" width="17.42578125" style="485" customWidth="1"/>
    <col min="9485" max="9485" width="21.140625" style="485" customWidth="1"/>
    <col min="9486" max="9486" width="22.140625" style="485" customWidth="1"/>
    <col min="9487" max="9487" width="8" style="485" customWidth="1"/>
    <col min="9488" max="9488" width="17" style="485" customWidth="1"/>
    <col min="9489" max="9489" width="12.7109375" style="485" customWidth="1"/>
    <col min="9490" max="9490" width="19" style="485" customWidth="1"/>
    <col min="9491" max="9491" width="23.5703125" style="485" customWidth="1"/>
    <col min="9492" max="9492" width="31.5703125" style="485" customWidth="1"/>
    <col min="9493" max="9493" width="19" style="485" customWidth="1"/>
    <col min="9494" max="9494" width="23.28515625" style="485" customWidth="1"/>
    <col min="9495" max="9495" width="11.7109375" style="485" customWidth="1"/>
    <col min="9496" max="9496" width="11.85546875" style="485" customWidth="1"/>
    <col min="9497" max="9497" width="5.5703125" style="485" customWidth="1"/>
    <col min="9498" max="9498" width="4.7109375" style="485" customWidth="1"/>
    <col min="9499" max="9500" width="7.28515625" style="485" customWidth="1"/>
    <col min="9501" max="9501" width="8.42578125" style="485" customWidth="1"/>
    <col min="9502" max="9502" width="9.5703125" style="485" customWidth="1"/>
    <col min="9503" max="9503" width="6.28515625" style="485" customWidth="1"/>
    <col min="9504" max="9504" width="5.85546875" style="485" customWidth="1"/>
    <col min="9505" max="9506" width="4.42578125" style="485" customWidth="1"/>
    <col min="9507" max="9507" width="5" style="485" customWidth="1"/>
    <col min="9508" max="9508" width="5.85546875" style="485" customWidth="1"/>
    <col min="9509" max="9509" width="6.140625" style="485" customWidth="1"/>
    <col min="9510" max="9510" width="6.28515625" style="485" customWidth="1"/>
    <col min="9511" max="9511" width="4.85546875" style="485" customWidth="1"/>
    <col min="9512" max="9512" width="8.140625" style="485" customWidth="1"/>
    <col min="9513" max="9513" width="11.5703125" style="485" customWidth="1"/>
    <col min="9514" max="9514" width="13.7109375" style="485" customWidth="1"/>
    <col min="9515" max="9515" width="20.85546875" style="485" customWidth="1"/>
    <col min="9516" max="9728" width="11.42578125" style="485"/>
    <col min="9729" max="9729" width="13.140625" style="485" customWidth="1"/>
    <col min="9730" max="9730" width="4" style="485" customWidth="1"/>
    <col min="9731" max="9731" width="20.7109375" style="485" customWidth="1"/>
    <col min="9732" max="9732" width="14.7109375" style="485" customWidth="1"/>
    <col min="9733" max="9733" width="10" style="485" customWidth="1"/>
    <col min="9734" max="9734" width="6.28515625" style="485" customWidth="1"/>
    <col min="9735" max="9735" width="12.28515625" style="485" customWidth="1"/>
    <col min="9736" max="9736" width="8.5703125" style="485" customWidth="1"/>
    <col min="9737" max="9737" width="13.7109375" style="485" customWidth="1"/>
    <col min="9738" max="9738" width="11.5703125" style="485" customWidth="1"/>
    <col min="9739" max="9739" width="20" style="485" customWidth="1"/>
    <col min="9740" max="9740" width="17.42578125" style="485" customWidth="1"/>
    <col min="9741" max="9741" width="21.140625" style="485" customWidth="1"/>
    <col min="9742" max="9742" width="22.140625" style="485" customWidth="1"/>
    <col min="9743" max="9743" width="8" style="485" customWidth="1"/>
    <col min="9744" max="9744" width="17" style="485" customWidth="1"/>
    <col min="9745" max="9745" width="12.7109375" style="485" customWidth="1"/>
    <col min="9746" max="9746" width="19" style="485" customWidth="1"/>
    <col min="9747" max="9747" width="23.5703125" style="485" customWidth="1"/>
    <col min="9748" max="9748" width="31.5703125" style="485" customWidth="1"/>
    <col min="9749" max="9749" width="19" style="485" customWidth="1"/>
    <col min="9750" max="9750" width="23.28515625" style="485" customWidth="1"/>
    <col min="9751" max="9751" width="11.7109375" style="485" customWidth="1"/>
    <col min="9752" max="9752" width="11.85546875" style="485" customWidth="1"/>
    <col min="9753" max="9753" width="5.5703125" style="485" customWidth="1"/>
    <col min="9754" max="9754" width="4.7109375" style="485" customWidth="1"/>
    <col min="9755" max="9756" width="7.28515625" style="485" customWidth="1"/>
    <col min="9757" max="9757" width="8.42578125" style="485" customWidth="1"/>
    <col min="9758" max="9758" width="9.5703125" style="485" customWidth="1"/>
    <col min="9759" max="9759" width="6.28515625" style="485" customWidth="1"/>
    <col min="9760" max="9760" width="5.85546875" style="485" customWidth="1"/>
    <col min="9761" max="9762" width="4.42578125" style="485" customWidth="1"/>
    <col min="9763" max="9763" width="5" style="485" customWidth="1"/>
    <col min="9764" max="9764" width="5.85546875" style="485" customWidth="1"/>
    <col min="9765" max="9765" width="6.140625" style="485" customWidth="1"/>
    <col min="9766" max="9766" width="6.28515625" style="485" customWidth="1"/>
    <col min="9767" max="9767" width="4.85546875" style="485" customWidth="1"/>
    <col min="9768" max="9768" width="8.140625" style="485" customWidth="1"/>
    <col min="9769" max="9769" width="11.5703125" style="485" customWidth="1"/>
    <col min="9770" max="9770" width="13.7109375" style="485" customWidth="1"/>
    <col min="9771" max="9771" width="20.85546875" style="485" customWidth="1"/>
    <col min="9772" max="9984" width="11.42578125" style="485"/>
    <col min="9985" max="9985" width="13.140625" style="485" customWidth="1"/>
    <col min="9986" max="9986" width="4" style="485" customWidth="1"/>
    <col min="9987" max="9987" width="20.7109375" style="485" customWidth="1"/>
    <col min="9988" max="9988" width="14.7109375" style="485" customWidth="1"/>
    <col min="9989" max="9989" width="10" style="485" customWidth="1"/>
    <col min="9990" max="9990" width="6.28515625" style="485" customWidth="1"/>
    <col min="9991" max="9991" width="12.28515625" style="485" customWidth="1"/>
    <col min="9992" max="9992" width="8.5703125" style="485" customWidth="1"/>
    <col min="9993" max="9993" width="13.7109375" style="485" customWidth="1"/>
    <col min="9994" max="9994" width="11.5703125" style="485" customWidth="1"/>
    <col min="9995" max="9995" width="20" style="485" customWidth="1"/>
    <col min="9996" max="9996" width="17.42578125" style="485" customWidth="1"/>
    <col min="9997" max="9997" width="21.140625" style="485" customWidth="1"/>
    <col min="9998" max="9998" width="22.140625" style="485" customWidth="1"/>
    <col min="9999" max="9999" width="8" style="485" customWidth="1"/>
    <col min="10000" max="10000" width="17" style="485" customWidth="1"/>
    <col min="10001" max="10001" width="12.7109375" style="485" customWidth="1"/>
    <col min="10002" max="10002" width="19" style="485" customWidth="1"/>
    <col min="10003" max="10003" width="23.5703125" style="485" customWidth="1"/>
    <col min="10004" max="10004" width="31.5703125" style="485" customWidth="1"/>
    <col min="10005" max="10005" width="19" style="485" customWidth="1"/>
    <col min="10006" max="10006" width="23.28515625" style="485" customWidth="1"/>
    <col min="10007" max="10007" width="11.7109375" style="485" customWidth="1"/>
    <col min="10008" max="10008" width="11.85546875" style="485" customWidth="1"/>
    <col min="10009" max="10009" width="5.5703125" style="485" customWidth="1"/>
    <col min="10010" max="10010" width="4.7109375" style="485" customWidth="1"/>
    <col min="10011" max="10012" width="7.28515625" style="485" customWidth="1"/>
    <col min="10013" max="10013" width="8.42578125" style="485" customWidth="1"/>
    <col min="10014" max="10014" width="9.5703125" style="485" customWidth="1"/>
    <col min="10015" max="10015" width="6.28515625" style="485" customWidth="1"/>
    <col min="10016" max="10016" width="5.85546875" style="485" customWidth="1"/>
    <col min="10017" max="10018" width="4.42578125" style="485" customWidth="1"/>
    <col min="10019" max="10019" width="5" style="485" customWidth="1"/>
    <col min="10020" max="10020" width="5.85546875" style="485" customWidth="1"/>
    <col min="10021" max="10021" width="6.140625" style="485" customWidth="1"/>
    <col min="10022" max="10022" width="6.28515625" style="485" customWidth="1"/>
    <col min="10023" max="10023" width="4.85546875" style="485" customWidth="1"/>
    <col min="10024" max="10024" width="8.140625" style="485" customWidth="1"/>
    <col min="10025" max="10025" width="11.5703125" style="485" customWidth="1"/>
    <col min="10026" max="10026" width="13.7109375" style="485" customWidth="1"/>
    <col min="10027" max="10027" width="20.85546875" style="485" customWidth="1"/>
    <col min="10028" max="10240" width="11.42578125" style="485"/>
    <col min="10241" max="10241" width="13.140625" style="485" customWidth="1"/>
    <col min="10242" max="10242" width="4" style="485" customWidth="1"/>
    <col min="10243" max="10243" width="20.7109375" style="485" customWidth="1"/>
    <col min="10244" max="10244" width="14.7109375" style="485" customWidth="1"/>
    <col min="10245" max="10245" width="10" style="485" customWidth="1"/>
    <col min="10246" max="10246" width="6.28515625" style="485" customWidth="1"/>
    <col min="10247" max="10247" width="12.28515625" style="485" customWidth="1"/>
    <col min="10248" max="10248" width="8.5703125" style="485" customWidth="1"/>
    <col min="10249" max="10249" width="13.7109375" style="485" customWidth="1"/>
    <col min="10250" max="10250" width="11.5703125" style="485" customWidth="1"/>
    <col min="10251" max="10251" width="20" style="485" customWidth="1"/>
    <col min="10252" max="10252" width="17.42578125" style="485" customWidth="1"/>
    <col min="10253" max="10253" width="21.140625" style="485" customWidth="1"/>
    <col min="10254" max="10254" width="22.140625" style="485" customWidth="1"/>
    <col min="10255" max="10255" width="8" style="485" customWidth="1"/>
    <col min="10256" max="10256" width="17" style="485" customWidth="1"/>
    <col min="10257" max="10257" width="12.7109375" style="485" customWidth="1"/>
    <col min="10258" max="10258" width="19" style="485" customWidth="1"/>
    <col min="10259" max="10259" width="23.5703125" style="485" customWidth="1"/>
    <col min="10260" max="10260" width="31.5703125" style="485" customWidth="1"/>
    <col min="10261" max="10261" width="19" style="485" customWidth="1"/>
    <col min="10262" max="10262" width="23.28515625" style="485" customWidth="1"/>
    <col min="10263" max="10263" width="11.7109375" style="485" customWidth="1"/>
    <col min="10264" max="10264" width="11.85546875" style="485" customWidth="1"/>
    <col min="10265" max="10265" width="5.5703125" style="485" customWidth="1"/>
    <col min="10266" max="10266" width="4.7109375" style="485" customWidth="1"/>
    <col min="10267" max="10268" width="7.28515625" style="485" customWidth="1"/>
    <col min="10269" max="10269" width="8.42578125" style="485" customWidth="1"/>
    <col min="10270" max="10270" width="9.5703125" style="485" customWidth="1"/>
    <col min="10271" max="10271" width="6.28515625" style="485" customWidth="1"/>
    <col min="10272" max="10272" width="5.85546875" style="485" customWidth="1"/>
    <col min="10273" max="10274" width="4.42578125" style="485" customWidth="1"/>
    <col min="10275" max="10275" width="5" style="485" customWidth="1"/>
    <col min="10276" max="10276" width="5.85546875" style="485" customWidth="1"/>
    <col min="10277" max="10277" width="6.140625" style="485" customWidth="1"/>
    <col min="10278" max="10278" width="6.28515625" style="485" customWidth="1"/>
    <col min="10279" max="10279" width="4.85546875" style="485" customWidth="1"/>
    <col min="10280" max="10280" width="8.140625" style="485" customWidth="1"/>
    <col min="10281" max="10281" width="11.5703125" style="485" customWidth="1"/>
    <col min="10282" max="10282" width="13.7109375" style="485" customWidth="1"/>
    <col min="10283" max="10283" width="20.85546875" style="485" customWidth="1"/>
    <col min="10284" max="10496" width="11.42578125" style="485"/>
    <col min="10497" max="10497" width="13.140625" style="485" customWidth="1"/>
    <col min="10498" max="10498" width="4" style="485" customWidth="1"/>
    <col min="10499" max="10499" width="20.7109375" style="485" customWidth="1"/>
    <col min="10500" max="10500" width="14.7109375" style="485" customWidth="1"/>
    <col min="10501" max="10501" width="10" style="485" customWidth="1"/>
    <col min="10502" max="10502" width="6.28515625" style="485" customWidth="1"/>
    <col min="10503" max="10503" width="12.28515625" style="485" customWidth="1"/>
    <col min="10504" max="10504" width="8.5703125" style="485" customWidth="1"/>
    <col min="10505" max="10505" width="13.7109375" style="485" customWidth="1"/>
    <col min="10506" max="10506" width="11.5703125" style="485" customWidth="1"/>
    <col min="10507" max="10507" width="20" style="485" customWidth="1"/>
    <col min="10508" max="10508" width="17.42578125" style="485" customWidth="1"/>
    <col min="10509" max="10509" width="21.140625" style="485" customWidth="1"/>
    <col min="10510" max="10510" width="22.140625" style="485" customWidth="1"/>
    <col min="10511" max="10511" width="8" style="485" customWidth="1"/>
    <col min="10512" max="10512" width="17" style="485" customWidth="1"/>
    <col min="10513" max="10513" width="12.7109375" style="485" customWidth="1"/>
    <col min="10514" max="10514" width="19" style="485" customWidth="1"/>
    <col min="10515" max="10515" width="23.5703125" style="485" customWidth="1"/>
    <col min="10516" max="10516" width="31.5703125" style="485" customWidth="1"/>
    <col min="10517" max="10517" width="19" style="485" customWidth="1"/>
    <col min="10518" max="10518" width="23.28515625" style="485" customWidth="1"/>
    <col min="10519" max="10519" width="11.7109375" style="485" customWidth="1"/>
    <col min="10520" max="10520" width="11.85546875" style="485" customWidth="1"/>
    <col min="10521" max="10521" width="5.5703125" style="485" customWidth="1"/>
    <col min="10522" max="10522" width="4.7109375" style="485" customWidth="1"/>
    <col min="10523" max="10524" width="7.28515625" style="485" customWidth="1"/>
    <col min="10525" max="10525" width="8.42578125" style="485" customWidth="1"/>
    <col min="10526" max="10526" width="9.5703125" style="485" customWidth="1"/>
    <col min="10527" max="10527" width="6.28515625" style="485" customWidth="1"/>
    <col min="10528" max="10528" width="5.85546875" style="485" customWidth="1"/>
    <col min="10529" max="10530" width="4.42578125" style="485" customWidth="1"/>
    <col min="10531" max="10531" width="5" style="485" customWidth="1"/>
    <col min="10532" max="10532" width="5.85546875" style="485" customWidth="1"/>
    <col min="10533" max="10533" width="6.140625" style="485" customWidth="1"/>
    <col min="10534" max="10534" width="6.28515625" style="485" customWidth="1"/>
    <col min="10535" max="10535" width="4.85546875" style="485" customWidth="1"/>
    <col min="10536" max="10536" width="8.140625" style="485" customWidth="1"/>
    <col min="10537" max="10537" width="11.5703125" style="485" customWidth="1"/>
    <col min="10538" max="10538" width="13.7109375" style="485" customWidth="1"/>
    <col min="10539" max="10539" width="20.85546875" style="485" customWidth="1"/>
    <col min="10540" max="10752" width="11.42578125" style="485"/>
    <col min="10753" max="10753" width="13.140625" style="485" customWidth="1"/>
    <col min="10754" max="10754" width="4" style="485" customWidth="1"/>
    <col min="10755" max="10755" width="20.7109375" style="485" customWidth="1"/>
    <col min="10756" max="10756" width="14.7109375" style="485" customWidth="1"/>
    <col min="10757" max="10757" width="10" style="485" customWidth="1"/>
    <col min="10758" max="10758" width="6.28515625" style="485" customWidth="1"/>
    <col min="10759" max="10759" width="12.28515625" style="485" customWidth="1"/>
    <col min="10760" max="10760" width="8.5703125" style="485" customWidth="1"/>
    <col min="10761" max="10761" width="13.7109375" style="485" customWidth="1"/>
    <col min="10762" max="10762" width="11.5703125" style="485" customWidth="1"/>
    <col min="10763" max="10763" width="20" style="485" customWidth="1"/>
    <col min="10764" max="10764" width="17.42578125" style="485" customWidth="1"/>
    <col min="10765" max="10765" width="21.140625" style="485" customWidth="1"/>
    <col min="10766" max="10766" width="22.140625" style="485" customWidth="1"/>
    <col min="10767" max="10767" width="8" style="485" customWidth="1"/>
    <col min="10768" max="10768" width="17" style="485" customWidth="1"/>
    <col min="10769" max="10769" width="12.7109375" style="485" customWidth="1"/>
    <col min="10770" max="10770" width="19" style="485" customWidth="1"/>
    <col min="10771" max="10771" width="23.5703125" style="485" customWidth="1"/>
    <col min="10772" max="10772" width="31.5703125" style="485" customWidth="1"/>
    <col min="10773" max="10773" width="19" style="485" customWidth="1"/>
    <col min="10774" max="10774" width="23.28515625" style="485" customWidth="1"/>
    <col min="10775" max="10775" width="11.7109375" style="485" customWidth="1"/>
    <col min="10776" max="10776" width="11.85546875" style="485" customWidth="1"/>
    <col min="10777" max="10777" width="5.5703125" style="485" customWidth="1"/>
    <col min="10778" max="10778" width="4.7109375" style="485" customWidth="1"/>
    <col min="10779" max="10780" width="7.28515625" style="485" customWidth="1"/>
    <col min="10781" max="10781" width="8.42578125" style="485" customWidth="1"/>
    <col min="10782" max="10782" width="9.5703125" style="485" customWidth="1"/>
    <col min="10783" max="10783" width="6.28515625" style="485" customWidth="1"/>
    <col min="10784" max="10784" width="5.85546875" style="485" customWidth="1"/>
    <col min="10785" max="10786" width="4.42578125" style="485" customWidth="1"/>
    <col min="10787" max="10787" width="5" style="485" customWidth="1"/>
    <col min="10788" max="10788" width="5.85546875" style="485" customWidth="1"/>
    <col min="10789" max="10789" width="6.140625" style="485" customWidth="1"/>
    <col min="10790" max="10790" width="6.28515625" style="485" customWidth="1"/>
    <col min="10791" max="10791" width="4.85546875" style="485" customWidth="1"/>
    <col min="10792" max="10792" width="8.140625" style="485" customWidth="1"/>
    <col min="10793" max="10793" width="11.5703125" style="485" customWidth="1"/>
    <col min="10794" max="10794" width="13.7109375" style="485" customWidth="1"/>
    <col min="10795" max="10795" width="20.85546875" style="485" customWidth="1"/>
    <col min="10796" max="11008" width="11.42578125" style="485"/>
    <col min="11009" max="11009" width="13.140625" style="485" customWidth="1"/>
    <col min="11010" max="11010" width="4" style="485" customWidth="1"/>
    <col min="11011" max="11011" width="20.7109375" style="485" customWidth="1"/>
    <col min="11012" max="11012" width="14.7109375" style="485" customWidth="1"/>
    <col min="11013" max="11013" width="10" style="485" customWidth="1"/>
    <col min="11014" max="11014" width="6.28515625" style="485" customWidth="1"/>
    <col min="11015" max="11015" width="12.28515625" style="485" customWidth="1"/>
    <col min="11016" max="11016" width="8.5703125" style="485" customWidth="1"/>
    <col min="11017" max="11017" width="13.7109375" style="485" customWidth="1"/>
    <col min="11018" max="11018" width="11.5703125" style="485" customWidth="1"/>
    <col min="11019" max="11019" width="20" style="485" customWidth="1"/>
    <col min="11020" max="11020" width="17.42578125" style="485" customWidth="1"/>
    <col min="11021" max="11021" width="21.140625" style="485" customWidth="1"/>
    <col min="11022" max="11022" width="22.140625" style="485" customWidth="1"/>
    <col min="11023" max="11023" width="8" style="485" customWidth="1"/>
    <col min="11024" max="11024" width="17" style="485" customWidth="1"/>
    <col min="11025" max="11025" width="12.7109375" style="485" customWidth="1"/>
    <col min="11026" max="11026" width="19" style="485" customWidth="1"/>
    <col min="11027" max="11027" width="23.5703125" style="485" customWidth="1"/>
    <col min="11028" max="11028" width="31.5703125" style="485" customWidth="1"/>
    <col min="11029" max="11029" width="19" style="485" customWidth="1"/>
    <col min="11030" max="11030" width="23.28515625" style="485" customWidth="1"/>
    <col min="11031" max="11031" width="11.7109375" style="485" customWidth="1"/>
    <col min="11032" max="11032" width="11.85546875" style="485" customWidth="1"/>
    <col min="11033" max="11033" width="5.5703125" style="485" customWidth="1"/>
    <col min="11034" max="11034" width="4.7109375" style="485" customWidth="1"/>
    <col min="11035" max="11036" width="7.28515625" style="485" customWidth="1"/>
    <col min="11037" max="11037" width="8.42578125" style="485" customWidth="1"/>
    <col min="11038" max="11038" width="9.5703125" style="485" customWidth="1"/>
    <col min="11039" max="11039" width="6.28515625" style="485" customWidth="1"/>
    <col min="11040" max="11040" width="5.85546875" style="485" customWidth="1"/>
    <col min="11041" max="11042" width="4.42578125" style="485" customWidth="1"/>
    <col min="11043" max="11043" width="5" style="485" customWidth="1"/>
    <col min="11044" max="11044" width="5.85546875" style="485" customWidth="1"/>
    <col min="11045" max="11045" width="6.140625" style="485" customWidth="1"/>
    <col min="11046" max="11046" width="6.28515625" style="485" customWidth="1"/>
    <col min="11047" max="11047" width="4.85546875" style="485" customWidth="1"/>
    <col min="11048" max="11048" width="8.140625" style="485" customWidth="1"/>
    <col min="11049" max="11049" width="11.5703125" style="485" customWidth="1"/>
    <col min="11050" max="11050" width="13.7109375" style="485" customWidth="1"/>
    <col min="11051" max="11051" width="20.85546875" style="485" customWidth="1"/>
    <col min="11052" max="11264" width="11.42578125" style="485"/>
    <col min="11265" max="11265" width="13.140625" style="485" customWidth="1"/>
    <col min="11266" max="11266" width="4" style="485" customWidth="1"/>
    <col min="11267" max="11267" width="20.7109375" style="485" customWidth="1"/>
    <col min="11268" max="11268" width="14.7109375" style="485" customWidth="1"/>
    <col min="11269" max="11269" width="10" style="485" customWidth="1"/>
    <col min="11270" max="11270" width="6.28515625" style="485" customWidth="1"/>
    <col min="11271" max="11271" width="12.28515625" style="485" customWidth="1"/>
    <col min="11272" max="11272" width="8.5703125" style="485" customWidth="1"/>
    <col min="11273" max="11273" width="13.7109375" style="485" customWidth="1"/>
    <col min="11274" max="11274" width="11.5703125" style="485" customWidth="1"/>
    <col min="11275" max="11275" width="20" style="485" customWidth="1"/>
    <col min="11276" max="11276" width="17.42578125" style="485" customWidth="1"/>
    <col min="11277" max="11277" width="21.140625" style="485" customWidth="1"/>
    <col min="11278" max="11278" width="22.140625" style="485" customWidth="1"/>
    <col min="11279" max="11279" width="8" style="485" customWidth="1"/>
    <col min="11280" max="11280" width="17" style="485" customWidth="1"/>
    <col min="11281" max="11281" width="12.7109375" style="485" customWidth="1"/>
    <col min="11282" max="11282" width="19" style="485" customWidth="1"/>
    <col min="11283" max="11283" width="23.5703125" style="485" customWidth="1"/>
    <col min="11284" max="11284" width="31.5703125" style="485" customWidth="1"/>
    <col min="11285" max="11285" width="19" style="485" customWidth="1"/>
    <col min="11286" max="11286" width="23.28515625" style="485" customWidth="1"/>
    <col min="11287" max="11287" width="11.7109375" style="485" customWidth="1"/>
    <col min="11288" max="11288" width="11.85546875" style="485" customWidth="1"/>
    <col min="11289" max="11289" width="5.5703125" style="485" customWidth="1"/>
    <col min="11290" max="11290" width="4.7109375" style="485" customWidth="1"/>
    <col min="11291" max="11292" width="7.28515625" style="485" customWidth="1"/>
    <col min="11293" max="11293" width="8.42578125" style="485" customWidth="1"/>
    <col min="11294" max="11294" width="9.5703125" style="485" customWidth="1"/>
    <col min="11295" max="11295" width="6.28515625" style="485" customWidth="1"/>
    <col min="11296" max="11296" width="5.85546875" style="485" customWidth="1"/>
    <col min="11297" max="11298" width="4.42578125" style="485" customWidth="1"/>
    <col min="11299" max="11299" width="5" style="485" customWidth="1"/>
    <col min="11300" max="11300" width="5.85546875" style="485" customWidth="1"/>
    <col min="11301" max="11301" width="6.140625" style="485" customWidth="1"/>
    <col min="11302" max="11302" width="6.28515625" style="485" customWidth="1"/>
    <col min="11303" max="11303" width="4.85546875" style="485" customWidth="1"/>
    <col min="11304" max="11304" width="8.140625" style="485" customWidth="1"/>
    <col min="11305" max="11305" width="11.5703125" style="485" customWidth="1"/>
    <col min="11306" max="11306" width="13.7109375" style="485" customWidth="1"/>
    <col min="11307" max="11307" width="20.85546875" style="485" customWidth="1"/>
    <col min="11308" max="11520" width="11.42578125" style="485"/>
    <col min="11521" max="11521" width="13.140625" style="485" customWidth="1"/>
    <col min="11522" max="11522" width="4" style="485" customWidth="1"/>
    <col min="11523" max="11523" width="20.7109375" style="485" customWidth="1"/>
    <col min="11524" max="11524" width="14.7109375" style="485" customWidth="1"/>
    <col min="11525" max="11525" width="10" style="485" customWidth="1"/>
    <col min="11526" max="11526" width="6.28515625" style="485" customWidth="1"/>
    <col min="11527" max="11527" width="12.28515625" style="485" customWidth="1"/>
    <col min="11528" max="11528" width="8.5703125" style="485" customWidth="1"/>
    <col min="11529" max="11529" width="13.7109375" style="485" customWidth="1"/>
    <col min="11530" max="11530" width="11.5703125" style="485" customWidth="1"/>
    <col min="11531" max="11531" width="20" style="485" customWidth="1"/>
    <col min="11532" max="11532" width="17.42578125" style="485" customWidth="1"/>
    <col min="11533" max="11533" width="21.140625" style="485" customWidth="1"/>
    <col min="11534" max="11534" width="22.140625" style="485" customWidth="1"/>
    <col min="11535" max="11535" width="8" style="485" customWidth="1"/>
    <col min="11536" max="11536" width="17" style="485" customWidth="1"/>
    <col min="11537" max="11537" width="12.7109375" style="485" customWidth="1"/>
    <col min="11538" max="11538" width="19" style="485" customWidth="1"/>
    <col min="11539" max="11539" width="23.5703125" style="485" customWidth="1"/>
    <col min="11540" max="11540" width="31.5703125" style="485" customWidth="1"/>
    <col min="11541" max="11541" width="19" style="485" customWidth="1"/>
    <col min="11542" max="11542" width="23.28515625" style="485" customWidth="1"/>
    <col min="11543" max="11543" width="11.7109375" style="485" customWidth="1"/>
    <col min="11544" max="11544" width="11.85546875" style="485" customWidth="1"/>
    <col min="11545" max="11545" width="5.5703125" style="485" customWidth="1"/>
    <col min="11546" max="11546" width="4.7109375" style="485" customWidth="1"/>
    <col min="11547" max="11548" width="7.28515625" style="485" customWidth="1"/>
    <col min="11549" max="11549" width="8.42578125" style="485" customWidth="1"/>
    <col min="11550" max="11550" width="9.5703125" style="485" customWidth="1"/>
    <col min="11551" max="11551" width="6.28515625" style="485" customWidth="1"/>
    <col min="11552" max="11552" width="5.85546875" style="485" customWidth="1"/>
    <col min="11553" max="11554" width="4.42578125" style="485" customWidth="1"/>
    <col min="11555" max="11555" width="5" style="485" customWidth="1"/>
    <col min="11556" max="11556" width="5.85546875" style="485" customWidth="1"/>
    <col min="11557" max="11557" width="6.140625" style="485" customWidth="1"/>
    <col min="11558" max="11558" width="6.28515625" style="485" customWidth="1"/>
    <col min="11559" max="11559" width="4.85546875" style="485" customWidth="1"/>
    <col min="11560" max="11560" width="8.140625" style="485" customWidth="1"/>
    <col min="11561" max="11561" width="11.5703125" style="485" customWidth="1"/>
    <col min="11562" max="11562" width="13.7109375" style="485" customWidth="1"/>
    <col min="11563" max="11563" width="20.85546875" style="485" customWidth="1"/>
    <col min="11564" max="11776" width="11.42578125" style="485"/>
    <col min="11777" max="11777" width="13.140625" style="485" customWidth="1"/>
    <col min="11778" max="11778" width="4" style="485" customWidth="1"/>
    <col min="11779" max="11779" width="20.7109375" style="485" customWidth="1"/>
    <col min="11780" max="11780" width="14.7109375" style="485" customWidth="1"/>
    <col min="11781" max="11781" width="10" style="485" customWidth="1"/>
    <col min="11782" max="11782" width="6.28515625" style="485" customWidth="1"/>
    <col min="11783" max="11783" width="12.28515625" style="485" customWidth="1"/>
    <col min="11784" max="11784" width="8.5703125" style="485" customWidth="1"/>
    <col min="11785" max="11785" width="13.7109375" style="485" customWidth="1"/>
    <col min="11786" max="11786" width="11.5703125" style="485" customWidth="1"/>
    <col min="11787" max="11787" width="20" style="485" customWidth="1"/>
    <col min="11788" max="11788" width="17.42578125" style="485" customWidth="1"/>
    <col min="11789" max="11789" width="21.140625" style="485" customWidth="1"/>
    <col min="11790" max="11790" width="22.140625" style="485" customWidth="1"/>
    <col min="11791" max="11791" width="8" style="485" customWidth="1"/>
    <col min="11792" max="11792" width="17" style="485" customWidth="1"/>
    <col min="11793" max="11793" width="12.7109375" style="485" customWidth="1"/>
    <col min="11794" max="11794" width="19" style="485" customWidth="1"/>
    <col min="11795" max="11795" width="23.5703125" style="485" customWidth="1"/>
    <col min="11796" max="11796" width="31.5703125" style="485" customWidth="1"/>
    <col min="11797" max="11797" width="19" style="485" customWidth="1"/>
    <col min="11798" max="11798" width="23.28515625" style="485" customWidth="1"/>
    <col min="11799" max="11799" width="11.7109375" style="485" customWidth="1"/>
    <col min="11800" max="11800" width="11.85546875" style="485" customWidth="1"/>
    <col min="11801" max="11801" width="5.5703125" style="485" customWidth="1"/>
    <col min="11802" max="11802" width="4.7109375" style="485" customWidth="1"/>
    <col min="11803" max="11804" width="7.28515625" style="485" customWidth="1"/>
    <col min="11805" max="11805" width="8.42578125" style="485" customWidth="1"/>
    <col min="11806" max="11806" width="9.5703125" style="485" customWidth="1"/>
    <col min="11807" max="11807" width="6.28515625" style="485" customWidth="1"/>
    <col min="11808" max="11808" width="5.85546875" style="485" customWidth="1"/>
    <col min="11809" max="11810" width="4.42578125" style="485" customWidth="1"/>
    <col min="11811" max="11811" width="5" style="485" customWidth="1"/>
    <col min="11812" max="11812" width="5.85546875" style="485" customWidth="1"/>
    <col min="11813" max="11813" width="6.140625" style="485" customWidth="1"/>
    <col min="11814" max="11814" width="6.28515625" style="485" customWidth="1"/>
    <col min="11815" max="11815" width="4.85546875" style="485" customWidth="1"/>
    <col min="11816" max="11816" width="8.140625" style="485" customWidth="1"/>
    <col min="11817" max="11817" width="11.5703125" style="485" customWidth="1"/>
    <col min="11818" max="11818" width="13.7109375" style="485" customWidth="1"/>
    <col min="11819" max="11819" width="20.85546875" style="485" customWidth="1"/>
    <col min="11820" max="12032" width="11.42578125" style="485"/>
    <col min="12033" max="12033" width="13.140625" style="485" customWidth="1"/>
    <col min="12034" max="12034" width="4" style="485" customWidth="1"/>
    <col min="12035" max="12035" width="20.7109375" style="485" customWidth="1"/>
    <col min="12036" max="12036" width="14.7109375" style="485" customWidth="1"/>
    <col min="12037" max="12037" width="10" style="485" customWidth="1"/>
    <col min="12038" max="12038" width="6.28515625" style="485" customWidth="1"/>
    <col min="12039" max="12039" width="12.28515625" style="485" customWidth="1"/>
    <col min="12040" max="12040" width="8.5703125" style="485" customWidth="1"/>
    <col min="12041" max="12041" width="13.7109375" style="485" customWidth="1"/>
    <col min="12042" max="12042" width="11.5703125" style="485" customWidth="1"/>
    <col min="12043" max="12043" width="20" style="485" customWidth="1"/>
    <col min="12044" max="12044" width="17.42578125" style="485" customWidth="1"/>
    <col min="12045" max="12045" width="21.140625" style="485" customWidth="1"/>
    <col min="12046" max="12046" width="22.140625" style="485" customWidth="1"/>
    <col min="12047" max="12047" width="8" style="485" customWidth="1"/>
    <col min="12048" max="12048" width="17" style="485" customWidth="1"/>
    <col min="12049" max="12049" width="12.7109375" style="485" customWidth="1"/>
    <col min="12050" max="12050" width="19" style="485" customWidth="1"/>
    <col min="12051" max="12051" width="23.5703125" style="485" customWidth="1"/>
    <col min="12052" max="12052" width="31.5703125" style="485" customWidth="1"/>
    <col min="12053" max="12053" width="19" style="485" customWidth="1"/>
    <col min="12054" max="12054" width="23.28515625" style="485" customWidth="1"/>
    <col min="12055" max="12055" width="11.7109375" style="485" customWidth="1"/>
    <col min="12056" max="12056" width="11.85546875" style="485" customWidth="1"/>
    <col min="12057" max="12057" width="5.5703125" style="485" customWidth="1"/>
    <col min="12058" max="12058" width="4.7109375" style="485" customWidth="1"/>
    <col min="12059" max="12060" width="7.28515625" style="485" customWidth="1"/>
    <col min="12061" max="12061" width="8.42578125" style="485" customWidth="1"/>
    <col min="12062" max="12062" width="9.5703125" style="485" customWidth="1"/>
    <col min="12063" max="12063" width="6.28515625" style="485" customWidth="1"/>
    <col min="12064" max="12064" width="5.85546875" style="485" customWidth="1"/>
    <col min="12065" max="12066" width="4.42578125" style="485" customWidth="1"/>
    <col min="12067" max="12067" width="5" style="485" customWidth="1"/>
    <col min="12068" max="12068" width="5.85546875" style="485" customWidth="1"/>
    <col min="12069" max="12069" width="6.140625" style="485" customWidth="1"/>
    <col min="12070" max="12070" width="6.28515625" style="485" customWidth="1"/>
    <col min="12071" max="12071" width="4.85546875" style="485" customWidth="1"/>
    <col min="12072" max="12072" width="8.140625" style="485" customWidth="1"/>
    <col min="12073" max="12073" width="11.5703125" style="485" customWidth="1"/>
    <col min="12074" max="12074" width="13.7109375" style="485" customWidth="1"/>
    <col min="12075" max="12075" width="20.85546875" style="485" customWidth="1"/>
    <col min="12076" max="12288" width="11.42578125" style="485"/>
    <col min="12289" max="12289" width="13.140625" style="485" customWidth="1"/>
    <col min="12290" max="12290" width="4" style="485" customWidth="1"/>
    <col min="12291" max="12291" width="20.7109375" style="485" customWidth="1"/>
    <col min="12292" max="12292" width="14.7109375" style="485" customWidth="1"/>
    <col min="12293" max="12293" width="10" style="485" customWidth="1"/>
    <col min="12294" max="12294" width="6.28515625" style="485" customWidth="1"/>
    <col min="12295" max="12295" width="12.28515625" style="485" customWidth="1"/>
    <col min="12296" max="12296" width="8.5703125" style="485" customWidth="1"/>
    <col min="12297" max="12297" width="13.7109375" style="485" customWidth="1"/>
    <col min="12298" max="12298" width="11.5703125" style="485" customWidth="1"/>
    <col min="12299" max="12299" width="20" style="485" customWidth="1"/>
    <col min="12300" max="12300" width="17.42578125" style="485" customWidth="1"/>
    <col min="12301" max="12301" width="21.140625" style="485" customWidth="1"/>
    <col min="12302" max="12302" width="22.140625" style="485" customWidth="1"/>
    <col min="12303" max="12303" width="8" style="485" customWidth="1"/>
    <col min="12304" max="12304" width="17" style="485" customWidth="1"/>
    <col min="12305" max="12305" width="12.7109375" style="485" customWidth="1"/>
    <col min="12306" max="12306" width="19" style="485" customWidth="1"/>
    <col min="12307" max="12307" width="23.5703125" style="485" customWidth="1"/>
    <col min="12308" max="12308" width="31.5703125" style="485" customWidth="1"/>
    <col min="12309" max="12309" width="19" style="485" customWidth="1"/>
    <col min="12310" max="12310" width="23.28515625" style="485" customWidth="1"/>
    <col min="12311" max="12311" width="11.7109375" style="485" customWidth="1"/>
    <col min="12312" max="12312" width="11.85546875" style="485" customWidth="1"/>
    <col min="12313" max="12313" width="5.5703125" style="485" customWidth="1"/>
    <col min="12314" max="12314" width="4.7109375" style="485" customWidth="1"/>
    <col min="12315" max="12316" width="7.28515625" style="485" customWidth="1"/>
    <col min="12317" max="12317" width="8.42578125" style="485" customWidth="1"/>
    <col min="12318" max="12318" width="9.5703125" style="485" customWidth="1"/>
    <col min="12319" max="12319" width="6.28515625" style="485" customWidth="1"/>
    <col min="12320" max="12320" width="5.85546875" style="485" customWidth="1"/>
    <col min="12321" max="12322" width="4.42578125" style="485" customWidth="1"/>
    <col min="12323" max="12323" width="5" style="485" customWidth="1"/>
    <col min="12324" max="12324" width="5.85546875" style="485" customWidth="1"/>
    <col min="12325" max="12325" width="6.140625" style="485" customWidth="1"/>
    <col min="12326" max="12326" width="6.28515625" style="485" customWidth="1"/>
    <col min="12327" max="12327" width="4.85546875" style="485" customWidth="1"/>
    <col min="12328" max="12328" width="8.140625" style="485" customWidth="1"/>
    <col min="12329" max="12329" width="11.5703125" style="485" customWidth="1"/>
    <col min="12330" max="12330" width="13.7109375" style="485" customWidth="1"/>
    <col min="12331" max="12331" width="20.85546875" style="485" customWidth="1"/>
    <col min="12332" max="12544" width="11.42578125" style="485"/>
    <col min="12545" max="12545" width="13.140625" style="485" customWidth="1"/>
    <col min="12546" max="12546" width="4" style="485" customWidth="1"/>
    <col min="12547" max="12547" width="20.7109375" style="485" customWidth="1"/>
    <col min="12548" max="12548" width="14.7109375" style="485" customWidth="1"/>
    <col min="12549" max="12549" width="10" style="485" customWidth="1"/>
    <col min="12550" max="12550" width="6.28515625" style="485" customWidth="1"/>
    <col min="12551" max="12551" width="12.28515625" style="485" customWidth="1"/>
    <col min="12552" max="12552" width="8.5703125" style="485" customWidth="1"/>
    <col min="12553" max="12553" width="13.7109375" style="485" customWidth="1"/>
    <col min="12554" max="12554" width="11.5703125" style="485" customWidth="1"/>
    <col min="12555" max="12555" width="20" style="485" customWidth="1"/>
    <col min="12556" max="12556" width="17.42578125" style="485" customWidth="1"/>
    <col min="12557" max="12557" width="21.140625" style="485" customWidth="1"/>
    <col min="12558" max="12558" width="22.140625" style="485" customWidth="1"/>
    <col min="12559" max="12559" width="8" style="485" customWidth="1"/>
    <col min="12560" max="12560" width="17" style="485" customWidth="1"/>
    <col min="12561" max="12561" width="12.7109375" style="485" customWidth="1"/>
    <col min="12562" max="12562" width="19" style="485" customWidth="1"/>
    <col min="12563" max="12563" width="23.5703125" style="485" customWidth="1"/>
    <col min="12564" max="12564" width="31.5703125" style="485" customWidth="1"/>
    <col min="12565" max="12565" width="19" style="485" customWidth="1"/>
    <col min="12566" max="12566" width="23.28515625" style="485" customWidth="1"/>
    <col min="12567" max="12567" width="11.7109375" style="485" customWidth="1"/>
    <col min="12568" max="12568" width="11.85546875" style="485" customWidth="1"/>
    <col min="12569" max="12569" width="5.5703125" style="485" customWidth="1"/>
    <col min="12570" max="12570" width="4.7109375" style="485" customWidth="1"/>
    <col min="12571" max="12572" width="7.28515625" style="485" customWidth="1"/>
    <col min="12573" max="12573" width="8.42578125" style="485" customWidth="1"/>
    <col min="12574" max="12574" width="9.5703125" style="485" customWidth="1"/>
    <col min="12575" max="12575" width="6.28515625" style="485" customWidth="1"/>
    <col min="12576" max="12576" width="5.85546875" style="485" customWidth="1"/>
    <col min="12577" max="12578" width="4.42578125" style="485" customWidth="1"/>
    <col min="12579" max="12579" width="5" style="485" customWidth="1"/>
    <col min="12580" max="12580" width="5.85546875" style="485" customWidth="1"/>
    <col min="12581" max="12581" width="6.140625" style="485" customWidth="1"/>
    <col min="12582" max="12582" width="6.28515625" style="485" customWidth="1"/>
    <col min="12583" max="12583" width="4.85546875" style="485" customWidth="1"/>
    <col min="12584" max="12584" width="8.140625" style="485" customWidth="1"/>
    <col min="12585" max="12585" width="11.5703125" style="485" customWidth="1"/>
    <col min="12586" max="12586" width="13.7109375" style="485" customWidth="1"/>
    <col min="12587" max="12587" width="20.85546875" style="485" customWidth="1"/>
    <col min="12588" max="12800" width="11.42578125" style="485"/>
    <col min="12801" max="12801" width="13.140625" style="485" customWidth="1"/>
    <col min="12802" max="12802" width="4" style="485" customWidth="1"/>
    <col min="12803" max="12803" width="20.7109375" style="485" customWidth="1"/>
    <col min="12804" max="12804" width="14.7109375" style="485" customWidth="1"/>
    <col min="12805" max="12805" width="10" style="485" customWidth="1"/>
    <col min="12806" max="12806" width="6.28515625" style="485" customWidth="1"/>
    <col min="12807" max="12807" width="12.28515625" style="485" customWidth="1"/>
    <col min="12808" max="12808" width="8.5703125" style="485" customWidth="1"/>
    <col min="12809" max="12809" width="13.7109375" style="485" customWidth="1"/>
    <col min="12810" max="12810" width="11.5703125" style="485" customWidth="1"/>
    <col min="12811" max="12811" width="20" style="485" customWidth="1"/>
    <col min="12812" max="12812" width="17.42578125" style="485" customWidth="1"/>
    <col min="12813" max="12813" width="21.140625" style="485" customWidth="1"/>
    <col min="12814" max="12814" width="22.140625" style="485" customWidth="1"/>
    <col min="12815" max="12815" width="8" style="485" customWidth="1"/>
    <col min="12816" max="12816" width="17" style="485" customWidth="1"/>
    <col min="12817" max="12817" width="12.7109375" style="485" customWidth="1"/>
    <col min="12818" max="12818" width="19" style="485" customWidth="1"/>
    <col min="12819" max="12819" width="23.5703125" style="485" customWidth="1"/>
    <col min="12820" max="12820" width="31.5703125" style="485" customWidth="1"/>
    <col min="12821" max="12821" width="19" style="485" customWidth="1"/>
    <col min="12822" max="12822" width="23.28515625" style="485" customWidth="1"/>
    <col min="12823" max="12823" width="11.7109375" style="485" customWidth="1"/>
    <col min="12824" max="12824" width="11.85546875" style="485" customWidth="1"/>
    <col min="12825" max="12825" width="5.5703125" style="485" customWidth="1"/>
    <col min="12826" max="12826" width="4.7109375" style="485" customWidth="1"/>
    <col min="12827" max="12828" width="7.28515625" style="485" customWidth="1"/>
    <col min="12829" max="12829" width="8.42578125" style="485" customWidth="1"/>
    <col min="12830" max="12830" width="9.5703125" style="485" customWidth="1"/>
    <col min="12831" max="12831" width="6.28515625" style="485" customWidth="1"/>
    <col min="12832" max="12832" width="5.85546875" style="485" customWidth="1"/>
    <col min="12833" max="12834" width="4.42578125" style="485" customWidth="1"/>
    <col min="12835" max="12835" width="5" style="485" customWidth="1"/>
    <col min="12836" max="12836" width="5.85546875" style="485" customWidth="1"/>
    <col min="12837" max="12837" width="6.140625" style="485" customWidth="1"/>
    <col min="12838" max="12838" width="6.28515625" style="485" customWidth="1"/>
    <col min="12839" max="12839" width="4.85546875" style="485" customWidth="1"/>
    <col min="12840" max="12840" width="8.140625" style="485" customWidth="1"/>
    <col min="12841" max="12841" width="11.5703125" style="485" customWidth="1"/>
    <col min="12842" max="12842" width="13.7109375" style="485" customWidth="1"/>
    <col min="12843" max="12843" width="20.85546875" style="485" customWidth="1"/>
    <col min="12844" max="13056" width="11.42578125" style="485"/>
    <col min="13057" max="13057" width="13.140625" style="485" customWidth="1"/>
    <col min="13058" max="13058" width="4" style="485" customWidth="1"/>
    <col min="13059" max="13059" width="20.7109375" style="485" customWidth="1"/>
    <col min="13060" max="13060" width="14.7109375" style="485" customWidth="1"/>
    <col min="13061" max="13061" width="10" style="485" customWidth="1"/>
    <col min="13062" max="13062" width="6.28515625" style="485" customWidth="1"/>
    <col min="13063" max="13063" width="12.28515625" style="485" customWidth="1"/>
    <col min="13064" max="13064" width="8.5703125" style="485" customWidth="1"/>
    <col min="13065" max="13065" width="13.7109375" style="485" customWidth="1"/>
    <col min="13066" max="13066" width="11.5703125" style="485" customWidth="1"/>
    <col min="13067" max="13067" width="20" style="485" customWidth="1"/>
    <col min="13068" max="13068" width="17.42578125" style="485" customWidth="1"/>
    <col min="13069" max="13069" width="21.140625" style="485" customWidth="1"/>
    <col min="13070" max="13070" width="22.140625" style="485" customWidth="1"/>
    <col min="13071" max="13071" width="8" style="485" customWidth="1"/>
    <col min="13072" max="13072" width="17" style="485" customWidth="1"/>
    <col min="13073" max="13073" width="12.7109375" style="485" customWidth="1"/>
    <col min="13074" max="13074" width="19" style="485" customWidth="1"/>
    <col min="13075" max="13075" width="23.5703125" style="485" customWidth="1"/>
    <col min="13076" max="13076" width="31.5703125" style="485" customWidth="1"/>
    <col min="13077" max="13077" width="19" style="485" customWidth="1"/>
    <col min="13078" max="13078" width="23.28515625" style="485" customWidth="1"/>
    <col min="13079" max="13079" width="11.7109375" style="485" customWidth="1"/>
    <col min="13080" max="13080" width="11.85546875" style="485" customWidth="1"/>
    <col min="13081" max="13081" width="5.5703125" style="485" customWidth="1"/>
    <col min="13082" max="13082" width="4.7109375" style="485" customWidth="1"/>
    <col min="13083" max="13084" width="7.28515625" style="485" customWidth="1"/>
    <col min="13085" max="13085" width="8.42578125" style="485" customWidth="1"/>
    <col min="13086" max="13086" width="9.5703125" style="485" customWidth="1"/>
    <col min="13087" max="13087" width="6.28515625" style="485" customWidth="1"/>
    <col min="13088" max="13088" width="5.85546875" style="485" customWidth="1"/>
    <col min="13089" max="13090" width="4.42578125" style="485" customWidth="1"/>
    <col min="13091" max="13091" width="5" style="485" customWidth="1"/>
    <col min="13092" max="13092" width="5.85546875" style="485" customWidth="1"/>
    <col min="13093" max="13093" width="6.140625" style="485" customWidth="1"/>
    <col min="13094" max="13094" width="6.28515625" style="485" customWidth="1"/>
    <col min="13095" max="13095" width="4.85546875" style="485" customWidth="1"/>
    <col min="13096" max="13096" width="8.140625" style="485" customWidth="1"/>
    <col min="13097" max="13097" width="11.5703125" style="485" customWidth="1"/>
    <col min="13098" max="13098" width="13.7109375" style="485" customWidth="1"/>
    <col min="13099" max="13099" width="20.85546875" style="485" customWidth="1"/>
    <col min="13100" max="13312" width="11.42578125" style="485"/>
    <col min="13313" max="13313" width="13.140625" style="485" customWidth="1"/>
    <col min="13314" max="13314" width="4" style="485" customWidth="1"/>
    <col min="13315" max="13315" width="20.7109375" style="485" customWidth="1"/>
    <col min="13316" max="13316" width="14.7109375" style="485" customWidth="1"/>
    <col min="13317" max="13317" width="10" style="485" customWidth="1"/>
    <col min="13318" max="13318" width="6.28515625" style="485" customWidth="1"/>
    <col min="13319" max="13319" width="12.28515625" style="485" customWidth="1"/>
    <col min="13320" max="13320" width="8.5703125" style="485" customWidth="1"/>
    <col min="13321" max="13321" width="13.7109375" style="485" customWidth="1"/>
    <col min="13322" max="13322" width="11.5703125" style="485" customWidth="1"/>
    <col min="13323" max="13323" width="20" style="485" customWidth="1"/>
    <col min="13324" max="13324" width="17.42578125" style="485" customWidth="1"/>
    <col min="13325" max="13325" width="21.140625" style="485" customWidth="1"/>
    <col min="13326" max="13326" width="22.140625" style="485" customWidth="1"/>
    <col min="13327" max="13327" width="8" style="485" customWidth="1"/>
    <col min="13328" max="13328" width="17" style="485" customWidth="1"/>
    <col min="13329" max="13329" width="12.7109375" style="485" customWidth="1"/>
    <col min="13330" max="13330" width="19" style="485" customWidth="1"/>
    <col min="13331" max="13331" width="23.5703125" style="485" customWidth="1"/>
    <col min="13332" max="13332" width="31.5703125" style="485" customWidth="1"/>
    <col min="13333" max="13333" width="19" style="485" customWidth="1"/>
    <col min="13334" max="13334" width="23.28515625" style="485" customWidth="1"/>
    <col min="13335" max="13335" width="11.7109375" style="485" customWidth="1"/>
    <col min="13336" max="13336" width="11.85546875" style="485" customWidth="1"/>
    <col min="13337" max="13337" width="5.5703125" style="485" customWidth="1"/>
    <col min="13338" max="13338" width="4.7109375" style="485" customWidth="1"/>
    <col min="13339" max="13340" width="7.28515625" style="485" customWidth="1"/>
    <col min="13341" max="13341" width="8.42578125" style="485" customWidth="1"/>
    <col min="13342" max="13342" width="9.5703125" style="485" customWidth="1"/>
    <col min="13343" max="13343" width="6.28515625" style="485" customWidth="1"/>
    <col min="13344" max="13344" width="5.85546875" style="485" customWidth="1"/>
    <col min="13345" max="13346" width="4.42578125" style="485" customWidth="1"/>
    <col min="13347" max="13347" width="5" style="485" customWidth="1"/>
    <col min="13348" max="13348" width="5.85546875" style="485" customWidth="1"/>
    <col min="13349" max="13349" width="6.140625" style="485" customWidth="1"/>
    <col min="13350" max="13350" width="6.28515625" style="485" customWidth="1"/>
    <col min="13351" max="13351" width="4.85546875" style="485" customWidth="1"/>
    <col min="13352" max="13352" width="8.140625" style="485" customWidth="1"/>
    <col min="13353" max="13353" width="11.5703125" style="485" customWidth="1"/>
    <col min="13354" max="13354" width="13.7109375" style="485" customWidth="1"/>
    <col min="13355" max="13355" width="20.85546875" style="485" customWidth="1"/>
    <col min="13356" max="13568" width="11.42578125" style="485"/>
    <col min="13569" max="13569" width="13.140625" style="485" customWidth="1"/>
    <col min="13570" max="13570" width="4" style="485" customWidth="1"/>
    <col min="13571" max="13571" width="20.7109375" style="485" customWidth="1"/>
    <col min="13572" max="13572" width="14.7109375" style="485" customWidth="1"/>
    <col min="13573" max="13573" width="10" style="485" customWidth="1"/>
    <col min="13574" max="13574" width="6.28515625" style="485" customWidth="1"/>
    <col min="13575" max="13575" width="12.28515625" style="485" customWidth="1"/>
    <col min="13576" max="13576" width="8.5703125" style="485" customWidth="1"/>
    <col min="13577" max="13577" width="13.7109375" style="485" customWidth="1"/>
    <col min="13578" max="13578" width="11.5703125" style="485" customWidth="1"/>
    <col min="13579" max="13579" width="20" style="485" customWidth="1"/>
    <col min="13580" max="13580" width="17.42578125" style="485" customWidth="1"/>
    <col min="13581" max="13581" width="21.140625" style="485" customWidth="1"/>
    <col min="13582" max="13582" width="22.140625" style="485" customWidth="1"/>
    <col min="13583" max="13583" width="8" style="485" customWidth="1"/>
    <col min="13584" max="13584" width="17" style="485" customWidth="1"/>
    <col min="13585" max="13585" width="12.7109375" style="485" customWidth="1"/>
    <col min="13586" max="13586" width="19" style="485" customWidth="1"/>
    <col min="13587" max="13587" width="23.5703125" style="485" customWidth="1"/>
    <col min="13588" max="13588" width="31.5703125" style="485" customWidth="1"/>
    <col min="13589" max="13589" width="19" style="485" customWidth="1"/>
    <col min="13590" max="13590" width="23.28515625" style="485" customWidth="1"/>
    <col min="13591" max="13591" width="11.7109375" style="485" customWidth="1"/>
    <col min="13592" max="13592" width="11.85546875" style="485" customWidth="1"/>
    <col min="13593" max="13593" width="5.5703125" style="485" customWidth="1"/>
    <col min="13594" max="13594" width="4.7109375" style="485" customWidth="1"/>
    <col min="13595" max="13596" width="7.28515625" style="485" customWidth="1"/>
    <col min="13597" max="13597" width="8.42578125" style="485" customWidth="1"/>
    <col min="13598" max="13598" width="9.5703125" style="485" customWidth="1"/>
    <col min="13599" max="13599" width="6.28515625" style="485" customWidth="1"/>
    <col min="13600" max="13600" width="5.85546875" style="485" customWidth="1"/>
    <col min="13601" max="13602" width="4.42578125" style="485" customWidth="1"/>
    <col min="13603" max="13603" width="5" style="485" customWidth="1"/>
    <col min="13604" max="13604" width="5.85546875" style="485" customWidth="1"/>
    <col min="13605" max="13605" width="6.140625" style="485" customWidth="1"/>
    <col min="13606" max="13606" width="6.28515625" style="485" customWidth="1"/>
    <col min="13607" max="13607" width="4.85546875" style="485" customWidth="1"/>
    <col min="13608" max="13608" width="8.140625" style="485" customWidth="1"/>
    <col min="13609" max="13609" width="11.5703125" style="485" customWidth="1"/>
    <col min="13610" max="13610" width="13.7109375" style="485" customWidth="1"/>
    <col min="13611" max="13611" width="20.85546875" style="485" customWidth="1"/>
    <col min="13612" max="13824" width="11.42578125" style="485"/>
    <col min="13825" max="13825" width="13.140625" style="485" customWidth="1"/>
    <col min="13826" max="13826" width="4" style="485" customWidth="1"/>
    <col min="13827" max="13827" width="20.7109375" style="485" customWidth="1"/>
    <col min="13828" max="13828" width="14.7109375" style="485" customWidth="1"/>
    <col min="13829" max="13829" width="10" style="485" customWidth="1"/>
    <col min="13830" max="13830" width="6.28515625" style="485" customWidth="1"/>
    <col min="13831" max="13831" width="12.28515625" style="485" customWidth="1"/>
    <col min="13832" max="13832" width="8.5703125" style="485" customWidth="1"/>
    <col min="13833" max="13833" width="13.7109375" style="485" customWidth="1"/>
    <col min="13834" max="13834" width="11.5703125" style="485" customWidth="1"/>
    <col min="13835" max="13835" width="20" style="485" customWidth="1"/>
    <col min="13836" max="13836" width="17.42578125" style="485" customWidth="1"/>
    <col min="13837" max="13837" width="21.140625" style="485" customWidth="1"/>
    <col min="13838" max="13838" width="22.140625" style="485" customWidth="1"/>
    <col min="13839" max="13839" width="8" style="485" customWidth="1"/>
    <col min="13840" max="13840" width="17" style="485" customWidth="1"/>
    <col min="13841" max="13841" width="12.7109375" style="485" customWidth="1"/>
    <col min="13842" max="13842" width="19" style="485" customWidth="1"/>
    <col min="13843" max="13843" width="23.5703125" style="485" customWidth="1"/>
    <col min="13844" max="13844" width="31.5703125" style="485" customWidth="1"/>
    <col min="13845" max="13845" width="19" style="485" customWidth="1"/>
    <col min="13846" max="13846" width="23.28515625" style="485" customWidth="1"/>
    <col min="13847" max="13847" width="11.7109375" style="485" customWidth="1"/>
    <col min="13848" max="13848" width="11.85546875" style="485" customWidth="1"/>
    <col min="13849" max="13849" width="5.5703125" style="485" customWidth="1"/>
    <col min="13850" max="13850" width="4.7109375" style="485" customWidth="1"/>
    <col min="13851" max="13852" width="7.28515625" style="485" customWidth="1"/>
    <col min="13853" max="13853" width="8.42578125" style="485" customWidth="1"/>
    <col min="13854" max="13854" width="9.5703125" style="485" customWidth="1"/>
    <col min="13855" max="13855" width="6.28515625" style="485" customWidth="1"/>
    <col min="13856" max="13856" width="5.85546875" style="485" customWidth="1"/>
    <col min="13857" max="13858" width="4.42578125" style="485" customWidth="1"/>
    <col min="13859" max="13859" width="5" style="485" customWidth="1"/>
    <col min="13860" max="13860" width="5.85546875" style="485" customWidth="1"/>
    <col min="13861" max="13861" width="6.140625" style="485" customWidth="1"/>
    <col min="13862" max="13862" width="6.28515625" style="485" customWidth="1"/>
    <col min="13863" max="13863" width="4.85546875" style="485" customWidth="1"/>
    <col min="13864" max="13864" width="8.140625" style="485" customWidth="1"/>
    <col min="13865" max="13865" width="11.5703125" style="485" customWidth="1"/>
    <col min="13866" max="13866" width="13.7109375" style="485" customWidth="1"/>
    <col min="13867" max="13867" width="20.85546875" style="485" customWidth="1"/>
    <col min="13868" max="14080" width="11.42578125" style="485"/>
    <col min="14081" max="14081" width="13.140625" style="485" customWidth="1"/>
    <col min="14082" max="14082" width="4" style="485" customWidth="1"/>
    <col min="14083" max="14083" width="20.7109375" style="485" customWidth="1"/>
    <col min="14084" max="14084" width="14.7109375" style="485" customWidth="1"/>
    <col min="14085" max="14085" width="10" style="485" customWidth="1"/>
    <col min="14086" max="14086" width="6.28515625" style="485" customWidth="1"/>
    <col min="14087" max="14087" width="12.28515625" style="485" customWidth="1"/>
    <col min="14088" max="14088" width="8.5703125" style="485" customWidth="1"/>
    <col min="14089" max="14089" width="13.7109375" style="485" customWidth="1"/>
    <col min="14090" max="14090" width="11.5703125" style="485" customWidth="1"/>
    <col min="14091" max="14091" width="20" style="485" customWidth="1"/>
    <col min="14092" max="14092" width="17.42578125" style="485" customWidth="1"/>
    <col min="14093" max="14093" width="21.140625" style="485" customWidth="1"/>
    <col min="14094" max="14094" width="22.140625" style="485" customWidth="1"/>
    <col min="14095" max="14095" width="8" style="485" customWidth="1"/>
    <col min="14096" max="14096" width="17" style="485" customWidth="1"/>
    <col min="14097" max="14097" width="12.7109375" style="485" customWidth="1"/>
    <col min="14098" max="14098" width="19" style="485" customWidth="1"/>
    <col min="14099" max="14099" width="23.5703125" style="485" customWidth="1"/>
    <col min="14100" max="14100" width="31.5703125" style="485" customWidth="1"/>
    <col min="14101" max="14101" width="19" style="485" customWidth="1"/>
    <col min="14102" max="14102" width="23.28515625" style="485" customWidth="1"/>
    <col min="14103" max="14103" width="11.7109375" style="485" customWidth="1"/>
    <col min="14104" max="14104" width="11.85546875" style="485" customWidth="1"/>
    <col min="14105" max="14105" width="5.5703125" style="485" customWidth="1"/>
    <col min="14106" max="14106" width="4.7109375" style="485" customWidth="1"/>
    <col min="14107" max="14108" width="7.28515625" style="485" customWidth="1"/>
    <col min="14109" max="14109" width="8.42578125" style="485" customWidth="1"/>
    <col min="14110" max="14110" width="9.5703125" style="485" customWidth="1"/>
    <col min="14111" max="14111" width="6.28515625" style="485" customWidth="1"/>
    <col min="14112" max="14112" width="5.85546875" style="485" customWidth="1"/>
    <col min="14113" max="14114" width="4.42578125" style="485" customWidth="1"/>
    <col min="14115" max="14115" width="5" style="485" customWidth="1"/>
    <col min="14116" max="14116" width="5.85546875" style="485" customWidth="1"/>
    <col min="14117" max="14117" width="6.140625" style="485" customWidth="1"/>
    <col min="14118" max="14118" width="6.28515625" style="485" customWidth="1"/>
    <col min="14119" max="14119" width="4.85546875" style="485" customWidth="1"/>
    <col min="14120" max="14120" width="8.140625" style="485" customWidth="1"/>
    <col min="14121" max="14121" width="11.5703125" style="485" customWidth="1"/>
    <col min="14122" max="14122" width="13.7109375" style="485" customWidth="1"/>
    <col min="14123" max="14123" width="20.85546875" style="485" customWidth="1"/>
    <col min="14124" max="14336" width="11.42578125" style="485"/>
    <col min="14337" max="14337" width="13.140625" style="485" customWidth="1"/>
    <col min="14338" max="14338" width="4" style="485" customWidth="1"/>
    <col min="14339" max="14339" width="20.7109375" style="485" customWidth="1"/>
    <col min="14340" max="14340" width="14.7109375" style="485" customWidth="1"/>
    <col min="14341" max="14341" width="10" style="485" customWidth="1"/>
    <col min="14342" max="14342" width="6.28515625" style="485" customWidth="1"/>
    <col min="14343" max="14343" width="12.28515625" style="485" customWidth="1"/>
    <col min="14344" max="14344" width="8.5703125" style="485" customWidth="1"/>
    <col min="14345" max="14345" width="13.7109375" style="485" customWidth="1"/>
    <col min="14346" max="14346" width="11.5703125" style="485" customWidth="1"/>
    <col min="14347" max="14347" width="20" style="485" customWidth="1"/>
    <col min="14348" max="14348" width="17.42578125" style="485" customWidth="1"/>
    <col min="14349" max="14349" width="21.140625" style="485" customWidth="1"/>
    <col min="14350" max="14350" width="22.140625" style="485" customWidth="1"/>
    <col min="14351" max="14351" width="8" style="485" customWidth="1"/>
    <col min="14352" max="14352" width="17" style="485" customWidth="1"/>
    <col min="14353" max="14353" width="12.7109375" style="485" customWidth="1"/>
    <col min="14354" max="14354" width="19" style="485" customWidth="1"/>
    <col min="14355" max="14355" width="23.5703125" style="485" customWidth="1"/>
    <col min="14356" max="14356" width="31.5703125" style="485" customWidth="1"/>
    <col min="14357" max="14357" width="19" style="485" customWidth="1"/>
    <col min="14358" max="14358" width="23.28515625" style="485" customWidth="1"/>
    <col min="14359" max="14359" width="11.7109375" style="485" customWidth="1"/>
    <col min="14360" max="14360" width="11.85546875" style="485" customWidth="1"/>
    <col min="14361" max="14361" width="5.5703125" style="485" customWidth="1"/>
    <col min="14362" max="14362" width="4.7109375" style="485" customWidth="1"/>
    <col min="14363" max="14364" width="7.28515625" style="485" customWidth="1"/>
    <col min="14365" max="14365" width="8.42578125" style="485" customWidth="1"/>
    <col min="14366" max="14366" width="9.5703125" style="485" customWidth="1"/>
    <col min="14367" max="14367" width="6.28515625" style="485" customWidth="1"/>
    <col min="14368" max="14368" width="5.85546875" style="485" customWidth="1"/>
    <col min="14369" max="14370" width="4.42578125" style="485" customWidth="1"/>
    <col min="14371" max="14371" width="5" style="485" customWidth="1"/>
    <col min="14372" max="14372" width="5.85546875" style="485" customWidth="1"/>
    <col min="14373" max="14373" width="6.140625" style="485" customWidth="1"/>
    <col min="14374" max="14374" width="6.28515625" style="485" customWidth="1"/>
    <col min="14375" max="14375" width="4.85546875" style="485" customWidth="1"/>
    <col min="14376" max="14376" width="8.140625" style="485" customWidth="1"/>
    <col min="14377" max="14377" width="11.5703125" style="485" customWidth="1"/>
    <col min="14378" max="14378" width="13.7109375" style="485" customWidth="1"/>
    <col min="14379" max="14379" width="20.85546875" style="485" customWidth="1"/>
    <col min="14380" max="14592" width="11.42578125" style="485"/>
    <col min="14593" max="14593" width="13.140625" style="485" customWidth="1"/>
    <col min="14594" max="14594" width="4" style="485" customWidth="1"/>
    <col min="14595" max="14595" width="20.7109375" style="485" customWidth="1"/>
    <col min="14596" max="14596" width="14.7109375" style="485" customWidth="1"/>
    <col min="14597" max="14597" width="10" style="485" customWidth="1"/>
    <col min="14598" max="14598" width="6.28515625" style="485" customWidth="1"/>
    <col min="14599" max="14599" width="12.28515625" style="485" customWidth="1"/>
    <col min="14600" max="14600" width="8.5703125" style="485" customWidth="1"/>
    <col min="14601" max="14601" width="13.7109375" style="485" customWidth="1"/>
    <col min="14602" max="14602" width="11.5703125" style="485" customWidth="1"/>
    <col min="14603" max="14603" width="20" style="485" customWidth="1"/>
    <col min="14604" max="14604" width="17.42578125" style="485" customWidth="1"/>
    <col min="14605" max="14605" width="21.140625" style="485" customWidth="1"/>
    <col min="14606" max="14606" width="22.140625" style="485" customWidth="1"/>
    <col min="14607" max="14607" width="8" style="485" customWidth="1"/>
    <col min="14608" max="14608" width="17" style="485" customWidth="1"/>
    <col min="14609" max="14609" width="12.7109375" style="485" customWidth="1"/>
    <col min="14610" max="14610" width="19" style="485" customWidth="1"/>
    <col min="14611" max="14611" width="23.5703125" style="485" customWidth="1"/>
    <col min="14612" max="14612" width="31.5703125" style="485" customWidth="1"/>
    <col min="14613" max="14613" width="19" style="485" customWidth="1"/>
    <col min="14614" max="14614" width="23.28515625" style="485" customWidth="1"/>
    <col min="14615" max="14615" width="11.7109375" style="485" customWidth="1"/>
    <col min="14616" max="14616" width="11.85546875" style="485" customWidth="1"/>
    <col min="14617" max="14617" width="5.5703125" style="485" customWidth="1"/>
    <col min="14618" max="14618" width="4.7109375" style="485" customWidth="1"/>
    <col min="14619" max="14620" width="7.28515625" style="485" customWidth="1"/>
    <col min="14621" max="14621" width="8.42578125" style="485" customWidth="1"/>
    <col min="14622" max="14622" width="9.5703125" style="485" customWidth="1"/>
    <col min="14623" max="14623" width="6.28515625" style="485" customWidth="1"/>
    <col min="14624" max="14624" width="5.85546875" style="485" customWidth="1"/>
    <col min="14625" max="14626" width="4.42578125" style="485" customWidth="1"/>
    <col min="14627" max="14627" width="5" style="485" customWidth="1"/>
    <col min="14628" max="14628" width="5.85546875" style="485" customWidth="1"/>
    <col min="14629" max="14629" width="6.140625" style="485" customWidth="1"/>
    <col min="14630" max="14630" width="6.28515625" style="485" customWidth="1"/>
    <col min="14631" max="14631" width="4.85546875" style="485" customWidth="1"/>
    <col min="14632" max="14632" width="8.140625" style="485" customWidth="1"/>
    <col min="14633" max="14633" width="11.5703125" style="485" customWidth="1"/>
    <col min="14634" max="14634" width="13.7109375" style="485" customWidth="1"/>
    <col min="14635" max="14635" width="20.85546875" style="485" customWidth="1"/>
    <col min="14636" max="14848" width="11.42578125" style="485"/>
    <col min="14849" max="14849" width="13.140625" style="485" customWidth="1"/>
    <col min="14850" max="14850" width="4" style="485" customWidth="1"/>
    <col min="14851" max="14851" width="20.7109375" style="485" customWidth="1"/>
    <col min="14852" max="14852" width="14.7109375" style="485" customWidth="1"/>
    <col min="14853" max="14853" width="10" style="485" customWidth="1"/>
    <col min="14854" max="14854" width="6.28515625" style="485" customWidth="1"/>
    <col min="14855" max="14855" width="12.28515625" style="485" customWidth="1"/>
    <col min="14856" max="14856" width="8.5703125" style="485" customWidth="1"/>
    <col min="14857" max="14857" width="13.7109375" style="485" customWidth="1"/>
    <col min="14858" max="14858" width="11.5703125" style="485" customWidth="1"/>
    <col min="14859" max="14859" width="20" style="485" customWidth="1"/>
    <col min="14860" max="14860" width="17.42578125" style="485" customWidth="1"/>
    <col min="14861" max="14861" width="21.140625" style="485" customWidth="1"/>
    <col min="14862" max="14862" width="22.140625" style="485" customWidth="1"/>
    <col min="14863" max="14863" width="8" style="485" customWidth="1"/>
    <col min="14864" max="14864" width="17" style="485" customWidth="1"/>
    <col min="14865" max="14865" width="12.7109375" style="485" customWidth="1"/>
    <col min="14866" max="14866" width="19" style="485" customWidth="1"/>
    <col min="14867" max="14867" width="23.5703125" style="485" customWidth="1"/>
    <col min="14868" max="14868" width="31.5703125" style="485" customWidth="1"/>
    <col min="14869" max="14869" width="19" style="485" customWidth="1"/>
    <col min="14870" max="14870" width="23.28515625" style="485" customWidth="1"/>
    <col min="14871" max="14871" width="11.7109375" style="485" customWidth="1"/>
    <col min="14872" max="14872" width="11.85546875" style="485" customWidth="1"/>
    <col min="14873" max="14873" width="5.5703125" style="485" customWidth="1"/>
    <col min="14874" max="14874" width="4.7109375" style="485" customWidth="1"/>
    <col min="14875" max="14876" width="7.28515625" style="485" customWidth="1"/>
    <col min="14877" max="14877" width="8.42578125" style="485" customWidth="1"/>
    <col min="14878" max="14878" width="9.5703125" style="485" customWidth="1"/>
    <col min="14879" max="14879" width="6.28515625" style="485" customWidth="1"/>
    <col min="14880" max="14880" width="5.85546875" style="485" customWidth="1"/>
    <col min="14881" max="14882" width="4.42578125" style="485" customWidth="1"/>
    <col min="14883" max="14883" width="5" style="485" customWidth="1"/>
    <col min="14884" max="14884" width="5.85546875" style="485" customWidth="1"/>
    <col min="14885" max="14885" width="6.140625" style="485" customWidth="1"/>
    <col min="14886" max="14886" width="6.28515625" style="485" customWidth="1"/>
    <col min="14887" max="14887" width="4.85546875" style="485" customWidth="1"/>
    <col min="14888" max="14888" width="8.140625" style="485" customWidth="1"/>
    <col min="14889" max="14889" width="11.5703125" style="485" customWidth="1"/>
    <col min="14890" max="14890" width="13.7109375" style="485" customWidth="1"/>
    <col min="14891" max="14891" width="20.85546875" style="485" customWidth="1"/>
    <col min="14892" max="15104" width="11.42578125" style="485"/>
    <col min="15105" max="15105" width="13.140625" style="485" customWidth="1"/>
    <col min="15106" max="15106" width="4" style="485" customWidth="1"/>
    <col min="15107" max="15107" width="20.7109375" style="485" customWidth="1"/>
    <col min="15108" max="15108" width="14.7109375" style="485" customWidth="1"/>
    <col min="15109" max="15109" width="10" style="485" customWidth="1"/>
    <col min="15110" max="15110" width="6.28515625" style="485" customWidth="1"/>
    <col min="15111" max="15111" width="12.28515625" style="485" customWidth="1"/>
    <col min="15112" max="15112" width="8.5703125" style="485" customWidth="1"/>
    <col min="15113" max="15113" width="13.7109375" style="485" customWidth="1"/>
    <col min="15114" max="15114" width="11.5703125" style="485" customWidth="1"/>
    <col min="15115" max="15115" width="20" style="485" customWidth="1"/>
    <col min="15116" max="15116" width="17.42578125" style="485" customWidth="1"/>
    <col min="15117" max="15117" width="21.140625" style="485" customWidth="1"/>
    <col min="15118" max="15118" width="22.140625" style="485" customWidth="1"/>
    <col min="15119" max="15119" width="8" style="485" customWidth="1"/>
    <col min="15120" max="15120" width="17" style="485" customWidth="1"/>
    <col min="15121" max="15121" width="12.7109375" style="485" customWidth="1"/>
    <col min="15122" max="15122" width="19" style="485" customWidth="1"/>
    <col min="15123" max="15123" width="23.5703125" style="485" customWidth="1"/>
    <col min="15124" max="15124" width="31.5703125" style="485" customWidth="1"/>
    <col min="15125" max="15125" width="19" style="485" customWidth="1"/>
    <col min="15126" max="15126" width="23.28515625" style="485" customWidth="1"/>
    <col min="15127" max="15127" width="11.7109375" style="485" customWidth="1"/>
    <col min="15128" max="15128" width="11.85546875" style="485" customWidth="1"/>
    <col min="15129" max="15129" width="5.5703125" style="485" customWidth="1"/>
    <col min="15130" max="15130" width="4.7109375" style="485" customWidth="1"/>
    <col min="15131" max="15132" width="7.28515625" style="485" customWidth="1"/>
    <col min="15133" max="15133" width="8.42578125" style="485" customWidth="1"/>
    <col min="15134" max="15134" width="9.5703125" style="485" customWidth="1"/>
    <col min="15135" max="15135" width="6.28515625" style="485" customWidth="1"/>
    <col min="15136" max="15136" width="5.85546875" style="485" customWidth="1"/>
    <col min="15137" max="15138" width="4.42578125" style="485" customWidth="1"/>
    <col min="15139" max="15139" width="5" style="485" customWidth="1"/>
    <col min="15140" max="15140" width="5.85546875" style="485" customWidth="1"/>
    <col min="15141" max="15141" width="6.140625" style="485" customWidth="1"/>
    <col min="15142" max="15142" width="6.28515625" style="485" customWidth="1"/>
    <col min="15143" max="15143" width="4.85546875" style="485" customWidth="1"/>
    <col min="15144" max="15144" width="8.140625" style="485" customWidth="1"/>
    <col min="15145" max="15145" width="11.5703125" style="485" customWidth="1"/>
    <col min="15146" max="15146" width="13.7109375" style="485" customWidth="1"/>
    <col min="15147" max="15147" width="20.85546875" style="485" customWidth="1"/>
    <col min="15148" max="15360" width="11.42578125" style="485"/>
    <col min="15361" max="15361" width="13.140625" style="485" customWidth="1"/>
    <col min="15362" max="15362" width="4" style="485" customWidth="1"/>
    <col min="15363" max="15363" width="20.7109375" style="485" customWidth="1"/>
    <col min="15364" max="15364" width="14.7109375" style="485" customWidth="1"/>
    <col min="15365" max="15365" width="10" style="485" customWidth="1"/>
    <col min="15366" max="15366" width="6.28515625" style="485" customWidth="1"/>
    <col min="15367" max="15367" width="12.28515625" style="485" customWidth="1"/>
    <col min="15368" max="15368" width="8.5703125" style="485" customWidth="1"/>
    <col min="15369" max="15369" width="13.7109375" style="485" customWidth="1"/>
    <col min="15370" max="15370" width="11.5703125" style="485" customWidth="1"/>
    <col min="15371" max="15371" width="20" style="485" customWidth="1"/>
    <col min="15372" max="15372" width="17.42578125" style="485" customWidth="1"/>
    <col min="15373" max="15373" width="21.140625" style="485" customWidth="1"/>
    <col min="15374" max="15374" width="22.140625" style="485" customWidth="1"/>
    <col min="15375" max="15375" width="8" style="485" customWidth="1"/>
    <col min="15376" max="15376" width="17" style="485" customWidth="1"/>
    <col min="15377" max="15377" width="12.7109375" style="485" customWidth="1"/>
    <col min="15378" max="15378" width="19" style="485" customWidth="1"/>
    <col min="15379" max="15379" width="23.5703125" style="485" customWidth="1"/>
    <col min="15380" max="15380" width="31.5703125" style="485" customWidth="1"/>
    <col min="15381" max="15381" width="19" style="485" customWidth="1"/>
    <col min="15382" max="15382" width="23.28515625" style="485" customWidth="1"/>
    <col min="15383" max="15383" width="11.7109375" style="485" customWidth="1"/>
    <col min="15384" max="15384" width="11.85546875" style="485" customWidth="1"/>
    <col min="15385" max="15385" width="5.5703125" style="485" customWidth="1"/>
    <col min="15386" max="15386" width="4.7109375" style="485" customWidth="1"/>
    <col min="15387" max="15388" width="7.28515625" style="485" customWidth="1"/>
    <col min="15389" max="15389" width="8.42578125" style="485" customWidth="1"/>
    <col min="15390" max="15390" width="9.5703125" style="485" customWidth="1"/>
    <col min="15391" max="15391" width="6.28515625" style="485" customWidth="1"/>
    <col min="15392" max="15392" width="5.85546875" style="485" customWidth="1"/>
    <col min="15393" max="15394" width="4.42578125" style="485" customWidth="1"/>
    <col min="15395" max="15395" width="5" style="485" customWidth="1"/>
    <col min="15396" max="15396" width="5.85546875" style="485" customWidth="1"/>
    <col min="15397" max="15397" width="6.140625" style="485" customWidth="1"/>
    <col min="15398" max="15398" width="6.28515625" style="485" customWidth="1"/>
    <col min="15399" max="15399" width="4.85546875" style="485" customWidth="1"/>
    <col min="15400" max="15400" width="8.140625" style="485" customWidth="1"/>
    <col min="15401" max="15401" width="11.5703125" style="485" customWidth="1"/>
    <col min="15402" max="15402" width="13.7109375" style="485" customWidth="1"/>
    <col min="15403" max="15403" width="20.85546875" style="485" customWidth="1"/>
    <col min="15404" max="15616" width="11.42578125" style="485"/>
    <col min="15617" max="15617" width="13.140625" style="485" customWidth="1"/>
    <col min="15618" max="15618" width="4" style="485" customWidth="1"/>
    <col min="15619" max="15619" width="20.7109375" style="485" customWidth="1"/>
    <col min="15620" max="15620" width="14.7109375" style="485" customWidth="1"/>
    <col min="15621" max="15621" width="10" style="485" customWidth="1"/>
    <col min="15622" max="15622" width="6.28515625" style="485" customWidth="1"/>
    <col min="15623" max="15623" width="12.28515625" style="485" customWidth="1"/>
    <col min="15624" max="15624" width="8.5703125" style="485" customWidth="1"/>
    <col min="15625" max="15625" width="13.7109375" style="485" customWidth="1"/>
    <col min="15626" max="15626" width="11.5703125" style="485" customWidth="1"/>
    <col min="15627" max="15627" width="20" style="485" customWidth="1"/>
    <col min="15628" max="15628" width="17.42578125" style="485" customWidth="1"/>
    <col min="15629" max="15629" width="21.140625" style="485" customWidth="1"/>
    <col min="15630" max="15630" width="22.140625" style="485" customWidth="1"/>
    <col min="15631" max="15631" width="8" style="485" customWidth="1"/>
    <col min="15632" max="15632" width="17" style="485" customWidth="1"/>
    <col min="15633" max="15633" width="12.7109375" style="485" customWidth="1"/>
    <col min="15634" max="15634" width="19" style="485" customWidth="1"/>
    <col min="15635" max="15635" width="23.5703125" style="485" customWidth="1"/>
    <col min="15636" max="15636" width="31.5703125" style="485" customWidth="1"/>
    <col min="15637" max="15637" width="19" style="485" customWidth="1"/>
    <col min="15638" max="15638" width="23.28515625" style="485" customWidth="1"/>
    <col min="15639" max="15639" width="11.7109375" style="485" customWidth="1"/>
    <col min="15640" max="15640" width="11.85546875" style="485" customWidth="1"/>
    <col min="15641" max="15641" width="5.5703125" style="485" customWidth="1"/>
    <col min="15642" max="15642" width="4.7109375" style="485" customWidth="1"/>
    <col min="15643" max="15644" width="7.28515625" style="485" customWidth="1"/>
    <col min="15645" max="15645" width="8.42578125" style="485" customWidth="1"/>
    <col min="15646" max="15646" width="9.5703125" style="485" customWidth="1"/>
    <col min="15647" max="15647" width="6.28515625" style="485" customWidth="1"/>
    <col min="15648" max="15648" width="5.85546875" style="485" customWidth="1"/>
    <col min="15649" max="15650" width="4.42578125" style="485" customWidth="1"/>
    <col min="15651" max="15651" width="5" style="485" customWidth="1"/>
    <col min="15652" max="15652" width="5.85546875" style="485" customWidth="1"/>
    <col min="15653" max="15653" width="6.140625" style="485" customWidth="1"/>
    <col min="15654" max="15654" width="6.28515625" style="485" customWidth="1"/>
    <col min="15655" max="15655" width="4.85546875" style="485" customWidth="1"/>
    <col min="15656" max="15656" width="8.140625" style="485" customWidth="1"/>
    <col min="15657" max="15657" width="11.5703125" style="485" customWidth="1"/>
    <col min="15658" max="15658" width="13.7109375" style="485" customWidth="1"/>
    <col min="15659" max="15659" width="20.85546875" style="485" customWidth="1"/>
    <col min="15660" max="15872" width="11.42578125" style="485"/>
    <col min="15873" max="15873" width="13.140625" style="485" customWidth="1"/>
    <col min="15874" max="15874" width="4" style="485" customWidth="1"/>
    <col min="15875" max="15875" width="20.7109375" style="485" customWidth="1"/>
    <col min="15876" max="15876" width="14.7109375" style="485" customWidth="1"/>
    <col min="15877" max="15877" width="10" style="485" customWidth="1"/>
    <col min="15878" max="15878" width="6.28515625" style="485" customWidth="1"/>
    <col min="15879" max="15879" width="12.28515625" style="485" customWidth="1"/>
    <col min="15880" max="15880" width="8.5703125" style="485" customWidth="1"/>
    <col min="15881" max="15881" width="13.7109375" style="485" customWidth="1"/>
    <col min="15882" max="15882" width="11.5703125" style="485" customWidth="1"/>
    <col min="15883" max="15883" width="20" style="485" customWidth="1"/>
    <col min="15884" max="15884" width="17.42578125" style="485" customWidth="1"/>
    <col min="15885" max="15885" width="21.140625" style="485" customWidth="1"/>
    <col min="15886" max="15886" width="22.140625" style="485" customWidth="1"/>
    <col min="15887" max="15887" width="8" style="485" customWidth="1"/>
    <col min="15888" max="15888" width="17" style="485" customWidth="1"/>
    <col min="15889" max="15889" width="12.7109375" style="485" customWidth="1"/>
    <col min="15890" max="15890" width="19" style="485" customWidth="1"/>
    <col min="15891" max="15891" width="23.5703125" style="485" customWidth="1"/>
    <col min="15892" max="15892" width="31.5703125" style="485" customWidth="1"/>
    <col min="15893" max="15893" width="19" style="485" customWidth="1"/>
    <col min="15894" max="15894" width="23.28515625" style="485" customWidth="1"/>
    <col min="15895" max="15895" width="11.7109375" style="485" customWidth="1"/>
    <col min="15896" max="15896" width="11.85546875" style="485" customWidth="1"/>
    <col min="15897" max="15897" width="5.5703125" style="485" customWidth="1"/>
    <col min="15898" max="15898" width="4.7109375" style="485" customWidth="1"/>
    <col min="15899" max="15900" width="7.28515625" style="485" customWidth="1"/>
    <col min="15901" max="15901" width="8.42578125" style="485" customWidth="1"/>
    <col min="15902" max="15902" width="9.5703125" style="485" customWidth="1"/>
    <col min="15903" max="15903" width="6.28515625" style="485" customWidth="1"/>
    <col min="15904" max="15904" width="5.85546875" style="485" customWidth="1"/>
    <col min="15905" max="15906" width="4.42578125" style="485" customWidth="1"/>
    <col min="15907" max="15907" width="5" style="485" customWidth="1"/>
    <col min="15908" max="15908" width="5.85546875" style="485" customWidth="1"/>
    <col min="15909" max="15909" width="6.140625" style="485" customWidth="1"/>
    <col min="15910" max="15910" width="6.28515625" style="485" customWidth="1"/>
    <col min="15911" max="15911" width="4.85546875" style="485" customWidth="1"/>
    <col min="15912" max="15912" width="8.140625" style="485" customWidth="1"/>
    <col min="15913" max="15913" width="11.5703125" style="485" customWidth="1"/>
    <col min="15914" max="15914" width="13.7109375" style="485" customWidth="1"/>
    <col min="15915" max="15915" width="20.85546875" style="485" customWidth="1"/>
    <col min="15916" max="16128" width="11.42578125" style="485"/>
    <col min="16129" max="16129" width="13.140625" style="485" customWidth="1"/>
    <col min="16130" max="16130" width="4" style="485" customWidth="1"/>
    <col min="16131" max="16131" width="20.7109375" style="485" customWidth="1"/>
    <col min="16132" max="16132" width="14.7109375" style="485" customWidth="1"/>
    <col min="16133" max="16133" width="10" style="485" customWidth="1"/>
    <col min="16134" max="16134" width="6.28515625" style="485" customWidth="1"/>
    <col min="16135" max="16135" width="12.28515625" style="485" customWidth="1"/>
    <col min="16136" max="16136" width="8.5703125" style="485" customWidth="1"/>
    <col min="16137" max="16137" width="13.7109375" style="485" customWidth="1"/>
    <col min="16138" max="16138" width="11.5703125" style="485" customWidth="1"/>
    <col min="16139" max="16139" width="20" style="485" customWidth="1"/>
    <col min="16140" max="16140" width="17.42578125" style="485" customWidth="1"/>
    <col min="16141" max="16141" width="21.140625" style="485" customWidth="1"/>
    <col min="16142" max="16142" width="22.140625" style="485" customWidth="1"/>
    <col min="16143" max="16143" width="8" style="485" customWidth="1"/>
    <col min="16144" max="16144" width="17" style="485" customWidth="1"/>
    <col min="16145" max="16145" width="12.7109375" style="485" customWidth="1"/>
    <col min="16146" max="16146" width="19" style="485" customWidth="1"/>
    <col min="16147" max="16147" width="23.5703125" style="485" customWidth="1"/>
    <col min="16148" max="16148" width="31.5703125" style="485" customWidth="1"/>
    <col min="16149" max="16149" width="19" style="485" customWidth="1"/>
    <col min="16150" max="16150" width="23.28515625" style="485" customWidth="1"/>
    <col min="16151" max="16151" width="11.7109375" style="485" customWidth="1"/>
    <col min="16152" max="16152" width="11.85546875" style="485" customWidth="1"/>
    <col min="16153" max="16153" width="5.5703125" style="485" customWidth="1"/>
    <col min="16154" max="16154" width="4.7109375" style="485" customWidth="1"/>
    <col min="16155" max="16156" width="7.28515625" style="485" customWidth="1"/>
    <col min="16157" max="16157" width="8.42578125" style="485" customWidth="1"/>
    <col min="16158" max="16158" width="9.5703125" style="485" customWidth="1"/>
    <col min="16159" max="16159" width="6.28515625" style="485" customWidth="1"/>
    <col min="16160" max="16160" width="5.85546875" style="485" customWidth="1"/>
    <col min="16161" max="16162" width="4.42578125" style="485" customWidth="1"/>
    <col min="16163" max="16163" width="5" style="485" customWidth="1"/>
    <col min="16164" max="16164" width="5.85546875" style="485" customWidth="1"/>
    <col min="16165" max="16165" width="6.140625" style="485" customWidth="1"/>
    <col min="16166" max="16166" width="6.28515625" style="485" customWidth="1"/>
    <col min="16167" max="16167" width="4.85546875" style="485" customWidth="1"/>
    <col min="16168" max="16168" width="8.140625" style="485" customWidth="1"/>
    <col min="16169" max="16169" width="11.5703125" style="485" customWidth="1"/>
    <col min="16170" max="16170" width="13.7109375" style="485" customWidth="1"/>
    <col min="16171" max="16171" width="20.85546875" style="485" customWidth="1"/>
    <col min="16172" max="16384" width="11.42578125" style="485"/>
  </cols>
  <sheetData>
    <row r="1" spans="1:63" ht="15" x14ac:dyDescent="0.2">
      <c r="A1" s="2153" t="s">
        <v>630</v>
      </c>
      <c r="B1" s="2154"/>
      <c r="C1" s="2154"/>
      <c r="D1" s="2154"/>
      <c r="E1" s="2154"/>
      <c r="F1" s="2154"/>
      <c r="G1" s="2154"/>
      <c r="H1" s="2154"/>
      <c r="I1" s="2154"/>
      <c r="J1" s="2154"/>
      <c r="K1" s="2154"/>
      <c r="L1" s="2154"/>
      <c r="M1" s="2154"/>
      <c r="N1" s="2154"/>
      <c r="O1" s="2154"/>
      <c r="P1" s="2154"/>
      <c r="Q1" s="2154"/>
      <c r="R1" s="2154"/>
      <c r="S1" s="2154"/>
      <c r="T1" s="2154"/>
      <c r="U1" s="2154"/>
      <c r="V1" s="2154"/>
      <c r="W1" s="2154"/>
      <c r="X1" s="2154"/>
      <c r="Y1" s="2154"/>
      <c r="Z1" s="2154"/>
      <c r="AA1" s="2154"/>
      <c r="AB1" s="2154"/>
      <c r="AC1" s="2154"/>
      <c r="AD1" s="2154"/>
      <c r="AE1" s="2154"/>
      <c r="AF1" s="2154"/>
      <c r="AG1" s="2154"/>
      <c r="AH1" s="2154"/>
      <c r="AI1" s="2154"/>
      <c r="AJ1" s="2154"/>
      <c r="AK1" s="2154"/>
      <c r="AL1" s="2154"/>
      <c r="AM1" s="2154"/>
      <c r="AN1" s="2154"/>
      <c r="AO1" s="2155"/>
      <c r="AP1" s="738" t="s">
        <v>0</v>
      </c>
      <c r="AQ1" s="739" t="s">
        <v>1</v>
      </c>
      <c r="AR1" s="467"/>
      <c r="AS1" s="467"/>
      <c r="AT1" s="467"/>
      <c r="AU1" s="467"/>
      <c r="AV1" s="467"/>
      <c r="AW1" s="467"/>
      <c r="AX1" s="467"/>
      <c r="AY1" s="467"/>
      <c r="AZ1" s="467"/>
      <c r="BA1" s="467"/>
      <c r="BB1" s="467"/>
      <c r="BC1" s="467"/>
      <c r="BD1" s="467"/>
      <c r="BE1" s="467"/>
      <c r="BF1" s="467"/>
      <c r="BG1" s="467"/>
      <c r="BH1" s="467"/>
      <c r="BI1" s="467"/>
      <c r="BJ1" s="467"/>
      <c r="BK1" s="467"/>
    </row>
    <row r="2" spans="1:63" ht="15" x14ac:dyDescent="0.2">
      <c r="A2" s="2156"/>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c r="AC2" s="2124"/>
      <c r="AD2" s="2124"/>
      <c r="AE2" s="2124"/>
      <c r="AF2" s="2124"/>
      <c r="AG2" s="2124"/>
      <c r="AH2" s="2124"/>
      <c r="AI2" s="2124"/>
      <c r="AJ2" s="2124"/>
      <c r="AK2" s="2124"/>
      <c r="AL2" s="2124"/>
      <c r="AM2" s="2124"/>
      <c r="AN2" s="2124"/>
      <c r="AO2" s="2125"/>
      <c r="AP2" s="364" t="s">
        <v>2</v>
      </c>
      <c r="AQ2" s="740" t="s">
        <v>3</v>
      </c>
      <c r="AR2" s="467"/>
      <c r="AS2" s="467"/>
      <c r="AT2" s="467"/>
      <c r="AU2" s="467"/>
      <c r="AV2" s="467"/>
      <c r="AW2" s="467"/>
      <c r="AX2" s="467"/>
      <c r="AY2" s="467"/>
      <c r="AZ2" s="467"/>
      <c r="BA2" s="467"/>
      <c r="BB2" s="467"/>
      <c r="BC2" s="467"/>
      <c r="BD2" s="467"/>
      <c r="BE2" s="467"/>
      <c r="BF2" s="467"/>
      <c r="BG2" s="467"/>
      <c r="BH2" s="467"/>
      <c r="BI2" s="467"/>
      <c r="BJ2" s="467"/>
      <c r="BK2" s="467"/>
    </row>
    <row r="3" spans="1:63" ht="15" x14ac:dyDescent="0.2">
      <c r="A3" s="2156"/>
      <c r="B3" s="2124"/>
      <c r="C3" s="2124"/>
      <c r="D3" s="2124"/>
      <c r="E3" s="2124"/>
      <c r="F3" s="2124"/>
      <c r="G3" s="2124"/>
      <c r="H3" s="2124"/>
      <c r="I3" s="2124"/>
      <c r="J3" s="2124"/>
      <c r="K3" s="2124"/>
      <c r="L3" s="2124"/>
      <c r="M3" s="2124"/>
      <c r="N3" s="2124"/>
      <c r="O3" s="2124"/>
      <c r="P3" s="2124"/>
      <c r="Q3" s="2124"/>
      <c r="R3" s="2124"/>
      <c r="S3" s="2124"/>
      <c r="T3" s="2124"/>
      <c r="U3" s="2124"/>
      <c r="V3" s="2124"/>
      <c r="W3" s="2124"/>
      <c r="X3" s="2124"/>
      <c r="Y3" s="2124"/>
      <c r="Z3" s="2124"/>
      <c r="AA3" s="2124"/>
      <c r="AB3" s="2124"/>
      <c r="AC3" s="2124"/>
      <c r="AD3" s="2124"/>
      <c r="AE3" s="2124"/>
      <c r="AF3" s="2124"/>
      <c r="AG3" s="2124"/>
      <c r="AH3" s="2124"/>
      <c r="AI3" s="2124"/>
      <c r="AJ3" s="2124"/>
      <c r="AK3" s="2124"/>
      <c r="AL3" s="2124"/>
      <c r="AM3" s="2124"/>
      <c r="AN3" s="2124"/>
      <c r="AO3" s="2125"/>
      <c r="AP3" s="362" t="s">
        <v>4</v>
      </c>
      <c r="AQ3" s="741" t="s">
        <v>5</v>
      </c>
      <c r="AR3" s="467"/>
      <c r="AS3" s="467"/>
      <c r="AT3" s="467"/>
      <c r="AU3" s="467"/>
      <c r="AV3" s="467"/>
      <c r="AW3" s="467"/>
      <c r="AX3" s="467"/>
      <c r="AY3" s="467"/>
      <c r="AZ3" s="467"/>
      <c r="BA3" s="467"/>
      <c r="BB3" s="467"/>
      <c r="BC3" s="467"/>
      <c r="BD3" s="467"/>
      <c r="BE3" s="467"/>
      <c r="BF3" s="467"/>
      <c r="BG3" s="467"/>
      <c r="BH3" s="467"/>
      <c r="BI3" s="467"/>
      <c r="BJ3" s="467"/>
      <c r="BK3" s="467"/>
    </row>
    <row r="4" spans="1:63" ht="15" x14ac:dyDescent="0.2">
      <c r="A4" s="2157"/>
      <c r="B4" s="2126"/>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7"/>
      <c r="AP4" s="362" t="s">
        <v>6</v>
      </c>
      <c r="AQ4" s="742" t="s">
        <v>7</v>
      </c>
      <c r="AR4" s="467"/>
      <c r="AS4" s="467"/>
      <c r="AT4" s="467"/>
      <c r="AU4" s="467"/>
      <c r="AV4" s="467"/>
      <c r="AW4" s="467"/>
      <c r="AX4" s="467"/>
      <c r="AY4" s="467"/>
      <c r="AZ4" s="467"/>
      <c r="BA4" s="467"/>
      <c r="BB4" s="467"/>
      <c r="BC4" s="467"/>
      <c r="BD4" s="467"/>
      <c r="BE4" s="467"/>
      <c r="BF4" s="467"/>
      <c r="BG4" s="467"/>
      <c r="BH4" s="467"/>
      <c r="BI4" s="467"/>
      <c r="BJ4" s="467"/>
      <c r="BK4" s="467"/>
    </row>
    <row r="5" spans="1:63" ht="15.75" x14ac:dyDescent="0.2">
      <c r="A5" s="2254" t="s">
        <v>8</v>
      </c>
      <c r="B5" s="2128"/>
      <c r="C5" s="2128"/>
      <c r="D5" s="2128"/>
      <c r="E5" s="2128"/>
      <c r="F5" s="2128"/>
      <c r="G5" s="2128"/>
      <c r="H5" s="2128"/>
      <c r="I5" s="2128"/>
      <c r="J5" s="2128"/>
      <c r="K5" s="2128"/>
      <c r="L5" s="2128"/>
      <c r="M5" s="2128"/>
      <c r="N5" s="2130" t="s">
        <v>631</v>
      </c>
      <c r="O5" s="2130"/>
      <c r="P5" s="2130"/>
      <c r="Q5" s="2130"/>
      <c r="R5" s="2130"/>
      <c r="S5" s="2130"/>
      <c r="T5" s="2130"/>
      <c r="U5" s="2130"/>
      <c r="V5" s="2130"/>
      <c r="W5" s="2130"/>
      <c r="X5" s="2130"/>
      <c r="Y5" s="2130"/>
      <c r="Z5" s="2130"/>
      <c r="AA5" s="2130"/>
      <c r="AB5" s="2130"/>
      <c r="AC5" s="2130"/>
      <c r="AD5" s="2130"/>
      <c r="AE5" s="2130"/>
      <c r="AF5" s="2130"/>
      <c r="AG5" s="2130"/>
      <c r="AH5" s="2130"/>
      <c r="AI5" s="2130"/>
      <c r="AJ5" s="2130"/>
      <c r="AK5" s="2130"/>
      <c r="AL5" s="2130"/>
      <c r="AM5" s="2130"/>
      <c r="AN5" s="2130"/>
      <c r="AO5" s="2130"/>
      <c r="AP5" s="2130"/>
      <c r="AQ5" s="2162"/>
      <c r="AR5" s="467"/>
      <c r="AS5" s="467"/>
      <c r="AT5" s="467"/>
      <c r="AU5" s="467"/>
      <c r="AV5" s="467"/>
      <c r="AW5" s="467"/>
      <c r="AX5" s="467"/>
      <c r="AY5" s="467"/>
      <c r="AZ5" s="467"/>
      <c r="BA5" s="467"/>
      <c r="BB5" s="467"/>
      <c r="BC5" s="467"/>
      <c r="BD5" s="467"/>
      <c r="BE5" s="467"/>
      <c r="BF5" s="467"/>
      <c r="BG5" s="467"/>
      <c r="BH5" s="467"/>
      <c r="BI5" s="467"/>
      <c r="BJ5" s="467"/>
      <c r="BK5" s="467"/>
    </row>
    <row r="6" spans="1:63" ht="15.75" x14ac:dyDescent="0.2">
      <c r="A6" s="2255"/>
      <c r="B6" s="2129"/>
      <c r="C6" s="2129"/>
      <c r="D6" s="2129"/>
      <c r="E6" s="2129"/>
      <c r="F6" s="2129"/>
      <c r="G6" s="2129"/>
      <c r="H6" s="2129"/>
      <c r="I6" s="2129"/>
      <c r="J6" s="2129"/>
      <c r="K6" s="2129"/>
      <c r="L6" s="2129"/>
      <c r="M6" s="2129"/>
      <c r="N6" s="367"/>
      <c r="O6" s="368"/>
      <c r="P6" s="368"/>
      <c r="Q6" s="368"/>
      <c r="R6" s="368"/>
      <c r="S6" s="368"/>
      <c r="T6" s="368"/>
      <c r="U6" s="368"/>
      <c r="V6" s="370"/>
      <c r="W6" s="370"/>
      <c r="X6" s="370"/>
      <c r="Y6" s="2131" t="s">
        <v>10</v>
      </c>
      <c r="Z6" s="2129"/>
      <c r="AA6" s="2129"/>
      <c r="AB6" s="2129"/>
      <c r="AC6" s="2129"/>
      <c r="AD6" s="2129"/>
      <c r="AE6" s="2129"/>
      <c r="AF6" s="2129"/>
      <c r="AG6" s="2129"/>
      <c r="AH6" s="2129"/>
      <c r="AI6" s="2129"/>
      <c r="AJ6" s="2129"/>
      <c r="AK6" s="2129"/>
      <c r="AL6" s="2129"/>
      <c r="AM6" s="2132"/>
      <c r="AN6" s="717"/>
      <c r="AO6" s="370"/>
      <c r="AP6" s="370"/>
      <c r="AQ6" s="654"/>
      <c r="AR6" s="467"/>
      <c r="AS6" s="467"/>
      <c r="AT6" s="467"/>
      <c r="AU6" s="467"/>
      <c r="AV6" s="467"/>
      <c r="AW6" s="467"/>
      <c r="AX6" s="467"/>
      <c r="AY6" s="467"/>
      <c r="AZ6" s="467"/>
      <c r="BA6" s="467"/>
      <c r="BB6" s="467"/>
      <c r="BC6" s="467"/>
      <c r="BD6" s="467"/>
      <c r="BE6" s="467"/>
      <c r="BF6" s="467"/>
      <c r="BG6" s="467"/>
      <c r="BH6" s="467"/>
      <c r="BI6" s="467"/>
      <c r="BJ6" s="467"/>
      <c r="BK6" s="467"/>
    </row>
    <row r="7" spans="1:63" ht="15.75" x14ac:dyDescent="0.2">
      <c r="A7" s="2256" t="s">
        <v>11</v>
      </c>
      <c r="B7" s="2136" t="s">
        <v>12</v>
      </c>
      <c r="C7" s="2137"/>
      <c r="D7" s="2137" t="s">
        <v>11</v>
      </c>
      <c r="E7" s="2136" t="s">
        <v>13</v>
      </c>
      <c r="F7" s="2137"/>
      <c r="G7" s="2137" t="s">
        <v>11</v>
      </c>
      <c r="H7" s="2136" t="s">
        <v>14</v>
      </c>
      <c r="I7" s="2137"/>
      <c r="J7" s="2137" t="s">
        <v>11</v>
      </c>
      <c r="K7" s="2136" t="s">
        <v>15</v>
      </c>
      <c r="L7" s="2119" t="s">
        <v>16</v>
      </c>
      <c r="M7" s="2119" t="s">
        <v>17</v>
      </c>
      <c r="N7" s="2119" t="s">
        <v>18</v>
      </c>
      <c r="O7" s="2119" t="s">
        <v>19</v>
      </c>
      <c r="P7" s="2119" t="s">
        <v>9</v>
      </c>
      <c r="Q7" s="2180" t="s">
        <v>20</v>
      </c>
      <c r="R7" s="2145" t="s">
        <v>21</v>
      </c>
      <c r="S7" s="2136" t="s">
        <v>22</v>
      </c>
      <c r="T7" s="2136" t="s">
        <v>23</v>
      </c>
      <c r="U7" s="2119" t="s">
        <v>24</v>
      </c>
      <c r="V7" s="2116" t="s">
        <v>21</v>
      </c>
      <c r="W7" s="373"/>
      <c r="X7" s="2119" t="s">
        <v>25</v>
      </c>
      <c r="Y7" s="2122" t="s">
        <v>26</v>
      </c>
      <c r="Z7" s="2122"/>
      <c r="AA7" s="2109" t="s">
        <v>27</v>
      </c>
      <c r="AB7" s="2109"/>
      <c r="AC7" s="2109"/>
      <c r="AD7" s="2109"/>
      <c r="AE7" s="2106" t="s">
        <v>28</v>
      </c>
      <c r="AF7" s="2107"/>
      <c r="AG7" s="2107"/>
      <c r="AH7" s="2107"/>
      <c r="AI7" s="2107"/>
      <c r="AJ7" s="2108"/>
      <c r="AK7" s="2109" t="s">
        <v>29</v>
      </c>
      <c r="AL7" s="2109"/>
      <c r="AM7" s="2109"/>
      <c r="AN7" s="2092" t="s">
        <v>30</v>
      </c>
      <c r="AO7" s="2095" t="s">
        <v>31</v>
      </c>
      <c r="AP7" s="2095" t="s">
        <v>32</v>
      </c>
      <c r="AQ7" s="2167" t="s">
        <v>33</v>
      </c>
      <c r="AR7" s="467"/>
      <c r="AS7" s="467"/>
      <c r="AT7" s="467"/>
      <c r="AU7" s="467"/>
      <c r="AV7" s="467"/>
      <c r="AW7" s="467"/>
      <c r="AX7" s="467"/>
      <c r="AY7" s="467"/>
      <c r="AZ7" s="467"/>
      <c r="BA7" s="467"/>
      <c r="BB7" s="467"/>
      <c r="BC7" s="467"/>
      <c r="BD7" s="467"/>
      <c r="BE7" s="467"/>
      <c r="BF7" s="467"/>
      <c r="BG7" s="467"/>
      <c r="BH7" s="467"/>
      <c r="BI7" s="467"/>
      <c r="BJ7" s="467"/>
      <c r="BK7" s="467"/>
    </row>
    <row r="8" spans="1:63" ht="141.75" x14ac:dyDescent="0.2">
      <c r="A8" s="2257"/>
      <c r="B8" s="2138"/>
      <c r="C8" s="2139"/>
      <c r="D8" s="2139"/>
      <c r="E8" s="2138"/>
      <c r="F8" s="2139"/>
      <c r="G8" s="2139"/>
      <c r="H8" s="2138"/>
      <c r="I8" s="2139"/>
      <c r="J8" s="2139"/>
      <c r="K8" s="2138"/>
      <c r="L8" s="2120"/>
      <c r="M8" s="2120"/>
      <c r="N8" s="2120"/>
      <c r="O8" s="2120"/>
      <c r="P8" s="2120"/>
      <c r="Q8" s="2181"/>
      <c r="R8" s="2146"/>
      <c r="S8" s="2138"/>
      <c r="T8" s="2138"/>
      <c r="U8" s="2120"/>
      <c r="V8" s="2117"/>
      <c r="W8" s="720" t="s">
        <v>11</v>
      </c>
      <c r="X8" s="2120"/>
      <c r="Y8" s="715" t="s">
        <v>34</v>
      </c>
      <c r="Z8" s="716" t="s">
        <v>35</v>
      </c>
      <c r="AA8" s="655" t="s">
        <v>36</v>
      </c>
      <c r="AB8" s="655" t="s">
        <v>37</v>
      </c>
      <c r="AC8" s="655" t="s">
        <v>38</v>
      </c>
      <c r="AD8" s="655" t="s">
        <v>39</v>
      </c>
      <c r="AE8" s="655" t="s">
        <v>40</v>
      </c>
      <c r="AF8" s="655" t="s">
        <v>41</v>
      </c>
      <c r="AG8" s="655" t="s">
        <v>42</v>
      </c>
      <c r="AH8" s="655" t="s">
        <v>43</v>
      </c>
      <c r="AI8" s="655" t="s">
        <v>44</v>
      </c>
      <c r="AJ8" s="655" t="s">
        <v>45</v>
      </c>
      <c r="AK8" s="655" t="s">
        <v>46</v>
      </c>
      <c r="AL8" s="655" t="s">
        <v>47</v>
      </c>
      <c r="AM8" s="655" t="s">
        <v>48</v>
      </c>
      <c r="AN8" s="2094"/>
      <c r="AO8" s="2096"/>
      <c r="AP8" s="2096"/>
      <c r="AQ8" s="2168"/>
      <c r="AR8" s="467"/>
      <c r="AS8" s="467"/>
      <c r="AT8" s="467"/>
      <c r="AU8" s="467"/>
      <c r="AV8" s="467"/>
      <c r="AW8" s="467"/>
      <c r="AX8" s="467"/>
      <c r="AY8" s="467"/>
      <c r="AZ8" s="467"/>
      <c r="BA8" s="467"/>
      <c r="BB8" s="467"/>
      <c r="BC8" s="467"/>
      <c r="BD8" s="467"/>
      <c r="BE8" s="467"/>
      <c r="BF8" s="467"/>
      <c r="BG8" s="467"/>
      <c r="BH8" s="467"/>
      <c r="BI8" s="467"/>
      <c r="BJ8" s="467"/>
      <c r="BK8" s="467"/>
    </row>
    <row r="9" spans="1:63" s="611" customFormat="1" ht="15.75" x14ac:dyDescent="0.2">
      <c r="A9" s="743">
        <v>5</v>
      </c>
      <c r="B9" s="2171" t="s">
        <v>49</v>
      </c>
      <c r="C9" s="2171"/>
      <c r="D9" s="378"/>
      <c r="E9" s="378"/>
      <c r="F9" s="378"/>
      <c r="G9" s="378"/>
      <c r="H9" s="378"/>
      <c r="I9" s="378"/>
      <c r="J9" s="378"/>
      <c r="K9" s="379"/>
      <c r="L9" s="379"/>
      <c r="M9" s="379"/>
      <c r="N9" s="379"/>
      <c r="O9" s="379"/>
      <c r="P9" s="379"/>
      <c r="Q9" s="744"/>
      <c r="R9" s="381"/>
      <c r="S9" s="379"/>
      <c r="T9" s="379"/>
      <c r="U9" s="379"/>
      <c r="V9" s="382"/>
      <c r="W9" s="383"/>
      <c r="X9" s="384"/>
      <c r="Y9" s="378"/>
      <c r="Z9" s="378"/>
      <c r="AA9" s="378"/>
      <c r="AB9" s="378"/>
      <c r="AC9" s="378"/>
      <c r="AD9" s="378"/>
      <c r="AE9" s="378"/>
      <c r="AF9" s="378"/>
      <c r="AG9" s="378"/>
      <c r="AH9" s="378"/>
      <c r="AI9" s="378"/>
      <c r="AJ9" s="378"/>
      <c r="AK9" s="378"/>
      <c r="AL9" s="378"/>
      <c r="AM9" s="378"/>
      <c r="AN9" s="378"/>
      <c r="AO9" s="385"/>
      <c r="AP9" s="385"/>
      <c r="AQ9" s="745"/>
      <c r="AR9" s="467"/>
      <c r="AS9" s="467"/>
      <c r="AT9" s="467"/>
      <c r="AU9" s="467"/>
      <c r="AV9" s="467"/>
      <c r="AW9" s="467"/>
      <c r="AX9" s="467"/>
      <c r="AY9" s="467"/>
      <c r="AZ9" s="467"/>
      <c r="BA9" s="467"/>
      <c r="BB9" s="467"/>
      <c r="BC9" s="467"/>
      <c r="BD9" s="467"/>
      <c r="BE9" s="467"/>
      <c r="BF9" s="467"/>
      <c r="BG9" s="467"/>
      <c r="BH9" s="467"/>
      <c r="BI9" s="467"/>
      <c r="BJ9" s="467"/>
      <c r="BK9" s="467"/>
    </row>
    <row r="10" spans="1:63" s="467" customFormat="1" ht="15.75" x14ac:dyDescent="0.2">
      <c r="A10" s="731"/>
      <c r="B10" s="709"/>
      <c r="C10" s="709"/>
      <c r="D10" s="387">
        <v>28</v>
      </c>
      <c r="E10" s="388" t="s">
        <v>632</v>
      </c>
      <c r="F10" s="388"/>
      <c r="G10" s="388"/>
      <c r="H10" s="388"/>
      <c r="I10" s="388"/>
      <c r="J10" s="388"/>
      <c r="K10" s="389"/>
      <c r="L10" s="389"/>
      <c r="M10" s="389"/>
      <c r="N10" s="511"/>
      <c r="O10" s="389"/>
      <c r="P10" s="389"/>
      <c r="Q10" s="746"/>
      <c r="R10" s="391"/>
      <c r="S10" s="389"/>
      <c r="T10" s="389"/>
      <c r="U10" s="389"/>
      <c r="V10" s="392"/>
      <c r="W10" s="393"/>
      <c r="X10" s="394"/>
      <c r="Y10" s="388"/>
      <c r="Z10" s="388"/>
      <c r="AA10" s="388"/>
      <c r="AB10" s="388"/>
      <c r="AC10" s="388"/>
      <c r="AD10" s="388"/>
      <c r="AE10" s="388"/>
      <c r="AF10" s="388"/>
      <c r="AG10" s="388"/>
      <c r="AH10" s="388"/>
      <c r="AI10" s="388"/>
      <c r="AJ10" s="388"/>
      <c r="AK10" s="388"/>
      <c r="AL10" s="388"/>
      <c r="AM10" s="388"/>
      <c r="AN10" s="388"/>
      <c r="AO10" s="395"/>
      <c r="AP10" s="395"/>
      <c r="AQ10" s="747"/>
    </row>
    <row r="11" spans="1:63" s="467" customFormat="1" ht="15.75" x14ac:dyDescent="0.2">
      <c r="A11" s="731"/>
      <c r="B11" s="709"/>
      <c r="C11" s="709"/>
      <c r="D11" s="707"/>
      <c r="E11" s="709"/>
      <c r="F11" s="709"/>
      <c r="G11" s="748">
        <v>89</v>
      </c>
      <c r="H11" s="399" t="s">
        <v>259</v>
      </c>
      <c r="I11" s="399"/>
      <c r="J11" s="399"/>
      <c r="K11" s="749"/>
      <c r="L11" s="749"/>
      <c r="M11" s="749"/>
      <c r="N11" s="750"/>
      <c r="O11" s="749"/>
      <c r="P11" s="749"/>
      <c r="Q11" s="751"/>
      <c r="R11" s="752"/>
      <c r="S11" s="749"/>
      <c r="T11" s="749"/>
      <c r="U11" s="749"/>
      <c r="V11" s="753"/>
      <c r="W11" s="404"/>
      <c r="X11" s="405"/>
      <c r="Y11" s="754"/>
      <c r="Z11" s="754"/>
      <c r="AA11" s="754"/>
      <c r="AB11" s="754"/>
      <c r="AC11" s="754"/>
      <c r="AD11" s="754"/>
      <c r="AE11" s="754"/>
      <c r="AF11" s="754"/>
      <c r="AG11" s="754"/>
      <c r="AH11" s="754"/>
      <c r="AI11" s="754"/>
      <c r="AJ11" s="754"/>
      <c r="AK11" s="754"/>
      <c r="AL11" s="754"/>
      <c r="AM11" s="754"/>
      <c r="AN11" s="754"/>
      <c r="AO11" s="755"/>
      <c r="AP11" s="755"/>
      <c r="AQ11" s="756"/>
    </row>
    <row r="12" spans="1:63" s="467" customFormat="1" ht="56.25" customHeight="1" x14ac:dyDescent="0.2">
      <c r="A12" s="757"/>
      <c r="B12" s="712"/>
      <c r="C12" s="712"/>
      <c r="D12" s="711"/>
      <c r="E12" s="712"/>
      <c r="F12" s="712"/>
      <c r="G12" s="710"/>
      <c r="H12" s="712"/>
      <c r="I12" s="712"/>
      <c r="J12" s="2065">
        <v>275</v>
      </c>
      <c r="K12" s="2049" t="s">
        <v>633</v>
      </c>
      <c r="L12" s="2049" t="s">
        <v>634</v>
      </c>
      <c r="M12" s="2050">
        <v>4</v>
      </c>
      <c r="N12" s="418"/>
      <c r="O12" s="2244" t="s">
        <v>635</v>
      </c>
      <c r="P12" s="2049" t="s">
        <v>636</v>
      </c>
      <c r="Q12" s="2217">
        <f>SUM(V12:V14)/R12</f>
        <v>0.67599522873623608</v>
      </c>
      <c r="R12" s="2063">
        <f>SUM(V12:V19)</f>
        <v>2184941457</v>
      </c>
      <c r="S12" s="2049" t="s">
        <v>637</v>
      </c>
      <c r="T12" s="2049" t="s">
        <v>638</v>
      </c>
      <c r="U12" s="758" t="s">
        <v>639</v>
      </c>
      <c r="V12" s="759">
        <f>52000000+26000000</f>
        <v>78000000</v>
      </c>
      <c r="W12" s="2253" t="s">
        <v>640</v>
      </c>
      <c r="X12" s="2049" t="s">
        <v>641</v>
      </c>
      <c r="Y12" s="2242">
        <v>292684</v>
      </c>
      <c r="Z12" s="2242">
        <v>282326</v>
      </c>
      <c r="AA12" s="2242">
        <v>135912</v>
      </c>
      <c r="AB12" s="2242">
        <v>45122</v>
      </c>
      <c r="AC12" s="2242">
        <v>307101</v>
      </c>
      <c r="AD12" s="2242">
        <v>86875</v>
      </c>
      <c r="AE12" s="2242">
        <v>2145</v>
      </c>
      <c r="AF12" s="2242">
        <v>12718</v>
      </c>
      <c r="AG12" s="2242">
        <v>26</v>
      </c>
      <c r="AH12" s="2242">
        <v>37</v>
      </c>
      <c r="AI12" s="2242">
        <v>0</v>
      </c>
      <c r="AJ12" s="2242">
        <v>0</v>
      </c>
      <c r="AK12" s="2242">
        <v>53164</v>
      </c>
      <c r="AL12" s="2242">
        <v>16982</v>
      </c>
      <c r="AM12" s="2242">
        <v>60013</v>
      </c>
      <c r="AN12" s="2242">
        <v>575010</v>
      </c>
      <c r="AO12" s="2053">
        <v>43105</v>
      </c>
      <c r="AP12" s="2240">
        <v>43465</v>
      </c>
      <c r="AQ12" s="2042" t="s">
        <v>642</v>
      </c>
    </row>
    <row r="13" spans="1:63" s="467" customFormat="1" ht="45" customHeight="1" x14ac:dyDescent="0.2">
      <c r="A13" s="757"/>
      <c r="B13" s="712"/>
      <c r="C13" s="712"/>
      <c r="D13" s="711"/>
      <c r="E13" s="712"/>
      <c r="F13" s="712"/>
      <c r="G13" s="711"/>
      <c r="H13" s="712"/>
      <c r="I13" s="712"/>
      <c r="J13" s="2065"/>
      <c r="K13" s="2049"/>
      <c r="L13" s="2049"/>
      <c r="M13" s="2050"/>
      <c r="N13" s="424" t="s">
        <v>643</v>
      </c>
      <c r="O13" s="2244"/>
      <c r="P13" s="2049"/>
      <c r="Q13" s="2217"/>
      <c r="R13" s="2063"/>
      <c r="S13" s="2049"/>
      <c r="T13" s="2049"/>
      <c r="U13" s="758" t="s">
        <v>644</v>
      </c>
      <c r="V13" s="759">
        <f>52000000+8000000</f>
        <v>60000000</v>
      </c>
      <c r="W13" s="2253"/>
      <c r="X13" s="2049"/>
      <c r="Y13" s="2242"/>
      <c r="Z13" s="2242"/>
      <c r="AA13" s="2242"/>
      <c r="AB13" s="2242"/>
      <c r="AC13" s="2242"/>
      <c r="AD13" s="2242"/>
      <c r="AE13" s="2242"/>
      <c r="AF13" s="2242"/>
      <c r="AG13" s="2242"/>
      <c r="AH13" s="2242"/>
      <c r="AI13" s="2242"/>
      <c r="AJ13" s="2242"/>
      <c r="AK13" s="2242"/>
      <c r="AL13" s="2242"/>
      <c r="AM13" s="2242"/>
      <c r="AN13" s="2242"/>
      <c r="AO13" s="2053"/>
      <c r="AP13" s="2240"/>
      <c r="AQ13" s="2042"/>
    </row>
    <row r="14" spans="1:63" s="467" customFormat="1" ht="66.75" customHeight="1" x14ac:dyDescent="0.2">
      <c r="A14" s="757"/>
      <c r="B14" s="712"/>
      <c r="C14" s="712"/>
      <c r="D14" s="711"/>
      <c r="E14" s="712"/>
      <c r="F14" s="712"/>
      <c r="G14" s="711"/>
      <c r="H14" s="712"/>
      <c r="I14" s="712"/>
      <c r="J14" s="2086"/>
      <c r="K14" s="2049"/>
      <c r="L14" s="2049"/>
      <c r="M14" s="2050"/>
      <c r="N14" s="424" t="s">
        <v>645</v>
      </c>
      <c r="O14" s="2244"/>
      <c r="P14" s="2049"/>
      <c r="Q14" s="2217"/>
      <c r="R14" s="2063"/>
      <c r="S14" s="2049"/>
      <c r="T14" s="2049"/>
      <c r="U14" s="758" t="s">
        <v>646</v>
      </c>
      <c r="V14" s="759">
        <f>796000000+353010000+75000000+115000000</f>
        <v>1339010000</v>
      </c>
      <c r="W14" s="2253"/>
      <c r="X14" s="2049"/>
      <c r="Y14" s="2242"/>
      <c r="Z14" s="2242"/>
      <c r="AA14" s="2242"/>
      <c r="AB14" s="2242"/>
      <c r="AC14" s="2242"/>
      <c r="AD14" s="2242"/>
      <c r="AE14" s="2242"/>
      <c r="AF14" s="2242"/>
      <c r="AG14" s="2242"/>
      <c r="AH14" s="2242"/>
      <c r="AI14" s="2242"/>
      <c r="AJ14" s="2242"/>
      <c r="AK14" s="2242"/>
      <c r="AL14" s="2242"/>
      <c r="AM14" s="2242"/>
      <c r="AN14" s="2242"/>
      <c r="AO14" s="2053"/>
      <c r="AP14" s="2240"/>
      <c r="AQ14" s="2042"/>
    </row>
    <row r="15" spans="1:63" s="467" customFormat="1" ht="15" x14ac:dyDescent="0.2">
      <c r="A15" s="757"/>
      <c r="B15" s="2084"/>
      <c r="C15" s="2084"/>
      <c r="D15" s="711"/>
      <c r="E15" s="2084"/>
      <c r="F15" s="2084"/>
      <c r="G15" s="711"/>
      <c r="H15" s="2084"/>
      <c r="I15" s="2084"/>
      <c r="J15" s="2086">
        <v>276</v>
      </c>
      <c r="K15" s="2211" t="s">
        <v>647</v>
      </c>
      <c r="L15" s="2049" t="s">
        <v>648</v>
      </c>
      <c r="M15" s="2050">
        <v>1</v>
      </c>
      <c r="N15" s="2185" t="s">
        <v>649</v>
      </c>
      <c r="O15" s="2244"/>
      <c r="P15" s="2049"/>
      <c r="Q15" s="2217">
        <f>+V15/R12</f>
        <v>0.15249445514090954</v>
      </c>
      <c r="R15" s="2063"/>
      <c r="S15" s="2049"/>
      <c r="T15" s="2049" t="s">
        <v>650</v>
      </c>
      <c r="U15" s="2049" t="s">
        <v>651</v>
      </c>
      <c r="V15" s="2184">
        <f>300000000+40990000-75000000+67201457</f>
        <v>333191457</v>
      </c>
      <c r="W15" s="2253"/>
      <c r="X15" s="2049"/>
      <c r="Y15" s="2242"/>
      <c r="Z15" s="2242"/>
      <c r="AA15" s="2242"/>
      <c r="AB15" s="2242"/>
      <c r="AC15" s="2242"/>
      <c r="AD15" s="2242"/>
      <c r="AE15" s="2242"/>
      <c r="AF15" s="2242"/>
      <c r="AG15" s="2242"/>
      <c r="AH15" s="2242"/>
      <c r="AI15" s="2242"/>
      <c r="AJ15" s="2242"/>
      <c r="AK15" s="2242"/>
      <c r="AL15" s="2242"/>
      <c r="AM15" s="2242"/>
      <c r="AN15" s="2242"/>
      <c r="AO15" s="2053"/>
      <c r="AP15" s="2240"/>
      <c r="AQ15" s="2042"/>
    </row>
    <row r="16" spans="1:63" s="467" customFormat="1" ht="105.75" customHeight="1" x14ac:dyDescent="0.2">
      <c r="A16" s="757"/>
      <c r="B16" s="712"/>
      <c r="C16" s="712"/>
      <c r="D16" s="711"/>
      <c r="E16" s="712"/>
      <c r="F16" s="712"/>
      <c r="G16" s="711"/>
      <c r="H16" s="712"/>
      <c r="I16" s="712"/>
      <c r="J16" s="2087"/>
      <c r="K16" s="2211"/>
      <c r="L16" s="2049"/>
      <c r="M16" s="2050"/>
      <c r="N16" s="2185"/>
      <c r="O16" s="2244"/>
      <c r="P16" s="2049"/>
      <c r="Q16" s="2217"/>
      <c r="R16" s="2063"/>
      <c r="S16" s="2049"/>
      <c r="T16" s="2049"/>
      <c r="U16" s="2049"/>
      <c r="V16" s="2184"/>
      <c r="W16" s="2253"/>
      <c r="X16" s="2049"/>
      <c r="Y16" s="2242"/>
      <c r="Z16" s="2242"/>
      <c r="AA16" s="2242"/>
      <c r="AB16" s="2242"/>
      <c r="AC16" s="2242"/>
      <c r="AD16" s="2242"/>
      <c r="AE16" s="2242"/>
      <c r="AF16" s="2242"/>
      <c r="AG16" s="2242"/>
      <c r="AH16" s="2242"/>
      <c r="AI16" s="2242"/>
      <c r="AJ16" s="2242"/>
      <c r="AK16" s="2242"/>
      <c r="AL16" s="2242"/>
      <c r="AM16" s="2242"/>
      <c r="AN16" s="2242"/>
      <c r="AO16" s="2053"/>
      <c r="AP16" s="2240"/>
      <c r="AQ16" s="2042"/>
    </row>
    <row r="17" spans="1:66" s="467" customFormat="1" ht="15" x14ac:dyDescent="0.2">
      <c r="A17" s="757"/>
      <c r="B17" s="712"/>
      <c r="C17" s="712"/>
      <c r="D17" s="711"/>
      <c r="E17" s="712"/>
      <c r="F17" s="712"/>
      <c r="G17" s="711"/>
      <c r="H17" s="712"/>
      <c r="I17" s="712"/>
      <c r="J17" s="2247">
        <v>277</v>
      </c>
      <c r="K17" s="2049" t="s">
        <v>652</v>
      </c>
      <c r="L17" s="2049" t="s">
        <v>653</v>
      </c>
      <c r="M17" s="2050">
        <v>1</v>
      </c>
      <c r="N17" s="2185"/>
      <c r="O17" s="2244"/>
      <c r="P17" s="2049"/>
      <c r="Q17" s="2217">
        <f>+V17/R12</f>
        <v>0.17151031612285436</v>
      </c>
      <c r="R17" s="2063"/>
      <c r="S17" s="2049"/>
      <c r="T17" s="2049" t="s">
        <v>654</v>
      </c>
      <c r="U17" s="2049" t="s">
        <v>655</v>
      </c>
      <c r="V17" s="2184">
        <f>250000000+124740000</f>
        <v>374740000</v>
      </c>
      <c r="W17" s="2253"/>
      <c r="X17" s="2049"/>
      <c r="Y17" s="2242"/>
      <c r="Z17" s="2242"/>
      <c r="AA17" s="2242"/>
      <c r="AB17" s="2242"/>
      <c r="AC17" s="2242"/>
      <c r="AD17" s="2242"/>
      <c r="AE17" s="2242"/>
      <c r="AF17" s="2242"/>
      <c r="AG17" s="2242"/>
      <c r="AH17" s="2242"/>
      <c r="AI17" s="2242"/>
      <c r="AJ17" s="2242"/>
      <c r="AK17" s="2242"/>
      <c r="AL17" s="2242"/>
      <c r="AM17" s="2242"/>
      <c r="AN17" s="2242"/>
      <c r="AO17" s="2053"/>
      <c r="AP17" s="2240"/>
      <c r="AQ17" s="2042"/>
    </row>
    <row r="18" spans="1:66" s="467" customFormat="1" ht="15" x14ac:dyDescent="0.2">
      <c r="A18" s="757"/>
      <c r="B18" s="712"/>
      <c r="C18" s="712"/>
      <c r="D18" s="711"/>
      <c r="E18" s="712"/>
      <c r="F18" s="712"/>
      <c r="G18" s="711"/>
      <c r="H18" s="712"/>
      <c r="I18" s="712"/>
      <c r="J18" s="2247"/>
      <c r="K18" s="2049"/>
      <c r="L18" s="2049"/>
      <c r="M18" s="2050"/>
      <c r="N18" s="2185"/>
      <c r="O18" s="2244"/>
      <c r="P18" s="2049"/>
      <c r="Q18" s="2217"/>
      <c r="R18" s="2063"/>
      <c r="S18" s="2049"/>
      <c r="T18" s="2049"/>
      <c r="U18" s="2049"/>
      <c r="V18" s="2184"/>
      <c r="W18" s="2253"/>
      <c r="X18" s="2049"/>
      <c r="Y18" s="2242"/>
      <c r="Z18" s="2242"/>
      <c r="AA18" s="2242"/>
      <c r="AB18" s="2242"/>
      <c r="AC18" s="2242"/>
      <c r="AD18" s="2242"/>
      <c r="AE18" s="2242"/>
      <c r="AF18" s="2242"/>
      <c r="AG18" s="2242"/>
      <c r="AH18" s="2242"/>
      <c r="AI18" s="2242"/>
      <c r="AJ18" s="2242"/>
      <c r="AK18" s="2242"/>
      <c r="AL18" s="2242"/>
      <c r="AM18" s="2242"/>
      <c r="AN18" s="2242"/>
      <c r="AO18" s="2053"/>
      <c r="AP18" s="2240"/>
      <c r="AQ18" s="2042"/>
    </row>
    <row r="19" spans="1:66" s="467" customFormat="1" ht="92.25" customHeight="1" x14ac:dyDescent="0.2">
      <c r="A19" s="757"/>
      <c r="B19" s="712"/>
      <c r="C19" s="712"/>
      <c r="D19" s="711"/>
      <c r="E19" s="712"/>
      <c r="F19" s="712"/>
      <c r="G19" s="711"/>
      <c r="H19" s="712"/>
      <c r="I19" s="712"/>
      <c r="J19" s="2247"/>
      <c r="K19" s="2049"/>
      <c r="L19" s="2049"/>
      <c r="M19" s="2050"/>
      <c r="N19" s="2089"/>
      <c r="O19" s="2244"/>
      <c r="P19" s="2049"/>
      <c r="Q19" s="2217"/>
      <c r="R19" s="2063"/>
      <c r="S19" s="2049"/>
      <c r="T19" s="2049"/>
      <c r="U19" s="2049"/>
      <c r="V19" s="2184"/>
      <c r="W19" s="2253"/>
      <c r="X19" s="2049"/>
      <c r="Y19" s="2242"/>
      <c r="Z19" s="2242"/>
      <c r="AA19" s="2242"/>
      <c r="AB19" s="2242"/>
      <c r="AC19" s="2242"/>
      <c r="AD19" s="2242"/>
      <c r="AE19" s="2242"/>
      <c r="AF19" s="2242"/>
      <c r="AG19" s="2242"/>
      <c r="AH19" s="2242"/>
      <c r="AI19" s="2242"/>
      <c r="AJ19" s="2242"/>
      <c r="AK19" s="2242"/>
      <c r="AL19" s="2242"/>
      <c r="AM19" s="2242"/>
      <c r="AN19" s="2242"/>
      <c r="AO19" s="2053"/>
      <c r="AP19" s="2240"/>
      <c r="AQ19" s="2042"/>
    </row>
    <row r="20" spans="1:66" s="467" customFormat="1" ht="160.5" customHeight="1" x14ac:dyDescent="0.2">
      <c r="A20" s="757"/>
      <c r="B20" s="2084"/>
      <c r="C20" s="2084"/>
      <c r="D20" s="711"/>
      <c r="E20" s="2084"/>
      <c r="F20" s="2084"/>
      <c r="G20" s="711"/>
      <c r="H20" s="2084"/>
      <c r="I20" s="2084"/>
      <c r="J20" s="706">
        <v>278</v>
      </c>
      <c r="K20" s="702" t="s">
        <v>656</v>
      </c>
      <c r="L20" s="702" t="s">
        <v>657</v>
      </c>
      <c r="M20" s="703">
        <v>1</v>
      </c>
      <c r="N20" s="714" t="s">
        <v>658</v>
      </c>
      <c r="O20" s="2244" t="s">
        <v>659</v>
      </c>
      <c r="P20" s="2049" t="s">
        <v>660</v>
      </c>
      <c r="Q20" s="760">
        <f>+V20/R20</f>
        <v>4.6153846153846156E-2</v>
      </c>
      <c r="R20" s="2063">
        <f>+V20+V21+V22</f>
        <v>390000000</v>
      </c>
      <c r="S20" s="2049" t="s">
        <v>661</v>
      </c>
      <c r="T20" s="728" t="s">
        <v>662</v>
      </c>
      <c r="U20" s="728" t="s">
        <v>663</v>
      </c>
      <c r="V20" s="759">
        <v>18000000</v>
      </c>
      <c r="W20" s="2251" t="s">
        <v>64</v>
      </c>
      <c r="X20" s="2086" t="s">
        <v>306</v>
      </c>
      <c r="Y20" s="2242">
        <v>292684</v>
      </c>
      <c r="Z20" s="2242">
        <v>282326</v>
      </c>
      <c r="AA20" s="2242">
        <v>135912</v>
      </c>
      <c r="AB20" s="2242">
        <v>45122</v>
      </c>
      <c r="AC20" s="2242">
        <v>307101</v>
      </c>
      <c r="AD20" s="2242">
        <v>86875</v>
      </c>
      <c r="AE20" s="2242">
        <v>2145</v>
      </c>
      <c r="AF20" s="2242">
        <v>12718</v>
      </c>
      <c r="AG20" s="2242">
        <v>26</v>
      </c>
      <c r="AH20" s="2242">
        <v>37</v>
      </c>
      <c r="AI20" s="2242">
        <v>0</v>
      </c>
      <c r="AJ20" s="2242">
        <v>0</v>
      </c>
      <c r="AK20" s="2242">
        <v>53164</v>
      </c>
      <c r="AL20" s="2242">
        <v>16982</v>
      </c>
      <c r="AM20" s="2242">
        <v>60013</v>
      </c>
      <c r="AN20" s="2242">
        <v>575010</v>
      </c>
      <c r="AO20" s="2053">
        <v>43105</v>
      </c>
      <c r="AP20" s="2240">
        <v>43465</v>
      </c>
      <c r="AQ20" s="2042" t="s">
        <v>664</v>
      </c>
    </row>
    <row r="21" spans="1:66" s="467" customFormat="1" ht="93.75" customHeight="1" x14ac:dyDescent="0.2">
      <c r="A21" s="757"/>
      <c r="B21" s="712"/>
      <c r="C21" s="712"/>
      <c r="D21" s="711"/>
      <c r="E21" s="712"/>
      <c r="F21" s="712"/>
      <c r="G21" s="711"/>
      <c r="H21" s="712"/>
      <c r="I21" s="712"/>
      <c r="J21" s="2086">
        <v>279</v>
      </c>
      <c r="K21" s="2049" t="s">
        <v>665</v>
      </c>
      <c r="L21" s="2049" t="s">
        <v>666</v>
      </c>
      <c r="M21" s="2065">
        <v>1</v>
      </c>
      <c r="N21" s="2089" t="s">
        <v>667</v>
      </c>
      <c r="O21" s="2065"/>
      <c r="P21" s="2049"/>
      <c r="Q21" s="2217">
        <f>+V22/R20</f>
        <v>0.25641025641025639</v>
      </c>
      <c r="R21" s="2063"/>
      <c r="S21" s="2049"/>
      <c r="T21" s="2249" t="s">
        <v>668</v>
      </c>
      <c r="U21" s="728" t="s">
        <v>669</v>
      </c>
      <c r="V21" s="759">
        <f>115000000+72000000+85000000</f>
        <v>272000000</v>
      </c>
      <c r="W21" s="2252"/>
      <c r="X21" s="2247"/>
      <c r="Y21" s="2242"/>
      <c r="Z21" s="2242"/>
      <c r="AA21" s="2242"/>
      <c r="AB21" s="2242"/>
      <c r="AC21" s="2242"/>
      <c r="AD21" s="2242"/>
      <c r="AE21" s="2242"/>
      <c r="AF21" s="2242"/>
      <c r="AG21" s="2242"/>
      <c r="AH21" s="2242"/>
      <c r="AI21" s="2242"/>
      <c r="AJ21" s="2242"/>
      <c r="AK21" s="2242"/>
      <c r="AL21" s="2242"/>
      <c r="AM21" s="2242"/>
      <c r="AN21" s="2242"/>
      <c r="AO21" s="2053"/>
      <c r="AP21" s="2240"/>
      <c r="AQ21" s="2042"/>
    </row>
    <row r="22" spans="1:66" s="467" customFormat="1" ht="75.75" thickBot="1" x14ac:dyDescent="0.25">
      <c r="A22" s="757"/>
      <c r="B22" s="2084"/>
      <c r="C22" s="2084"/>
      <c r="D22" s="711"/>
      <c r="E22" s="2084"/>
      <c r="F22" s="2084"/>
      <c r="G22" s="711"/>
      <c r="H22" s="2084"/>
      <c r="I22" s="2085"/>
      <c r="J22" s="2247"/>
      <c r="K22" s="2088"/>
      <c r="L22" s="2088"/>
      <c r="M22" s="2086"/>
      <c r="N22" s="2088"/>
      <c r="O22" s="2086"/>
      <c r="P22" s="2088"/>
      <c r="Q22" s="2248"/>
      <c r="R22" s="2245"/>
      <c r="S22" s="2088"/>
      <c r="T22" s="2250"/>
      <c r="U22" s="729" t="s">
        <v>670</v>
      </c>
      <c r="V22" s="761">
        <f>185000000-85000000</f>
        <v>100000000</v>
      </c>
      <c r="W22" s="2252"/>
      <c r="X22" s="2247"/>
      <c r="Y22" s="2243"/>
      <c r="Z22" s="2243"/>
      <c r="AA22" s="2243"/>
      <c r="AB22" s="2243"/>
      <c r="AC22" s="2243"/>
      <c r="AD22" s="2243"/>
      <c r="AE22" s="2243"/>
      <c r="AF22" s="2243"/>
      <c r="AG22" s="2243"/>
      <c r="AH22" s="2243"/>
      <c r="AI22" s="2243"/>
      <c r="AJ22" s="2243"/>
      <c r="AK22" s="2243"/>
      <c r="AL22" s="2243"/>
      <c r="AM22" s="2243"/>
      <c r="AN22" s="2243"/>
      <c r="AO22" s="2239"/>
      <c r="AP22" s="2241"/>
      <c r="AQ22" s="2246"/>
    </row>
    <row r="23" spans="1:66" ht="16.5" thickBot="1" x14ac:dyDescent="0.25">
      <c r="A23" s="762"/>
      <c r="B23" s="763"/>
      <c r="C23" s="763"/>
      <c r="D23" s="764"/>
      <c r="E23" s="764"/>
      <c r="F23" s="764"/>
      <c r="G23" s="764"/>
      <c r="H23" s="764"/>
      <c r="I23" s="764"/>
      <c r="J23" s="765"/>
      <c r="K23" s="766"/>
      <c r="L23" s="767"/>
      <c r="M23" s="767"/>
      <c r="N23" s="767"/>
      <c r="O23" s="767"/>
      <c r="P23" s="766"/>
      <c r="Q23" s="768"/>
      <c r="R23" s="769">
        <f>R20+R12</f>
        <v>2574941457</v>
      </c>
      <c r="S23" s="770"/>
      <c r="T23" s="766"/>
      <c r="U23" s="771"/>
      <c r="V23" s="461">
        <f>V22+V21+V20+V17+V15+V14+V13+V12</f>
        <v>2574941457</v>
      </c>
      <c r="W23" s="462"/>
      <c r="X23" s="665"/>
      <c r="Y23" s="661"/>
      <c r="Z23" s="661"/>
      <c r="AA23" s="661"/>
      <c r="AB23" s="661"/>
      <c r="AC23" s="661"/>
      <c r="AD23" s="661"/>
      <c r="AE23" s="661"/>
      <c r="AF23" s="661"/>
      <c r="AG23" s="661"/>
      <c r="AH23" s="661"/>
      <c r="AI23" s="661"/>
      <c r="AJ23" s="661"/>
      <c r="AK23" s="661"/>
      <c r="AL23" s="661"/>
      <c r="AM23" s="661"/>
      <c r="AN23" s="661"/>
      <c r="AO23" s="666"/>
      <c r="AP23" s="667"/>
      <c r="AQ23" s="668"/>
    </row>
    <row r="24" spans="1:66" ht="15.75" x14ac:dyDescent="0.2">
      <c r="A24" s="2236"/>
      <c r="B24" s="2236"/>
      <c r="C24" s="2236"/>
      <c r="D24" s="2236"/>
      <c r="E24" s="2236"/>
      <c r="F24" s="2236"/>
      <c r="G24" s="2236"/>
      <c r="H24" s="2236"/>
      <c r="I24" s="2236"/>
      <c r="J24" s="2236"/>
      <c r="K24" s="2236"/>
      <c r="L24" s="2236"/>
      <c r="M24" s="2236"/>
      <c r="N24" s="2236"/>
      <c r="O24" s="2236"/>
      <c r="P24" s="2236"/>
      <c r="Q24" s="2236"/>
      <c r="R24" s="772"/>
      <c r="S24" s="2237"/>
      <c r="T24" s="2237"/>
      <c r="U24" s="2237"/>
      <c r="V24" s="773"/>
      <c r="W24" s="774"/>
      <c r="X24" s="775"/>
      <c r="Y24" s="775"/>
      <c r="Z24" s="776"/>
      <c r="AA24" s="776"/>
      <c r="AB24" s="776"/>
      <c r="AC24" s="777"/>
      <c r="AD24" s="777"/>
      <c r="AE24" s="777"/>
      <c r="AF24" s="777"/>
      <c r="AG24" s="777"/>
      <c r="AH24" s="777"/>
      <c r="AI24" s="777"/>
      <c r="AJ24" s="777"/>
      <c r="AK24" s="777"/>
      <c r="AL24" s="777"/>
      <c r="AM24" s="777"/>
      <c r="AN24" s="777"/>
      <c r="AO24" s="777"/>
      <c r="AP24" s="777"/>
      <c r="AQ24" s="777"/>
      <c r="AR24" s="777"/>
      <c r="AS24" s="777"/>
      <c r="AT24" s="777"/>
      <c r="AU24" s="777"/>
      <c r="AV24" s="777"/>
      <c r="AW24" s="777"/>
      <c r="AX24" s="777"/>
      <c r="AY24" s="777"/>
      <c r="AZ24" s="777"/>
      <c r="BA24" s="777"/>
      <c r="BB24" s="777"/>
      <c r="BC24" s="777"/>
      <c r="BD24" s="776"/>
      <c r="BE24" s="776"/>
      <c r="BF24" s="777"/>
      <c r="BG24" s="777"/>
      <c r="BH24" s="777"/>
      <c r="BI24" s="777"/>
      <c r="BJ24" s="777"/>
      <c r="BK24" s="777"/>
      <c r="BL24" s="777"/>
      <c r="BM24" s="777"/>
      <c r="BN24" s="611"/>
    </row>
    <row r="25" spans="1:66" ht="15" x14ac:dyDescent="0.2">
      <c r="A25" s="778"/>
      <c r="B25" s="505"/>
      <c r="C25" s="505"/>
      <c r="D25" s="779"/>
      <c r="E25" s="779"/>
      <c r="F25" s="779"/>
      <c r="G25" s="780"/>
      <c r="H25" s="780"/>
      <c r="I25" s="780"/>
      <c r="J25" s="781"/>
      <c r="K25" s="609"/>
      <c r="L25" s="782"/>
      <c r="M25" s="783"/>
      <c r="N25" s="783"/>
      <c r="O25" s="783"/>
      <c r="P25" s="783"/>
      <c r="Q25" s="783"/>
      <c r="R25" s="783"/>
      <c r="S25" s="783"/>
      <c r="T25" s="504"/>
      <c r="U25" s="504"/>
      <c r="V25" s="784"/>
    </row>
    <row r="26" spans="1:66" ht="15.75" x14ac:dyDescent="0.25">
      <c r="A26" s="778"/>
      <c r="B26" s="505"/>
      <c r="C26" s="505"/>
      <c r="D26" s="779"/>
      <c r="E26" s="779"/>
      <c r="F26" s="779"/>
      <c r="G26" s="780"/>
      <c r="H26" s="780"/>
      <c r="I26" s="780"/>
      <c r="J26" s="781"/>
      <c r="K26" s="609"/>
      <c r="L26" s="782"/>
      <c r="M26" s="2238" t="s">
        <v>671</v>
      </c>
      <c r="N26" s="2238"/>
      <c r="O26" s="2238"/>
      <c r="P26" s="2238"/>
      <c r="Q26" s="2238"/>
      <c r="R26" s="2238"/>
      <c r="S26" s="2238"/>
      <c r="T26" s="504"/>
      <c r="U26" s="504"/>
      <c r="V26" s="784"/>
    </row>
    <row r="27" spans="1:66" ht="15" x14ac:dyDescent="0.2">
      <c r="A27" s="778"/>
      <c r="B27" s="505"/>
      <c r="C27" s="505"/>
      <c r="D27" s="779"/>
      <c r="E27" s="779"/>
      <c r="F27" s="779"/>
      <c r="G27" s="780"/>
      <c r="H27" s="780"/>
      <c r="I27" s="780"/>
      <c r="J27" s="781"/>
      <c r="K27" s="609"/>
      <c r="L27" s="782"/>
      <c r="M27" s="2235" t="s">
        <v>672</v>
      </c>
      <c r="N27" s="2235"/>
      <c r="O27" s="2235"/>
      <c r="P27" s="2235"/>
      <c r="Q27" s="2235"/>
      <c r="R27" s="2235"/>
      <c r="S27" s="2235"/>
      <c r="T27" s="504"/>
      <c r="U27" s="504"/>
      <c r="V27" s="784"/>
    </row>
    <row r="28" spans="1:66" ht="15" x14ac:dyDescent="0.2">
      <c r="A28" s="778"/>
      <c r="B28" s="505"/>
      <c r="C28" s="505"/>
      <c r="D28" s="505"/>
      <c r="E28" s="505"/>
      <c r="F28" s="505"/>
      <c r="G28" s="505"/>
      <c r="H28" s="505"/>
      <c r="I28" s="505"/>
      <c r="J28" s="505"/>
      <c r="K28" s="504"/>
      <c r="L28" s="783"/>
      <c r="M28" s="783"/>
      <c r="N28" s="783"/>
      <c r="O28" s="783"/>
      <c r="P28" s="783"/>
      <c r="Q28" s="783"/>
      <c r="R28" s="783"/>
      <c r="S28" s="783"/>
      <c r="T28" s="504"/>
      <c r="U28" s="504"/>
      <c r="V28" s="784"/>
    </row>
  </sheetData>
  <sheetProtection password="CBEB" sheet="1" objects="1" scenarios="1"/>
  <mergeCells count="127">
    <mergeCell ref="A1:AO4"/>
    <mergeCell ref="A5:M6"/>
    <mergeCell ref="N5:AQ5"/>
    <mergeCell ref="Y6:AM6"/>
    <mergeCell ref="A7:A8"/>
    <mergeCell ref="B7:C8"/>
    <mergeCell ref="D7:D8"/>
    <mergeCell ref="E7:F8"/>
    <mergeCell ref="G7:G8"/>
    <mergeCell ref="H7:I8"/>
    <mergeCell ref="AN7:AN8"/>
    <mergeCell ref="AO7:AO8"/>
    <mergeCell ref="AP7:AP8"/>
    <mergeCell ref="AQ7:AQ8"/>
    <mergeCell ref="AA7:AD7"/>
    <mergeCell ref="AE7:AJ7"/>
    <mergeCell ref="AK7:AM7"/>
    <mergeCell ref="B9:C9"/>
    <mergeCell ref="J12:J14"/>
    <mergeCell ref="K12:K14"/>
    <mergeCell ref="L12:L14"/>
    <mergeCell ref="M12:M14"/>
    <mergeCell ref="O12:O19"/>
    <mergeCell ref="V7:V8"/>
    <mergeCell ref="X7:X8"/>
    <mergeCell ref="Y7:Z7"/>
    <mergeCell ref="P7:P8"/>
    <mergeCell ref="Q7:Q8"/>
    <mergeCell ref="R7:R8"/>
    <mergeCell ref="S7:S8"/>
    <mergeCell ref="T7:T8"/>
    <mergeCell ref="U7:U8"/>
    <mergeCell ref="J7:J8"/>
    <mergeCell ref="K7:K8"/>
    <mergeCell ref="Z12:Z19"/>
    <mergeCell ref="L7:L8"/>
    <mergeCell ref="M7:M8"/>
    <mergeCell ref="N7:N8"/>
    <mergeCell ref="O7:O8"/>
    <mergeCell ref="P12:P19"/>
    <mergeCell ref="Q12:Q14"/>
    <mergeCell ref="R12:R19"/>
    <mergeCell ref="S12:S19"/>
    <mergeCell ref="T12:T14"/>
    <mergeCell ref="W12:W19"/>
    <mergeCell ref="Q15:Q16"/>
    <mergeCell ref="T15:T16"/>
    <mergeCell ref="U15:U16"/>
    <mergeCell ref="V15:V16"/>
    <mergeCell ref="T17:T19"/>
    <mergeCell ref="U17:U19"/>
    <mergeCell ref="V17:V19"/>
    <mergeCell ref="AF12:AF19"/>
    <mergeCell ref="AG12:AG19"/>
    <mergeCell ref="AH12:AH19"/>
    <mergeCell ref="AI12:AI19"/>
    <mergeCell ref="X12:X19"/>
    <mergeCell ref="Y12:Y19"/>
    <mergeCell ref="AA12:AA19"/>
    <mergeCell ref="AB12:AB19"/>
    <mergeCell ref="AC12:AC19"/>
    <mergeCell ref="J17:J19"/>
    <mergeCell ref="K17:K19"/>
    <mergeCell ref="L17:L19"/>
    <mergeCell ref="M17:M19"/>
    <mergeCell ref="N17:N19"/>
    <mergeCell ref="Q17:Q19"/>
    <mergeCell ref="AP12:AP19"/>
    <mergeCell ref="AQ12:AQ19"/>
    <mergeCell ref="B15:C15"/>
    <mergeCell ref="E15:F15"/>
    <mergeCell ref="H15:I15"/>
    <mergeCell ref="J15:J16"/>
    <mergeCell ref="K15:K16"/>
    <mergeCell ref="L15:L16"/>
    <mergeCell ref="M15:M16"/>
    <mergeCell ref="N15:N16"/>
    <mergeCell ref="AJ12:AJ19"/>
    <mergeCell ref="AK12:AK19"/>
    <mergeCell ref="AL12:AL19"/>
    <mergeCell ref="AM12:AM19"/>
    <mergeCell ref="AN12:AN19"/>
    <mergeCell ref="AO12:AO19"/>
    <mergeCell ref="AD12:AD19"/>
    <mergeCell ref="AE12:AE19"/>
    <mergeCell ref="AQ20:AQ22"/>
    <mergeCell ref="J21:J22"/>
    <mergeCell ref="K21:K22"/>
    <mergeCell ref="L21:L22"/>
    <mergeCell ref="M21:M22"/>
    <mergeCell ref="N21:N22"/>
    <mergeCell ref="Q21:Q22"/>
    <mergeCell ref="T21:T22"/>
    <mergeCell ref="AI20:AI22"/>
    <mergeCell ref="AJ20:AJ22"/>
    <mergeCell ref="AK20:AK22"/>
    <mergeCell ref="AL20:AL22"/>
    <mergeCell ref="AM20:AM22"/>
    <mergeCell ref="AN20:AN22"/>
    <mergeCell ref="AC20:AC22"/>
    <mergeCell ref="AD20:AD22"/>
    <mergeCell ref="AE20:AE22"/>
    <mergeCell ref="AF20:AF22"/>
    <mergeCell ref="AG20:AG22"/>
    <mergeCell ref="AH20:AH22"/>
    <mergeCell ref="W20:W22"/>
    <mergeCell ref="X20:X22"/>
    <mergeCell ref="Y20:Y22"/>
    <mergeCell ref="Z20:Z22"/>
    <mergeCell ref="M27:S27"/>
    <mergeCell ref="B22:C22"/>
    <mergeCell ref="E22:F22"/>
    <mergeCell ref="H22:I22"/>
    <mergeCell ref="A24:Q24"/>
    <mergeCell ref="S24:U24"/>
    <mergeCell ref="M26:S26"/>
    <mergeCell ref="AO20:AO22"/>
    <mergeCell ref="AP20:AP22"/>
    <mergeCell ref="AA20:AA22"/>
    <mergeCell ref="AB20:AB22"/>
    <mergeCell ref="B20:C20"/>
    <mergeCell ref="E20:F20"/>
    <mergeCell ref="H20:I20"/>
    <mergeCell ref="O20:O22"/>
    <mergeCell ref="P20:P22"/>
    <mergeCell ref="R20:R22"/>
    <mergeCell ref="S20:S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X231"/>
  <sheetViews>
    <sheetView showGridLines="0" topLeftCell="T6" zoomScale="70" zoomScaleNormal="70" workbookViewId="0">
      <selection activeCell="J20" sqref="J20:J27"/>
    </sheetView>
  </sheetViews>
  <sheetFormatPr baseColWidth="10" defaultColWidth="11.42578125" defaultRowHeight="14.25" x14ac:dyDescent="0.2"/>
  <cols>
    <col min="1" max="1" width="12.7109375" style="340" customWidth="1"/>
    <col min="2" max="2" width="4.85546875" style="139" customWidth="1"/>
    <col min="3" max="3" width="14.28515625" style="139" customWidth="1"/>
    <col min="4" max="4" width="15.42578125" style="139" customWidth="1"/>
    <col min="5" max="5" width="4.85546875" style="139" customWidth="1"/>
    <col min="6" max="7" width="16" style="139" customWidth="1"/>
    <col min="8" max="8" width="4.85546875" style="139" customWidth="1"/>
    <col min="9" max="9" width="20.42578125" style="139" customWidth="1"/>
    <col min="10" max="10" width="19.42578125" style="354" customWidth="1"/>
    <col min="11" max="11" width="31.5703125" style="355" customWidth="1"/>
    <col min="12" max="12" width="28.42578125" style="138" customWidth="1"/>
    <col min="13" max="13" width="22.5703125" style="138" customWidth="1"/>
    <col min="14" max="14" width="30.5703125" style="138" customWidth="1"/>
    <col min="15" max="15" width="30.140625" style="356" customWidth="1"/>
    <col min="16" max="16" width="36.85546875" style="355" customWidth="1"/>
    <col min="17" max="17" width="16.42578125" style="357" customWidth="1"/>
    <col min="18" max="18" width="30" style="345" customWidth="1"/>
    <col min="19" max="19" width="33.42578125" style="355" customWidth="1"/>
    <col min="20" max="20" width="39.140625" style="355" customWidth="1"/>
    <col min="21" max="21" width="32.5703125" style="355" customWidth="1"/>
    <col min="22" max="22" width="31.42578125" style="353" customWidth="1"/>
    <col min="23" max="23" width="14.5703125" style="358" customWidth="1"/>
    <col min="24" max="24" width="21" style="355" customWidth="1"/>
    <col min="25" max="40" width="14.140625" style="139" customWidth="1"/>
    <col min="41" max="41" width="22.7109375" style="359" customWidth="1"/>
    <col min="42" max="42" width="22.7109375" style="360" customWidth="1"/>
    <col min="43" max="43" width="24" style="361" customWidth="1"/>
    <col min="44" max="256" width="11.42578125" style="139"/>
    <col min="257" max="264" width="4.85546875" style="139" customWidth="1"/>
    <col min="265" max="265" width="9.5703125" style="139" customWidth="1"/>
    <col min="266" max="266" width="11.5703125" style="139" customWidth="1"/>
    <col min="267" max="267" width="38.42578125" style="139" customWidth="1"/>
    <col min="268" max="268" width="22.7109375" style="139" customWidth="1"/>
    <col min="269" max="269" width="38" style="139" customWidth="1"/>
    <col min="270" max="270" width="30.28515625" style="139" customWidth="1"/>
    <col min="271" max="271" width="10.42578125" style="139" customWidth="1"/>
    <col min="272" max="272" width="28.42578125" style="139" customWidth="1"/>
    <col min="273" max="273" width="19.140625" style="139" customWidth="1"/>
    <col min="274" max="274" width="28.140625" style="139" customWidth="1"/>
    <col min="275" max="275" width="26.42578125" style="139" customWidth="1"/>
    <col min="276" max="276" width="26.7109375" style="139" customWidth="1"/>
    <col min="277" max="277" width="44.28515625" style="139" customWidth="1"/>
    <col min="278" max="278" width="25.42578125" style="139" customWidth="1"/>
    <col min="279" max="279" width="30.5703125" style="139" customWidth="1"/>
    <col min="280" max="280" width="16.85546875" style="139" customWidth="1"/>
    <col min="281" max="296" width="14.140625" style="139" customWidth="1"/>
    <col min="297" max="298" width="22.7109375" style="139" customWidth="1"/>
    <col min="299" max="299" width="28.7109375" style="139" customWidth="1"/>
    <col min="300" max="512" width="11.42578125" style="139"/>
    <col min="513" max="520" width="4.85546875" style="139" customWidth="1"/>
    <col min="521" max="521" width="9.5703125" style="139" customWidth="1"/>
    <col min="522" max="522" width="11.5703125" style="139" customWidth="1"/>
    <col min="523" max="523" width="38.42578125" style="139" customWidth="1"/>
    <col min="524" max="524" width="22.7109375" style="139" customWidth="1"/>
    <col min="525" max="525" width="38" style="139" customWidth="1"/>
    <col min="526" max="526" width="30.28515625" style="139" customWidth="1"/>
    <col min="527" max="527" width="10.42578125" style="139" customWidth="1"/>
    <col min="528" max="528" width="28.42578125" style="139" customWidth="1"/>
    <col min="529" max="529" width="19.140625" style="139" customWidth="1"/>
    <col min="530" max="530" width="28.140625" style="139" customWidth="1"/>
    <col min="531" max="531" width="26.42578125" style="139" customWidth="1"/>
    <col min="532" max="532" width="26.7109375" style="139" customWidth="1"/>
    <col min="533" max="533" width="44.28515625" style="139" customWidth="1"/>
    <col min="534" max="534" width="25.42578125" style="139" customWidth="1"/>
    <col min="535" max="535" width="30.5703125" style="139" customWidth="1"/>
    <col min="536" max="536" width="16.85546875" style="139" customWidth="1"/>
    <col min="537" max="552" width="14.140625" style="139" customWidth="1"/>
    <col min="553" max="554" width="22.7109375" style="139" customWidth="1"/>
    <col min="555" max="555" width="28.7109375" style="139" customWidth="1"/>
    <col min="556" max="768" width="11.42578125" style="139"/>
    <col min="769" max="776" width="4.85546875" style="139" customWidth="1"/>
    <col min="777" max="777" width="9.5703125" style="139" customWidth="1"/>
    <col min="778" max="778" width="11.5703125" style="139" customWidth="1"/>
    <col min="779" max="779" width="38.42578125" style="139" customWidth="1"/>
    <col min="780" max="780" width="22.7109375" style="139" customWidth="1"/>
    <col min="781" max="781" width="38" style="139" customWidth="1"/>
    <col min="782" max="782" width="30.28515625" style="139" customWidth="1"/>
    <col min="783" max="783" width="10.42578125" style="139" customWidth="1"/>
    <col min="784" max="784" width="28.42578125" style="139" customWidth="1"/>
    <col min="785" max="785" width="19.140625" style="139" customWidth="1"/>
    <col min="786" max="786" width="28.140625" style="139" customWidth="1"/>
    <col min="787" max="787" width="26.42578125" style="139" customWidth="1"/>
    <col min="788" max="788" width="26.7109375" style="139" customWidth="1"/>
    <col min="789" max="789" width="44.28515625" style="139" customWidth="1"/>
    <col min="790" max="790" width="25.42578125" style="139" customWidth="1"/>
    <col min="791" max="791" width="30.5703125" style="139" customWidth="1"/>
    <col min="792" max="792" width="16.85546875" style="139" customWidth="1"/>
    <col min="793" max="808" width="14.140625" style="139" customWidth="1"/>
    <col min="809" max="810" width="22.7109375" style="139" customWidth="1"/>
    <col min="811" max="811" width="28.7109375" style="139" customWidth="1"/>
    <col min="812" max="1024" width="11.42578125" style="139"/>
    <col min="1025" max="1032" width="4.85546875" style="139" customWidth="1"/>
    <col min="1033" max="1033" width="9.5703125" style="139" customWidth="1"/>
    <col min="1034" max="1034" width="11.5703125" style="139" customWidth="1"/>
    <col min="1035" max="1035" width="38.42578125" style="139" customWidth="1"/>
    <col min="1036" max="1036" width="22.7109375" style="139" customWidth="1"/>
    <col min="1037" max="1037" width="38" style="139" customWidth="1"/>
    <col min="1038" max="1038" width="30.28515625" style="139" customWidth="1"/>
    <col min="1039" max="1039" width="10.42578125" style="139" customWidth="1"/>
    <col min="1040" max="1040" width="28.42578125" style="139" customWidth="1"/>
    <col min="1041" max="1041" width="19.140625" style="139" customWidth="1"/>
    <col min="1042" max="1042" width="28.140625" style="139" customWidth="1"/>
    <col min="1043" max="1043" width="26.42578125" style="139" customWidth="1"/>
    <col min="1044" max="1044" width="26.7109375" style="139" customWidth="1"/>
    <col min="1045" max="1045" width="44.28515625" style="139" customWidth="1"/>
    <col min="1046" max="1046" width="25.42578125" style="139" customWidth="1"/>
    <col min="1047" max="1047" width="30.5703125" style="139" customWidth="1"/>
    <col min="1048" max="1048" width="16.85546875" style="139" customWidth="1"/>
    <col min="1049" max="1064" width="14.140625" style="139" customWidth="1"/>
    <col min="1065" max="1066" width="22.7109375" style="139" customWidth="1"/>
    <col min="1067" max="1067" width="28.7109375" style="139" customWidth="1"/>
    <col min="1068" max="1280" width="11.42578125" style="139"/>
    <col min="1281" max="1288" width="4.85546875" style="139" customWidth="1"/>
    <col min="1289" max="1289" width="9.5703125" style="139" customWidth="1"/>
    <col min="1290" max="1290" width="11.5703125" style="139" customWidth="1"/>
    <col min="1291" max="1291" width="38.42578125" style="139" customWidth="1"/>
    <col min="1292" max="1292" width="22.7109375" style="139" customWidth="1"/>
    <col min="1293" max="1293" width="38" style="139" customWidth="1"/>
    <col min="1294" max="1294" width="30.28515625" style="139" customWidth="1"/>
    <col min="1295" max="1295" width="10.42578125" style="139" customWidth="1"/>
    <col min="1296" max="1296" width="28.42578125" style="139" customWidth="1"/>
    <col min="1297" max="1297" width="19.140625" style="139" customWidth="1"/>
    <col min="1298" max="1298" width="28.140625" style="139" customWidth="1"/>
    <col min="1299" max="1299" width="26.42578125" style="139" customWidth="1"/>
    <col min="1300" max="1300" width="26.7109375" style="139" customWidth="1"/>
    <col min="1301" max="1301" width="44.28515625" style="139" customWidth="1"/>
    <col min="1302" max="1302" width="25.42578125" style="139" customWidth="1"/>
    <col min="1303" max="1303" width="30.5703125" style="139" customWidth="1"/>
    <col min="1304" max="1304" width="16.85546875" style="139" customWidth="1"/>
    <col min="1305" max="1320" width="14.140625" style="139" customWidth="1"/>
    <col min="1321" max="1322" width="22.7109375" style="139" customWidth="1"/>
    <col min="1323" max="1323" width="28.7109375" style="139" customWidth="1"/>
    <col min="1324" max="1536" width="11.42578125" style="139"/>
    <col min="1537" max="1544" width="4.85546875" style="139" customWidth="1"/>
    <col min="1545" max="1545" width="9.5703125" style="139" customWidth="1"/>
    <col min="1546" max="1546" width="11.5703125" style="139" customWidth="1"/>
    <col min="1547" max="1547" width="38.42578125" style="139" customWidth="1"/>
    <col min="1548" max="1548" width="22.7109375" style="139" customWidth="1"/>
    <col min="1549" max="1549" width="38" style="139" customWidth="1"/>
    <col min="1550" max="1550" width="30.28515625" style="139" customWidth="1"/>
    <col min="1551" max="1551" width="10.42578125" style="139" customWidth="1"/>
    <col min="1552" max="1552" width="28.42578125" style="139" customWidth="1"/>
    <col min="1553" max="1553" width="19.140625" style="139" customWidth="1"/>
    <col min="1554" max="1554" width="28.140625" style="139" customWidth="1"/>
    <col min="1555" max="1555" width="26.42578125" style="139" customWidth="1"/>
    <col min="1556" max="1556" width="26.7109375" style="139" customWidth="1"/>
    <col min="1557" max="1557" width="44.28515625" style="139" customWidth="1"/>
    <col min="1558" max="1558" width="25.42578125" style="139" customWidth="1"/>
    <col min="1559" max="1559" width="30.5703125" style="139" customWidth="1"/>
    <col min="1560" max="1560" width="16.85546875" style="139" customWidth="1"/>
    <col min="1561" max="1576" width="14.140625" style="139" customWidth="1"/>
    <col min="1577" max="1578" width="22.7109375" style="139" customWidth="1"/>
    <col min="1579" max="1579" width="28.7109375" style="139" customWidth="1"/>
    <col min="1580" max="1792" width="11.42578125" style="139"/>
    <col min="1793" max="1800" width="4.85546875" style="139" customWidth="1"/>
    <col min="1801" max="1801" width="9.5703125" style="139" customWidth="1"/>
    <col min="1802" max="1802" width="11.5703125" style="139" customWidth="1"/>
    <col min="1803" max="1803" width="38.42578125" style="139" customWidth="1"/>
    <col min="1804" max="1804" width="22.7109375" style="139" customWidth="1"/>
    <col min="1805" max="1805" width="38" style="139" customWidth="1"/>
    <col min="1806" max="1806" width="30.28515625" style="139" customWidth="1"/>
    <col min="1807" max="1807" width="10.42578125" style="139" customWidth="1"/>
    <col min="1808" max="1808" width="28.42578125" style="139" customWidth="1"/>
    <col min="1809" max="1809" width="19.140625" style="139" customWidth="1"/>
    <col min="1810" max="1810" width="28.140625" style="139" customWidth="1"/>
    <col min="1811" max="1811" width="26.42578125" style="139" customWidth="1"/>
    <col min="1812" max="1812" width="26.7109375" style="139" customWidth="1"/>
    <col min="1813" max="1813" width="44.28515625" style="139" customWidth="1"/>
    <col min="1814" max="1814" width="25.42578125" style="139" customWidth="1"/>
    <col min="1815" max="1815" width="30.5703125" style="139" customWidth="1"/>
    <col min="1816" max="1816" width="16.85546875" style="139" customWidth="1"/>
    <col min="1817" max="1832" width="14.140625" style="139" customWidth="1"/>
    <col min="1833" max="1834" width="22.7109375" style="139" customWidth="1"/>
    <col min="1835" max="1835" width="28.7109375" style="139" customWidth="1"/>
    <col min="1836" max="2048" width="11.42578125" style="139"/>
    <col min="2049" max="2056" width="4.85546875" style="139" customWidth="1"/>
    <col min="2057" max="2057" width="9.5703125" style="139" customWidth="1"/>
    <col min="2058" max="2058" width="11.5703125" style="139" customWidth="1"/>
    <col min="2059" max="2059" width="38.42578125" style="139" customWidth="1"/>
    <col min="2060" max="2060" width="22.7109375" style="139" customWidth="1"/>
    <col min="2061" max="2061" width="38" style="139" customWidth="1"/>
    <col min="2062" max="2062" width="30.28515625" style="139" customWidth="1"/>
    <col min="2063" max="2063" width="10.42578125" style="139" customWidth="1"/>
    <col min="2064" max="2064" width="28.42578125" style="139" customWidth="1"/>
    <col min="2065" max="2065" width="19.140625" style="139" customWidth="1"/>
    <col min="2066" max="2066" width="28.140625" style="139" customWidth="1"/>
    <col min="2067" max="2067" width="26.42578125" style="139" customWidth="1"/>
    <col min="2068" max="2068" width="26.7109375" style="139" customWidth="1"/>
    <col min="2069" max="2069" width="44.28515625" style="139" customWidth="1"/>
    <col min="2070" max="2070" width="25.42578125" style="139" customWidth="1"/>
    <col min="2071" max="2071" width="30.5703125" style="139" customWidth="1"/>
    <col min="2072" max="2072" width="16.85546875" style="139" customWidth="1"/>
    <col min="2073" max="2088" width="14.140625" style="139" customWidth="1"/>
    <col min="2089" max="2090" width="22.7109375" style="139" customWidth="1"/>
    <col min="2091" max="2091" width="28.7109375" style="139" customWidth="1"/>
    <col min="2092" max="2304" width="11.42578125" style="139"/>
    <col min="2305" max="2312" width="4.85546875" style="139" customWidth="1"/>
    <col min="2313" max="2313" width="9.5703125" style="139" customWidth="1"/>
    <col min="2314" max="2314" width="11.5703125" style="139" customWidth="1"/>
    <col min="2315" max="2315" width="38.42578125" style="139" customWidth="1"/>
    <col min="2316" max="2316" width="22.7109375" style="139" customWidth="1"/>
    <col min="2317" max="2317" width="38" style="139" customWidth="1"/>
    <col min="2318" max="2318" width="30.28515625" style="139" customWidth="1"/>
    <col min="2319" max="2319" width="10.42578125" style="139" customWidth="1"/>
    <col min="2320" max="2320" width="28.42578125" style="139" customWidth="1"/>
    <col min="2321" max="2321" width="19.140625" style="139" customWidth="1"/>
    <col min="2322" max="2322" width="28.140625" style="139" customWidth="1"/>
    <col min="2323" max="2323" width="26.42578125" style="139" customWidth="1"/>
    <col min="2324" max="2324" width="26.7109375" style="139" customWidth="1"/>
    <col min="2325" max="2325" width="44.28515625" style="139" customWidth="1"/>
    <col min="2326" max="2326" width="25.42578125" style="139" customWidth="1"/>
    <col min="2327" max="2327" width="30.5703125" style="139" customWidth="1"/>
    <col min="2328" max="2328" width="16.85546875" style="139" customWidth="1"/>
    <col min="2329" max="2344" width="14.140625" style="139" customWidth="1"/>
    <col min="2345" max="2346" width="22.7109375" style="139" customWidth="1"/>
    <col min="2347" max="2347" width="28.7109375" style="139" customWidth="1"/>
    <col min="2348" max="2560" width="11.42578125" style="139"/>
    <col min="2561" max="2568" width="4.85546875" style="139" customWidth="1"/>
    <col min="2569" max="2569" width="9.5703125" style="139" customWidth="1"/>
    <col min="2570" max="2570" width="11.5703125" style="139" customWidth="1"/>
    <col min="2571" max="2571" width="38.42578125" style="139" customWidth="1"/>
    <col min="2572" max="2572" width="22.7109375" style="139" customWidth="1"/>
    <col min="2573" max="2573" width="38" style="139" customWidth="1"/>
    <col min="2574" max="2574" width="30.28515625" style="139" customWidth="1"/>
    <col min="2575" max="2575" width="10.42578125" style="139" customWidth="1"/>
    <col min="2576" max="2576" width="28.42578125" style="139" customWidth="1"/>
    <col min="2577" max="2577" width="19.140625" style="139" customWidth="1"/>
    <col min="2578" max="2578" width="28.140625" style="139" customWidth="1"/>
    <col min="2579" max="2579" width="26.42578125" style="139" customWidth="1"/>
    <col min="2580" max="2580" width="26.7109375" style="139" customWidth="1"/>
    <col min="2581" max="2581" width="44.28515625" style="139" customWidth="1"/>
    <col min="2582" max="2582" width="25.42578125" style="139" customWidth="1"/>
    <col min="2583" max="2583" width="30.5703125" style="139" customWidth="1"/>
    <col min="2584" max="2584" width="16.85546875" style="139" customWidth="1"/>
    <col min="2585" max="2600" width="14.140625" style="139" customWidth="1"/>
    <col min="2601" max="2602" width="22.7109375" style="139" customWidth="1"/>
    <col min="2603" max="2603" width="28.7109375" style="139" customWidth="1"/>
    <col min="2604" max="2816" width="11.42578125" style="139"/>
    <col min="2817" max="2824" width="4.85546875" style="139" customWidth="1"/>
    <col min="2825" max="2825" width="9.5703125" style="139" customWidth="1"/>
    <col min="2826" max="2826" width="11.5703125" style="139" customWidth="1"/>
    <col min="2827" max="2827" width="38.42578125" style="139" customWidth="1"/>
    <col min="2828" max="2828" width="22.7109375" style="139" customWidth="1"/>
    <col min="2829" max="2829" width="38" style="139" customWidth="1"/>
    <col min="2830" max="2830" width="30.28515625" style="139" customWidth="1"/>
    <col min="2831" max="2831" width="10.42578125" style="139" customWidth="1"/>
    <col min="2832" max="2832" width="28.42578125" style="139" customWidth="1"/>
    <col min="2833" max="2833" width="19.140625" style="139" customWidth="1"/>
    <col min="2834" max="2834" width="28.140625" style="139" customWidth="1"/>
    <col min="2835" max="2835" width="26.42578125" style="139" customWidth="1"/>
    <col min="2836" max="2836" width="26.7109375" style="139" customWidth="1"/>
    <col min="2837" max="2837" width="44.28515625" style="139" customWidth="1"/>
    <col min="2838" max="2838" width="25.42578125" style="139" customWidth="1"/>
    <col min="2839" max="2839" width="30.5703125" style="139" customWidth="1"/>
    <col min="2840" max="2840" width="16.85546875" style="139" customWidth="1"/>
    <col min="2841" max="2856" width="14.140625" style="139" customWidth="1"/>
    <col min="2857" max="2858" width="22.7109375" style="139" customWidth="1"/>
    <col min="2859" max="2859" width="28.7109375" style="139" customWidth="1"/>
    <col min="2860" max="3072" width="11.42578125" style="139"/>
    <col min="3073" max="3080" width="4.85546875" style="139" customWidth="1"/>
    <col min="3081" max="3081" width="9.5703125" style="139" customWidth="1"/>
    <col min="3082" max="3082" width="11.5703125" style="139" customWidth="1"/>
    <col min="3083" max="3083" width="38.42578125" style="139" customWidth="1"/>
    <col min="3084" max="3084" width="22.7109375" style="139" customWidth="1"/>
    <col min="3085" max="3085" width="38" style="139" customWidth="1"/>
    <col min="3086" max="3086" width="30.28515625" style="139" customWidth="1"/>
    <col min="3087" max="3087" width="10.42578125" style="139" customWidth="1"/>
    <col min="3088" max="3088" width="28.42578125" style="139" customWidth="1"/>
    <col min="3089" max="3089" width="19.140625" style="139" customWidth="1"/>
    <col min="3090" max="3090" width="28.140625" style="139" customWidth="1"/>
    <col min="3091" max="3091" width="26.42578125" style="139" customWidth="1"/>
    <col min="3092" max="3092" width="26.7109375" style="139" customWidth="1"/>
    <col min="3093" max="3093" width="44.28515625" style="139" customWidth="1"/>
    <col min="3094" max="3094" width="25.42578125" style="139" customWidth="1"/>
    <col min="3095" max="3095" width="30.5703125" style="139" customWidth="1"/>
    <col min="3096" max="3096" width="16.85546875" style="139" customWidth="1"/>
    <col min="3097" max="3112" width="14.140625" style="139" customWidth="1"/>
    <col min="3113" max="3114" width="22.7109375" style="139" customWidth="1"/>
    <col min="3115" max="3115" width="28.7109375" style="139" customWidth="1"/>
    <col min="3116" max="3328" width="11.42578125" style="139"/>
    <col min="3329" max="3336" width="4.85546875" style="139" customWidth="1"/>
    <col min="3337" max="3337" width="9.5703125" style="139" customWidth="1"/>
    <col min="3338" max="3338" width="11.5703125" style="139" customWidth="1"/>
    <col min="3339" max="3339" width="38.42578125" style="139" customWidth="1"/>
    <col min="3340" max="3340" width="22.7109375" style="139" customWidth="1"/>
    <col min="3341" max="3341" width="38" style="139" customWidth="1"/>
    <col min="3342" max="3342" width="30.28515625" style="139" customWidth="1"/>
    <col min="3343" max="3343" width="10.42578125" style="139" customWidth="1"/>
    <col min="3344" max="3344" width="28.42578125" style="139" customWidth="1"/>
    <col min="3345" max="3345" width="19.140625" style="139" customWidth="1"/>
    <col min="3346" max="3346" width="28.140625" style="139" customWidth="1"/>
    <col min="3347" max="3347" width="26.42578125" style="139" customWidth="1"/>
    <col min="3348" max="3348" width="26.7109375" style="139" customWidth="1"/>
    <col min="3349" max="3349" width="44.28515625" style="139" customWidth="1"/>
    <col min="3350" max="3350" width="25.42578125" style="139" customWidth="1"/>
    <col min="3351" max="3351" width="30.5703125" style="139" customWidth="1"/>
    <col min="3352" max="3352" width="16.85546875" style="139" customWidth="1"/>
    <col min="3353" max="3368" width="14.140625" style="139" customWidth="1"/>
    <col min="3369" max="3370" width="22.7109375" style="139" customWidth="1"/>
    <col min="3371" max="3371" width="28.7109375" style="139" customWidth="1"/>
    <col min="3372" max="3584" width="11.42578125" style="139"/>
    <col min="3585" max="3592" width="4.85546875" style="139" customWidth="1"/>
    <col min="3593" max="3593" width="9.5703125" style="139" customWidth="1"/>
    <col min="3594" max="3594" width="11.5703125" style="139" customWidth="1"/>
    <col min="3595" max="3595" width="38.42578125" style="139" customWidth="1"/>
    <col min="3596" max="3596" width="22.7109375" style="139" customWidth="1"/>
    <col min="3597" max="3597" width="38" style="139" customWidth="1"/>
    <col min="3598" max="3598" width="30.28515625" style="139" customWidth="1"/>
    <col min="3599" max="3599" width="10.42578125" style="139" customWidth="1"/>
    <col min="3600" max="3600" width="28.42578125" style="139" customWidth="1"/>
    <col min="3601" max="3601" width="19.140625" style="139" customWidth="1"/>
    <col min="3602" max="3602" width="28.140625" style="139" customWidth="1"/>
    <col min="3603" max="3603" width="26.42578125" style="139" customWidth="1"/>
    <col min="3604" max="3604" width="26.7109375" style="139" customWidth="1"/>
    <col min="3605" max="3605" width="44.28515625" style="139" customWidth="1"/>
    <col min="3606" max="3606" width="25.42578125" style="139" customWidth="1"/>
    <col min="3607" max="3607" width="30.5703125" style="139" customWidth="1"/>
    <col min="3608" max="3608" width="16.85546875" style="139" customWidth="1"/>
    <col min="3609" max="3624" width="14.140625" style="139" customWidth="1"/>
    <col min="3625" max="3626" width="22.7109375" style="139" customWidth="1"/>
    <col min="3627" max="3627" width="28.7109375" style="139" customWidth="1"/>
    <col min="3628" max="3840" width="11.42578125" style="139"/>
    <col min="3841" max="3848" width="4.85546875" style="139" customWidth="1"/>
    <col min="3849" max="3849" width="9.5703125" style="139" customWidth="1"/>
    <col min="3850" max="3850" width="11.5703125" style="139" customWidth="1"/>
    <col min="3851" max="3851" width="38.42578125" style="139" customWidth="1"/>
    <col min="3852" max="3852" width="22.7109375" style="139" customWidth="1"/>
    <col min="3853" max="3853" width="38" style="139" customWidth="1"/>
    <col min="3854" max="3854" width="30.28515625" style="139" customWidth="1"/>
    <col min="3855" max="3855" width="10.42578125" style="139" customWidth="1"/>
    <col min="3856" max="3856" width="28.42578125" style="139" customWidth="1"/>
    <col min="3857" max="3857" width="19.140625" style="139" customWidth="1"/>
    <col min="3858" max="3858" width="28.140625" style="139" customWidth="1"/>
    <col min="3859" max="3859" width="26.42578125" style="139" customWidth="1"/>
    <col min="3860" max="3860" width="26.7109375" style="139" customWidth="1"/>
    <col min="3861" max="3861" width="44.28515625" style="139" customWidth="1"/>
    <col min="3862" max="3862" width="25.42578125" style="139" customWidth="1"/>
    <col min="3863" max="3863" width="30.5703125" style="139" customWidth="1"/>
    <col min="3864" max="3864" width="16.85546875" style="139" customWidth="1"/>
    <col min="3865" max="3880" width="14.140625" style="139" customWidth="1"/>
    <col min="3881" max="3882" width="22.7109375" style="139" customWidth="1"/>
    <col min="3883" max="3883" width="28.7109375" style="139" customWidth="1"/>
    <col min="3884" max="4096" width="11.42578125" style="139"/>
    <col min="4097" max="4104" width="4.85546875" style="139" customWidth="1"/>
    <col min="4105" max="4105" width="9.5703125" style="139" customWidth="1"/>
    <col min="4106" max="4106" width="11.5703125" style="139" customWidth="1"/>
    <col min="4107" max="4107" width="38.42578125" style="139" customWidth="1"/>
    <col min="4108" max="4108" width="22.7109375" style="139" customWidth="1"/>
    <col min="4109" max="4109" width="38" style="139" customWidth="1"/>
    <col min="4110" max="4110" width="30.28515625" style="139" customWidth="1"/>
    <col min="4111" max="4111" width="10.42578125" style="139" customWidth="1"/>
    <col min="4112" max="4112" width="28.42578125" style="139" customWidth="1"/>
    <col min="4113" max="4113" width="19.140625" style="139" customWidth="1"/>
    <col min="4114" max="4114" width="28.140625" style="139" customWidth="1"/>
    <col min="4115" max="4115" width="26.42578125" style="139" customWidth="1"/>
    <col min="4116" max="4116" width="26.7109375" style="139" customWidth="1"/>
    <col min="4117" max="4117" width="44.28515625" style="139" customWidth="1"/>
    <col min="4118" max="4118" width="25.42578125" style="139" customWidth="1"/>
    <col min="4119" max="4119" width="30.5703125" style="139" customWidth="1"/>
    <col min="4120" max="4120" width="16.85546875" style="139" customWidth="1"/>
    <col min="4121" max="4136" width="14.140625" style="139" customWidth="1"/>
    <col min="4137" max="4138" width="22.7109375" style="139" customWidth="1"/>
    <col min="4139" max="4139" width="28.7109375" style="139" customWidth="1"/>
    <col min="4140" max="4352" width="11.42578125" style="139"/>
    <col min="4353" max="4360" width="4.85546875" style="139" customWidth="1"/>
    <col min="4361" max="4361" width="9.5703125" style="139" customWidth="1"/>
    <col min="4362" max="4362" width="11.5703125" style="139" customWidth="1"/>
    <col min="4363" max="4363" width="38.42578125" style="139" customWidth="1"/>
    <col min="4364" max="4364" width="22.7109375" style="139" customWidth="1"/>
    <col min="4365" max="4365" width="38" style="139" customWidth="1"/>
    <col min="4366" max="4366" width="30.28515625" style="139" customWidth="1"/>
    <col min="4367" max="4367" width="10.42578125" style="139" customWidth="1"/>
    <col min="4368" max="4368" width="28.42578125" style="139" customWidth="1"/>
    <col min="4369" max="4369" width="19.140625" style="139" customWidth="1"/>
    <col min="4370" max="4370" width="28.140625" style="139" customWidth="1"/>
    <col min="4371" max="4371" width="26.42578125" style="139" customWidth="1"/>
    <col min="4372" max="4372" width="26.7109375" style="139" customWidth="1"/>
    <col min="4373" max="4373" width="44.28515625" style="139" customWidth="1"/>
    <col min="4374" max="4374" width="25.42578125" style="139" customWidth="1"/>
    <col min="4375" max="4375" width="30.5703125" style="139" customWidth="1"/>
    <col min="4376" max="4376" width="16.85546875" style="139" customWidth="1"/>
    <col min="4377" max="4392" width="14.140625" style="139" customWidth="1"/>
    <col min="4393" max="4394" width="22.7109375" style="139" customWidth="1"/>
    <col min="4395" max="4395" width="28.7109375" style="139" customWidth="1"/>
    <col min="4396" max="4608" width="11.42578125" style="139"/>
    <col min="4609" max="4616" width="4.85546875" style="139" customWidth="1"/>
    <col min="4617" max="4617" width="9.5703125" style="139" customWidth="1"/>
    <col min="4618" max="4618" width="11.5703125" style="139" customWidth="1"/>
    <col min="4619" max="4619" width="38.42578125" style="139" customWidth="1"/>
    <col min="4620" max="4620" width="22.7109375" style="139" customWidth="1"/>
    <col min="4621" max="4621" width="38" style="139" customWidth="1"/>
    <col min="4622" max="4622" width="30.28515625" style="139" customWidth="1"/>
    <col min="4623" max="4623" width="10.42578125" style="139" customWidth="1"/>
    <col min="4624" max="4624" width="28.42578125" style="139" customWidth="1"/>
    <col min="4625" max="4625" width="19.140625" style="139" customWidth="1"/>
    <col min="4626" max="4626" width="28.140625" style="139" customWidth="1"/>
    <col min="4627" max="4627" width="26.42578125" style="139" customWidth="1"/>
    <col min="4628" max="4628" width="26.7109375" style="139" customWidth="1"/>
    <col min="4629" max="4629" width="44.28515625" style="139" customWidth="1"/>
    <col min="4630" max="4630" width="25.42578125" style="139" customWidth="1"/>
    <col min="4631" max="4631" width="30.5703125" style="139" customWidth="1"/>
    <col min="4632" max="4632" width="16.85546875" style="139" customWidth="1"/>
    <col min="4633" max="4648" width="14.140625" style="139" customWidth="1"/>
    <col min="4649" max="4650" width="22.7109375" style="139" customWidth="1"/>
    <col min="4651" max="4651" width="28.7109375" style="139" customWidth="1"/>
    <col min="4652" max="4864" width="11.42578125" style="139"/>
    <col min="4865" max="4872" width="4.85546875" style="139" customWidth="1"/>
    <col min="4873" max="4873" width="9.5703125" style="139" customWidth="1"/>
    <col min="4874" max="4874" width="11.5703125" style="139" customWidth="1"/>
    <col min="4875" max="4875" width="38.42578125" style="139" customWidth="1"/>
    <col min="4876" max="4876" width="22.7109375" style="139" customWidth="1"/>
    <col min="4877" max="4877" width="38" style="139" customWidth="1"/>
    <col min="4878" max="4878" width="30.28515625" style="139" customWidth="1"/>
    <col min="4879" max="4879" width="10.42578125" style="139" customWidth="1"/>
    <col min="4880" max="4880" width="28.42578125" style="139" customWidth="1"/>
    <col min="4881" max="4881" width="19.140625" style="139" customWidth="1"/>
    <col min="4882" max="4882" width="28.140625" style="139" customWidth="1"/>
    <col min="4883" max="4883" width="26.42578125" style="139" customWidth="1"/>
    <col min="4884" max="4884" width="26.7109375" style="139" customWidth="1"/>
    <col min="4885" max="4885" width="44.28515625" style="139" customWidth="1"/>
    <col min="4886" max="4886" width="25.42578125" style="139" customWidth="1"/>
    <col min="4887" max="4887" width="30.5703125" style="139" customWidth="1"/>
    <col min="4888" max="4888" width="16.85546875" style="139" customWidth="1"/>
    <col min="4889" max="4904" width="14.140625" style="139" customWidth="1"/>
    <col min="4905" max="4906" width="22.7109375" style="139" customWidth="1"/>
    <col min="4907" max="4907" width="28.7109375" style="139" customWidth="1"/>
    <col min="4908" max="5120" width="11.42578125" style="139"/>
    <col min="5121" max="5128" width="4.85546875" style="139" customWidth="1"/>
    <col min="5129" max="5129" width="9.5703125" style="139" customWidth="1"/>
    <col min="5130" max="5130" width="11.5703125" style="139" customWidth="1"/>
    <col min="5131" max="5131" width="38.42578125" style="139" customWidth="1"/>
    <col min="5132" max="5132" width="22.7109375" style="139" customWidth="1"/>
    <col min="5133" max="5133" width="38" style="139" customWidth="1"/>
    <col min="5134" max="5134" width="30.28515625" style="139" customWidth="1"/>
    <col min="5135" max="5135" width="10.42578125" style="139" customWidth="1"/>
    <col min="5136" max="5136" width="28.42578125" style="139" customWidth="1"/>
    <col min="5137" max="5137" width="19.140625" style="139" customWidth="1"/>
    <col min="5138" max="5138" width="28.140625" style="139" customWidth="1"/>
    <col min="5139" max="5139" width="26.42578125" style="139" customWidth="1"/>
    <col min="5140" max="5140" width="26.7109375" style="139" customWidth="1"/>
    <col min="5141" max="5141" width="44.28515625" style="139" customWidth="1"/>
    <col min="5142" max="5142" width="25.42578125" style="139" customWidth="1"/>
    <col min="5143" max="5143" width="30.5703125" style="139" customWidth="1"/>
    <col min="5144" max="5144" width="16.85546875" style="139" customWidth="1"/>
    <col min="5145" max="5160" width="14.140625" style="139" customWidth="1"/>
    <col min="5161" max="5162" width="22.7109375" style="139" customWidth="1"/>
    <col min="5163" max="5163" width="28.7109375" style="139" customWidth="1"/>
    <col min="5164" max="5376" width="11.42578125" style="139"/>
    <col min="5377" max="5384" width="4.85546875" style="139" customWidth="1"/>
    <col min="5385" max="5385" width="9.5703125" style="139" customWidth="1"/>
    <col min="5386" max="5386" width="11.5703125" style="139" customWidth="1"/>
    <col min="5387" max="5387" width="38.42578125" style="139" customWidth="1"/>
    <col min="5388" max="5388" width="22.7109375" style="139" customWidth="1"/>
    <col min="5389" max="5389" width="38" style="139" customWidth="1"/>
    <col min="5390" max="5390" width="30.28515625" style="139" customWidth="1"/>
    <col min="5391" max="5391" width="10.42578125" style="139" customWidth="1"/>
    <col min="5392" max="5392" width="28.42578125" style="139" customWidth="1"/>
    <col min="5393" max="5393" width="19.140625" style="139" customWidth="1"/>
    <col min="5394" max="5394" width="28.140625" style="139" customWidth="1"/>
    <col min="5395" max="5395" width="26.42578125" style="139" customWidth="1"/>
    <col min="5396" max="5396" width="26.7109375" style="139" customWidth="1"/>
    <col min="5397" max="5397" width="44.28515625" style="139" customWidth="1"/>
    <col min="5398" max="5398" width="25.42578125" style="139" customWidth="1"/>
    <col min="5399" max="5399" width="30.5703125" style="139" customWidth="1"/>
    <col min="5400" max="5400" width="16.85546875" style="139" customWidth="1"/>
    <col min="5401" max="5416" width="14.140625" style="139" customWidth="1"/>
    <col min="5417" max="5418" width="22.7109375" style="139" customWidth="1"/>
    <col min="5419" max="5419" width="28.7109375" style="139" customWidth="1"/>
    <col min="5420" max="5632" width="11.42578125" style="139"/>
    <col min="5633" max="5640" width="4.85546875" style="139" customWidth="1"/>
    <col min="5641" max="5641" width="9.5703125" style="139" customWidth="1"/>
    <col min="5642" max="5642" width="11.5703125" style="139" customWidth="1"/>
    <col min="5643" max="5643" width="38.42578125" style="139" customWidth="1"/>
    <col min="5644" max="5644" width="22.7109375" style="139" customWidth="1"/>
    <col min="5645" max="5645" width="38" style="139" customWidth="1"/>
    <col min="5646" max="5646" width="30.28515625" style="139" customWidth="1"/>
    <col min="5647" max="5647" width="10.42578125" style="139" customWidth="1"/>
    <col min="5648" max="5648" width="28.42578125" style="139" customWidth="1"/>
    <col min="5649" max="5649" width="19.140625" style="139" customWidth="1"/>
    <col min="5650" max="5650" width="28.140625" style="139" customWidth="1"/>
    <col min="5651" max="5651" width="26.42578125" style="139" customWidth="1"/>
    <col min="5652" max="5652" width="26.7109375" style="139" customWidth="1"/>
    <col min="5653" max="5653" width="44.28515625" style="139" customWidth="1"/>
    <col min="5654" max="5654" width="25.42578125" style="139" customWidth="1"/>
    <col min="5655" max="5655" width="30.5703125" style="139" customWidth="1"/>
    <col min="5656" max="5656" width="16.85546875" style="139" customWidth="1"/>
    <col min="5657" max="5672" width="14.140625" style="139" customWidth="1"/>
    <col min="5673" max="5674" width="22.7109375" style="139" customWidth="1"/>
    <col min="5675" max="5675" width="28.7109375" style="139" customWidth="1"/>
    <col min="5676" max="5888" width="11.42578125" style="139"/>
    <col min="5889" max="5896" width="4.85546875" style="139" customWidth="1"/>
    <col min="5897" max="5897" width="9.5703125" style="139" customWidth="1"/>
    <col min="5898" max="5898" width="11.5703125" style="139" customWidth="1"/>
    <col min="5899" max="5899" width="38.42578125" style="139" customWidth="1"/>
    <col min="5900" max="5900" width="22.7109375" style="139" customWidth="1"/>
    <col min="5901" max="5901" width="38" style="139" customWidth="1"/>
    <col min="5902" max="5902" width="30.28515625" style="139" customWidth="1"/>
    <col min="5903" max="5903" width="10.42578125" style="139" customWidth="1"/>
    <col min="5904" max="5904" width="28.42578125" style="139" customWidth="1"/>
    <col min="5905" max="5905" width="19.140625" style="139" customWidth="1"/>
    <col min="5906" max="5906" width="28.140625" style="139" customWidth="1"/>
    <col min="5907" max="5907" width="26.42578125" style="139" customWidth="1"/>
    <col min="5908" max="5908" width="26.7109375" style="139" customWidth="1"/>
    <col min="5909" max="5909" width="44.28515625" style="139" customWidth="1"/>
    <col min="5910" max="5910" width="25.42578125" style="139" customWidth="1"/>
    <col min="5911" max="5911" width="30.5703125" style="139" customWidth="1"/>
    <col min="5912" max="5912" width="16.85546875" style="139" customWidth="1"/>
    <col min="5913" max="5928" width="14.140625" style="139" customWidth="1"/>
    <col min="5929" max="5930" width="22.7109375" style="139" customWidth="1"/>
    <col min="5931" max="5931" width="28.7109375" style="139" customWidth="1"/>
    <col min="5932" max="6144" width="11.42578125" style="139"/>
    <col min="6145" max="6152" width="4.85546875" style="139" customWidth="1"/>
    <col min="6153" max="6153" width="9.5703125" style="139" customWidth="1"/>
    <col min="6154" max="6154" width="11.5703125" style="139" customWidth="1"/>
    <col min="6155" max="6155" width="38.42578125" style="139" customWidth="1"/>
    <col min="6156" max="6156" width="22.7109375" style="139" customWidth="1"/>
    <col min="6157" max="6157" width="38" style="139" customWidth="1"/>
    <col min="6158" max="6158" width="30.28515625" style="139" customWidth="1"/>
    <col min="6159" max="6159" width="10.42578125" style="139" customWidth="1"/>
    <col min="6160" max="6160" width="28.42578125" style="139" customWidth="1"/>
    <col min="6161" max="6161" width="19.140625" style="139" customWidth="1"/>
    <col min="6162" max="6162" width="28.140625" style="139" customWidth="1"/>
    <col min="6163" max="6163" width="26.42578125" style="139" customWidth="1"/>
    <col min="6164" max="6164" width="26.7109375" style="139" customWidth="1"/>
    <col min="6165" max="6165" width="44.28515625" style="139" customWidth="1"/>
    <col min="6166" max="6166" width="25.42578125" style="139" customWidth="1"/>
    <col min="6167" max="6167" width="30.5703125" style="139" customWidth="1"/>
    <col min="6168" max="6168" width="16.85546875" style="139" customWidth="1"/>
    <col min="6169" max="6184" width="14.140625" style="139" customWidth="1"/>
    <col min="6185" max="6186" width="22.7109375" style="139" customWidth="1"/>
    <col min="6187" max="6187" width="28.7109375" style="139" customWidth="1"/>
    <col min="6188" max="6400" width="11.42578125" style="139"/>
    <col min="6401" max="6408" width="4.85546875" style="139" customWidth="1"/>
    <col min="6409" max="6409" width="9.5703125" style="139" customWidth="1"/>
    <col min="6410" max="6410" width="11.5703125" style="139" customWidth="1"/>
    <col min="6411" max="6411" width="38.42578125" style="139" customWidth="1"/>
    <col min="6412" max="6412" width="22.7109375" style="139" customWidth="1"/>
    <col min="6413" max="6413" width="38" style="139" customWidth="1"/>
    <col min="6414" max="6414" width="30.28515625" style="139" customWidth="1"/>
    <col min="6415" max="6415" width="10.42578125" style="139" customWidth="1"/>
    <col min="6416" max="6416" width="28.42578125" style="139" customWidth="1"/>
    <col min="6417" max="6417" width="19.140625" style="139" customWidth="1"/>
    <col min="6418" max="6418" width="28.140625" style="139" customWidth="1"/>
    <col min="6419" max="6419" width="26.42578125" style="139" customWidth="1"/>
    <col min="6420" max="6420" width="26.7109375" style="139" customWidth="1"/>
    <col min="6421" max="6421" width="44.28515625" style="139" customWidth="1"/>
    <col min="6422" max="6422" width="25.42578125" style="139" customWidth="1"/>
    <col min="6423" max="6423" width="30.5703125" style="139" customWidth="1"/>
    <col min="6424" max="6424" width="16.85546875" style="139" customWidth="1"/>
    <col min="6425" max="6440" width="14.140625" style="139" customWidth="1"/>
    <col min="6441" max="6442" width="22.7109375" style="139" customWidth="1"/>
    <col min="6443" max="6443" width="28.7109375" style="139" customWidth="1"/>
    <col min="6444" max="6656" width="11.42578125" style="139"/>
    <col min="6657" max="6664" width="4.85546875" style="139" customWidth="1"/>
    <col min="6665" max="6665" width="9.5703125" style="139" customWidth="1"/>
    <col min="6666" max="6666" width="11.5703125" style="139" customWidth="1"/>
    <col min="6667" max="6667" width="38.42578125" style="139" customWidth="1"/>
    <col min="6668" max="6668" width="22.7109375" style="139" customWidth="1"/>
    <col min="6669" max="6669" width="38" style="139" customWidth="1"/>
    <col min="6670" max="6670" width="30.28515625" style="139" customWidth="1"/>
    <col min="6671" max="6671" width="10.42578125" style="139" customWidth="1"/>
    <col min="6672" max="6672" width="28.42578125" style="139" customWidth="1"/>
    <col min="6673" max="6673" width="19.140625" style="139" customWidth="1"/>
    <col min="6674" max="6674" width="28.140625" style="139" customWidth="1"/>
    <col min="6675" max="6675" width="26.42578125" style="139" customWidth="1"/>
    <col min="6676" max="6676" width="26.7109375" style="139" customWidth="1"/>
    <col min="6677" max="6677" width="44.28515625" style="139" customWidth="1"/>
    <col min="6678" max="6678" width="25.42578125" style="139" customWidth="1"/>
    <col min="6679" max="6679" width="30.5703125" style="139" customWidth="1"/>
    <col min="6680" max="6680" width="16.85546875" style="139" customWidth="1"/>
    <col min="6681" max="6696" width="14.140625" style="139" customWidth="1"/>
    <col min="6697" max="6698" width="22.7109375" style="139" customWidth="1"/>
    <col min="6699" max="6699" width="28.7109375" style="139" customWidth="1"/>
    <col min="6700" max="6912" width="11.42578125" style="139"/>
    <col min="6913" max="6920" width="4.85546875" style="139" customWidth="1"/>
    <col min="6921" max="6921" width="9.5703125" style="139" customWidth="1"/>
    <col min="6922" max="6922" width="11.5703125" style="139" customWidth="1"/>
    <col min="6923" max="6923" width="38.42578125" style="139" customWidth="1"/>
    <col min="6924" max="6924" width="22.7109375" style="139" customWidth="1"/>
    <col min="6925" max="6925" width="38" style="139" customWidth="1"/>
    <col min="6926" max="6926" width="30.28515625" style="139" customWidth="1"/>
    <col min="6927" max="6927" width="10.42578125" style="139" customWidth="1"/>
    <col min="6928" max="6928" width="28.42578125" style="139" customWidth="1"/>
    <col min="6929" max="6929" width="19.140625" style="139" customWidth="1"/>
    <col min="6930" max="6930" width="28.140625" style="139" customWidth="1"/>
    <col min="6931" max="6931" width="26.42578125" style="139" customWidth="1"/>
    <col min="6932" max="6932" width="26.7109375" style="139" customWidth="1"/>
    <col min="6933" max="6933" width="44.28515625" style="139" customWidth="1"/>
    <col min="6934" max="6934" width="25.42578125" style="139" customWidth="1"/>
    <col min="6935" max="6935" width="30.5703125" style="139" customWidth="1"/>
    <col min="6936" max="6936" width="16.85546875" style="139" customWidth="1"/>
    <col min="6937" max="6952" width="14.140625" style="139" customWidth="1"/>
    <col min="6953" max="6954" width="22.7109375" style="139" customWidth="1"/>
    <col min="6955" max="6955" width="28.7109375" style="139" customWidth="1"/>
    <col min="6956" max="7168" width="11.42578125" style="139"/>
    <col min="7169" max="7176" width="4.85546875" style="139" customWidth="1"/>
    <col min="7177" max="7177" width="9.5703125" style="139" customWidth="1"/>
    <col min="7178" max="7178" width="11.5703125" style="139" customWidth="1"/>
    <col min="7179" max="7179" width="38.42578125" style="139" customWidth="1"/>
    <col min="7180" max="7180" width="22.7109375" style="139" customWidth="1"/>
    <col min="7181" max="7181" width="38" style="139" customWidth="1"/>
    <col min="7182" max="7182" width="30.28515625" style="139" customWidth="1"/>
    <col min="7183" max="7183" width="10.42578125" style="139" customWidth="1"/>
    <col min="7184" max="7184" width="28.42578125" style="139" customWidth="1"/>
    <col min="7185" max="7185" width="19.140625" style="139" customWidth="1"/>
    <col min="7186" max="7186" width="28.140625" style="139" customWidth="1"/>
    <col min="7187" max="7187" width="26.42578125" style="139" customWidth="1"/>
    <col min="7188" max="7188" width="26.7109375" style="139" customWidth="1"/>
    <col min="7189" max="7189" width="44.28515625" style="139" customWidth="1"/>
    <col min="7190" max="7190" width="25.42578125" style="139" customWidth="1"/>
    <col min="7191" max="7191" width="30.5703125" style="139" customWidth="1"/>
    <col min="7192" max="7192" width="16.85546875" style="139" customWidth="1"/>
    <col min="7193" max="7208" width="14.140625" style="139" customWidth="1"/>
    <col min="7209" max="7210" width="22.7109375" style="139" customWidth="1"/>
    <col min="7211" max="7211" width="28.7109375" style="139" customWidth="1"/>
    <col min="7212" max="7424" width="11.42578125" style="139"/>
    <col min="7425" max="7432" width="4.85546875" style="139" customWidth="1"/>
    <col min="7433" max="7433" width="9.5703125" style="139" customWidth="1"/>
    <col min="7434" max="7434" width="11.5703125" style="139" customWidth="1"/>
    <col min="7435" max="7435" width="38.42578125" style="139" customWidth="1"/>
    <col min="7436" max="7436" width="22.7109375" style="139" customWidth="1"/>
    <col min="7437" max="7437" width="38" style="139" customWidth="1"/>
    <col min="7438" max="7438" width="30.28515625" style="139" customWidth="1"/>
    <col min="7439" max="7439" width="10.42578125" style="139" customWidth="1"/>
    <col min="7440" max="7440" width="28.42578125" style="139" customWidth="1"/>
    <col min="7441" max="7441" width="19.140625" style="139" customWidth="1"/>
    <col min="7442" max="7442" width="28.140625" style="139" customWidth="1"/>
    <col min="7443" max="7443" width="26.42578125" style="139" customWidth="1"/>
    <col min="7444" max="7444" width="26.7109375" style="139" customWidth="1"/>
    <col min="7445" max="7445" width="44.28515625" style="139" customWidth="1"/>
    <col min="7446" max="7446" width="25.42578125" style="139" customWidth="1"/>
    <col min="7447" max="7447" width="30.5703125" style="139" customWidth="1"/>
    <col min="7448" max="7448" width="16.85546875" style="139" customWidth="1"/>
    <col min="7449" max="7464" width="14.140625" style="139" customWidth="1"/>
    <col min="7465" max="7466" width="22.7109375" style="139" customWidth="1"/>
    <col min="7467" max="7467" width="28.7109375" style="139" customWidth="1"/>
    <col min="7468" max="7680" width="11.42578125" style="139"/>
    <col min="7681" max="7688" width="4.85546875" style="139" customWidth="1"/>
    <col min="7689" max="7689" width="9.5703125" style="139" customWidth="1"/>
    <col min="7690" max="7690" width="11.5703125" style="139" customWidth="1"/>
    <col min="7691" max="7691" width="38.42578125" style="139" customWidth="1"/>
    <col min="7692" max="7692" width="22.7109375" style="139" customWidth="1"/>
    <col min="7693" max="7693" width="38" style="139" customWidth="1"/>
    <col min="7694" max="7694" width="30.28515625" style="139" customWidth="1"/>
    <col min="7695" max="7695" width="10.42578125" style="139" customWidth="1"/>
    <col min="7696" max="7696" width="28.42578125" style="139" customWidth="1"/>
    <col min="7697" max="7697" width="19.140625" style="139" customWidth="1"/>
    <col min="7698" max="7698" width="28.140625" style="139" customWidth="1"/>
    <col min="7699" max="7699" width="26.42578125" style="139" customWidth="1"/>
    <col min="7700" max="7700" width="26.7109375" style="139" customWidth="1"/>
    <col min="7701" max="7701" width="44.28515625" style="139" customWidth="1"/>
    <col min="7702" max="7702" width="25.42578125" style="139" customWidth="1"/>
    <col min="7703" max="7703" width="30.5703125" style="139" customWidth="1"/>
    <col min="7704" max="7704" width="16.85546875" style="139" customWidth="1"/>
    <col min="7705" max="7720" width="14.140625" style="139" customWidth="1"/>
    <col min="7721" max="7722" width="22.7109375" style="139" customWidth="1"/>
    <col min="7723" max="7723" width="28.7109375" style="139" customWidth="1"/>
    <col min="7724" max="7936" width="11.42578125" style="139"/>
    <col min="7937" max="7944" width="4.85546875" style="139" customWidth="1"/>
    <col min="7945" max="7945" width="9.5703125" style="139" customWidth="1"/>
    <col min="7946" max="7946" width="11.5703125" style="139" customWidth="1"/>
    <col min="7947" max="7947" width="38.42578125" style="139" customWidth="1"/>
    <col min="7948" max="7948" width="22.7109375" style="139" customWidth="1"/>
    <col min="7949" max="7949" width="38" style="139" customWidth="1"/>
    <col min="7950" max="7950" width="30.28515625" style="139" customWidth="1"/>
    <col min="7951" max="7951" width="10.42578125" style="139" customWidth="1"/>
    <col min="7952" max="7952" width="28.42578125" style="139" customWidth="1"/>
    <col min="7953" max="7953" width="19.140625" style="139" customWidth="1"/>
    <col min="7954" max="7954" width="28.140625" style="139" customWidth="1"/>
    <col min="7955" max="7955" width="26.42578125" style="139" customWidth="1"/>
    <col min="7956" max="7956" width="26.7109375" style="139" customWidth="1"/>
    <col min="7957" max="7957" width="44.28515625" style="139" customWidth="1"/>
    <col min="7958" max="7958" width="25.42578125" style="139" customWidth="1"/>
    <col min="7959" max="7959" width="30.5703125" style="139" customWidth="1"/>
    <col min="7960" max="7960" width="16.85546875" style="139" customWidth="1"/>
    <col min="7961" max="7976" width="14.140625" style="139" customWidth="1"/>
    <col min="7977" max="7978" width="22.7109375" style="139" customWidth="1"/>
    <col min="7979" max="7979" width="28.7109375" style="139" customWidth="1"/>
    <col min="7980" max="8192" width="11.42578125" style="139"/>
    <col min="8193" max="8200" width="4.85546875" style="139" customWidth="1"/>
    <col min="8201" max="8201" width="9.5703125" style="139" customWidth="1"/>
    <col min="8202" max="8202" width="11.5703125" style="139" customWidth="1"/>
    <col min="8203" max="8203" width="38.42578125" style="139" customWidth="1"/>
    <col min="8204" max="8204" width="22.7109375" style="139" customWidth="1"/>
    <col min="8205" max="8205" width="38" style="139" customWidth="1"/>
    <col min="8206" max="8206" width="30.28515625" style="139" customWidth="1"/>
    <col min="8207" max="8207" width="10.42578125" style="139" customWidth="1"/>
    <col min="8208" max="8208" width="28.42578125" style="139" customWidth="1"/>
    <col min="8209" max="8209" width="19.140625" style="139" customWidth="1"/>
    <col min="8210" max="8210" width="28.140625" style="139" customWidth="1"/>
    <col min="8211" max="8211" width="26.42578125" style="139" customWidth="1"/>
    <col min="8212" max="8212" width="26.7109375" style="139" customWidth="1"/>
    <col min="8213" max="8213" width="44.28515625" style="139" customWidth="1"/>
    <col min="8214" max="8214" width="25.42578125" style="139" customWidth="1"/>
    <col min="8215" max="8215" width="30.5703125" style="139" customWidth="1"/>
    <col min="8216" max="8216" width="16.85546875" style="139" customWidth="1"/>
    <col min="8217" max="8232" width="14.140625" style="139" customWidth="1"/>
    <col min="8233" max="8234" width="22.7109375" style="139" customWidth="1"/>
    <col min="8235" max="8235" width="28.7109375" style="139" customWidth="1"/>
    <col min="8236" max="8448" width="11.42578125" style="139"/>
    <col min="8449" max="8456" width="4.85546875" style="139" customWidth="1"/>
    <col min="8457" max="8457" width="9.5703125" style="139" customWidth="1"/>
    <col min="8458" max="8458" width="11.5703125" style="139" customWidth="1"/>
    <col min="8459" max="8459" width="38.42578125" style="139" customWidth="1"/>
    <col min="8460" max="8460" width="22.7109375" style="139" customWidth="1"/>
    <col min="8461" max="8461" width="38" style="139" customWidth="1"/>
    <col min="8462" max="8462" width="30.28515625" style="139" customWidth="1"/>
    <col min="8463" max="8463" width="10.42578125" style="139" customWidth="1"/>
    <col min="8464" max="8464" width="28.42578125" style="139" customWidth="1"/>
    <col min="8465" max="8465" width="19.140625" style="139" customWidth="1"/>
    <col min="8466" max="8466" width="28.140625" style="139" customWidth="1"/>
    <col min="8467" max="8467" width="26.42578125" style="139" customWidth="1"/>
    <col min="8468" max="8468" width="26.7109375" style="139" customWidth="1"/>
    <col min="8469" max="8469" width="44.28515625" style="139" customWidth="1"/>
    <col min="8470" max="8470" width="25.42578125" style="139" customWidth="1"/>
    <col min="8471" max="8471" width="30.5703125" style="139" customWidth="1"/>
    <col min="8472" max="8472" width="16.85546875" style="139" customWidth="1"/>
    <col min="8473" max="8488" width="14.140625" style="139" customWidth="1"/>
    <col min="8489" max="8490" width="22.7109375" style="139" customWidth="1"/>
    <col min="8491" max="8491" width="28.7109375" style="139" customWidth="1"/>
    <col min="8492" max="8704" width="11.42578125" style="139"/>
    <col min="8705" max="8712" width="4.85546875" style="139" customWidth="1"/>
    <col min="8713" max="8713" width="9.5703125" style="139" customWidth="1"/>
    <col min="8714" max="8714" width="11.5703125" style="139" customWidth="1"/>
    <col min="8715" max="8715" width="38.42578125" style="139" customWidth="1"/>
    <col min="8716" max="8716" width="22.7109375" style="139" customWidth="1"/>
    <col min="8717" max="8717" width="38" style="139" customWidth="1"/>
    <col min="8718" max="8718" width="30.28515625" style="139" customWidth="1"/>
    <col min="8719" max="8719" width="10.42578125" style="139" customWidth="1"/>
    <col min="8720" max="8720" width="28.42578125" style="139" customWidth="1"/>
    <col min="8721" max="8721" width="19.140625" style="139" customWidth="1"/>
    <col min="8722" max="8722" width="28.140625" style="139" customWidth="1"/>
    <col min="8723" max="8723" width="26.42578125" style="139" customWidth="1"/>
    <col min="8724" max="8724" width="26.7109375" style="139" customWidth="1"/>
    <col min="8725" max="8725" width="44.28515625" style="139" customWidth="1"/>
    <col min="8726" max="8726" width="25.42578125" style="139" customWidth="1"/>
    <col min="8727" max="8727" width="30.5703125" style="139" customWidth="1"/>
    <col min="8728" max="8728" width="16.85546875" style="139" customWidth="1"/>
    <col min="8729" max="8744" width="14.140625" style="139" customWidth="1"/>
    <col min="8745" max="8746" width="22.7109375" style="139" customWidth="1"/>
    <col min="8747" max="8747" width="28.7109375" style="139" customWidth="1"/>
    <col min="8748" max="8960" width="11.42578125" style="139"/>
    <col min="8961" max="8968" width="4.85546875" style="139" customWidth="1"/>
    <col min="8969" max="8969" width="9.5703125" style="139" customWidth="1"/>
    <col min="8970" max="8970" width="11.5703125" style="139" customWidth="1"/>
    <col min="8971" max="8971" width="38.42578125" style="139" customWidth="1"/>
    <col min="8972" max="8972" width="22.7109375" style="139" customWidth="1"/>
    <col min="8973" max="8973" width="38" style="139" customWidth="1"/>
    <col min="8974" max="8974" width="30.28515625" style="139" customWidth="1"/>
    <col min="8975" max="8975" width="10.42578125" style="139" customWidth="1"/>
    <col min="8976" max="8976" width="28.42578125" style="139" customWidth="1"/>
    <col min="8977" max="8977" width="19.140625" style="139" customWidth="1"/>
    <col min="8978" max="8978" width="28.140625" style="139" customWidth="1"/>
    <col min="8979" max="8979" width="26.42578125" style="139" customWidth="1"/>
    <col min="8980" max="8980" width="26.7109375" style="139" customWidth="1"/>
    <col min="8981" max="8981" width="44.28515625" style="139" customWidth="1"/>
    <col min="8982" max="8982" width="25.42578125" style="139" customWidth="1"/>
    <col min="8983" max="8983" width="30.5703125" style="139" customWidth="1"/>
    <col min="8984" max="8984" width="16.85546875" style="139" customWidth="1"/>
    <col min="8985" max="9000" width="14.140625" style="139" customWidth="1"/>
    <col min="9001" max="9002" width="22.7109375" style="139" customWidth="1"/>
    <col min="9003" max="9003" width="28.7109375" style="139" customWidth="1"/>
    <col min="9004" max="9216" width="11.42578125" style="139"/>
    <col min="9217" max="9224" width="4.85546875" style="139" customWidth="1"/>
    <col min="9225" max="9225" width="9.5703125" style="139" customWidth="1"/>
    <col min="9226" max="9226" width="11.5703125" style="139" customWidth="1"/>
    <col min="9227" max="9227" width="38.42578125" style="139" customWidth="1"/>
    <col min="9228" max="9228" width="22.7109375" style="139" customWidth="1"/>
    <col min="9229" max="9229" width="38" style="139" customWidth="1"/>
    <col min="9230" max="9230" width="30.28515625" style="139" customWidth="1"/>
    <col min="9231" max="9231" width="10.42578125" style="139" customWidth="1"/>
    <col min="9232" max="9232" width="28.42578125" style="139" customWidth="1"/>
    <col min="9233" max="9233" width="19.140625" style="139" customWidth="1"/>
    <col min="9234" max="9234" width="28.140625" style="139" customWidth="1"/>
    <col min="9235" max="9235" width="26.42578125" style="139" customWidth="1"/>
    <col min="9236" max="9236" width="26.7109375" style="139" customWidth="1"/>
    <col min="9237" max="9237" width="44.28515625" style="139" customWidth="1"/>
    <col min="9238" max="9238" width="25.42578125" style="139" customWidth="1"/>
    <col min="9239" max="9239" width="30.5703125" style="139" customWidth="1"/>
    <col min="9240" max="9240" width="16.85546875" style="139" customWidth="1"/>
    <col min="9241" max="9256" width="14.140625" style="139" customWidth="1"/>
    <col min="9257" max="9258" width="22.7109375" style="139" customWidth="1"/>
    <col min="9259" max="9259" width="28.7109375" style="139" customWidth="1"/>
    <col min="9260" max="9472" width="11.42578125" style="139"/>
    <col min="9473" max="9480" width="4.85546875" style="139" customWidth="1"/>
    <col min="9481" max="9481" width="9.5703125" style="139" customWidth="1"/>
    <col min="9482" max="9482" width="11.5703125" style="139" customWidth="1"/>
    <col min="9483" max="9483" width="38.42578125" style="139" customWidth="1"/>
    <col min="9484" max="9484" width="22.7109375" style="139" customWidth="1"/>
    <col min="9485" max="9485" width="38" style="139" customWidth="1"/>
    <col min="9486" max="9486" width="30.28515625" style="139" customWidth="1"/>
    <col min="9487" max="9487" width="10.42578125" style="139" customWidth="1"/>
    <col min="9488" max="9488" width="28.42578125" style="139" customWidth="1"/>
    <col min="9489" max="9489" width="19.140625" style="139" customWidth="1"/>
    <col min="9490" max="9490" width="28.140625" style="139" customWidth="1"/>
    <col min="9491" max="9491" width="26.42578125" style="139" customWidth="1"/>
    <col min="9492" max="9492" width="26.7109375" style="139" customWidth="1"/>
    <col min="9493" max="9493" width="44.28515625" style="139" customWidth="1"/>
    <col min="9494" max="9494" width="25.42578125" style="139" customWidth="1"/>
    <col min="9495" max="9495" width="30.5703125" style="139" customWidth="1"/>
    <col min="9496" max="9496" width="16.85546875" style="139" customWidth="1"/>
    <col min="9497" max="9512" width="14.140625" style="139" customWidth="1"/>
    <col min="9513" max="9514" width="22.7109375" style="139" customWidth="1"/>
    <col min="9515" max="9515" width="28.7109375" style="139" customWidth="1"/>
    <col min="9516" max="9728" width="11.42578125" style="139"/>
    <col min="9729" max="9736" width="4.85546875" style="139" customWidth="1"/>
    <col min="9737" max="9737" width="9.5703125" style="139" customWidth="1"/>
    <col min="9738" max="9738" width="11.5703125" style="139" customWidth="1"/>
    <col min="9739" max="9739" width="38.42578125" style="139" customWidth="1"/>
    <col min="9740" max="9740" width="22.7109375" style="139" customWidth="1"/>
    <col min="9741" max="9741" width="38" style="139" customWidth="1"/>
    <col min="9742" max="9742" width="30.28515625" style="139" customWidth="1"/>
    <col min="9743" max="9743" width="10.42578125" style="139" customWidth="1"/>
    <col min="9744" max="9744" width="28.42578125" style="139" customWidth="1"/>
    <col min="9745" max="9745" width="19.140625" style="139" customWidth="1"/>
    <col min="9746" max="9746" width="28.140625" style="139" customWidth="1"/>
    <col min="9747" max="9747" width="26.42578125" style="139" customWidth="1"/>
    <col min="9748" max="9748" width="26.7109375" style="139" customWidth="1"/>
    <col min="9749" max="9749" width="44.28515625" style="139" customWidth="1"/>
    <col min="9750" max="9750" width="25.42578125" style="139" customWidth="1"/>
    <col min="9751" max="9751" width="30.5703125" style="139" customWidth="1"/>
    <col min="9752" max="9752" width="16.85546875" style="139" customWidth="1"/>
    <col min="9753" max="9768" width="14.140625" style="139" customWidth="1"/>
    <col min="9769" max="9770" width="22.7109375" style="139" customWidth="1"/>
    <col min="9771" max="9771" width="28.7109375" style="139" customWidth="1"/>
    <col min="9772" max="9984" width="11.42578125" style="139"/>
    <col min="9985" max="9992" width="4.85546875" style="139" customWidth="1"/>
    <col min="9993" max="9993" width="9.5703125" style="139" customWidth="1"/>
    <col min="9994" max="9994" width="11.5703125" style="139" customWidth="1"/>
    <col min="9995" max="9995" width="38.42578125" style="139" customWidth="1"/>
    <col min="9996" max="9996" width="22.7109375" style="139" customWidth="1"/>
    <col min="9997" max="9997" width="38" style="139" customWidth="1"/>
    <col min="9998" max="9998" width="30.28515625" style="139" customWidth="1"/>
    <col min="9999" max="9999" width="10.42578125" style="139" customWidth="1"/>
    <col min="10000" max="10000" width="28.42578125" style="139" customWidth="1"/>
    <col min="10001" max="10001" width="19.140625" style="139" customWidth="1"/>
    <col min="10002" max="10002" width="28.140625" style="139" customWidth="1"/>
    <col min="10003" max="10003" width="26.42578125" style="139" customWidth="1"/>
    <col min="10004" max="10004" width="26.7109375" style="139" customWidth="1"/>
    <col min="10005" max="10005" width="44.28515625" style="139" customWidth="1"/>
    <col min="10006" max="10006" width="25.42578125" style="139" customWidth="1"/>
    <col min="10007" max="10007" width="30.5703125" style="139" customWidth="1"/>
    <col min="10008" max="10008" width="16.85546875" style="139" customWidth="1"/>
    <col min="10009" max="10024" width="14.140625" style="139" customWidth="1"/>
    <col min="10025" max="10026" width="22.7109375" style="139" customWidth="1"/>
    <col min="10027" max="10027" width="28.7109375" style="139" customWidth="1"/>
    <col min="10028" max="10240" width="11.42578125" style="139"/>
    <col min="10241" max="10248" width="4.85546875" style="139" customWidth="1"/>
    <col min="10249" max="10249" width="9.5703125" style="139" customWidth="1"/>
    <col min="10250" max="10250" width="11.5703125" style="139" customWidth="1"/>
    <col min="10251" max="10251" width="38.42578125" style="139" customWidth="1"/>
    <col min="10252" max="10252" width="22.7109375" style="139" customWidth="1"/>
    <col min="10253" max="10253" width="38" style="139" customWidth="1"/>
    <col min="10254" max="10254" width="30.28515625" style="139" customWidth="1"/>
    <col min="10255" max="10255" width="10.42578125" style="139" customWidth="1"/>
    <col min="10256" max="10256" width="28.42578125" style="139" customWidth="1"/>
    <col min="10257" max="10257" width="19.140625" style="139" customWidth="1"/>
    <col min="10258" max="10258" width="28.140625" style="139" customWidth="1"/>
    <col min="10259" max="10259" width="26.42578125" style="139" customWidth="1"/>
    <col min="10260" max="10260" width="26.7109375" style="139" customWidth="1"/>
    <col min="10261" max="10261" width="44.28515625" style="139" customWidth="1"/>
    <col min="10262" max="10262" width="25.42578125" style="139" customWidth="1"/>
    <col min="10263" max="10263" width="30.5703125" style="139" customWidth="1"/>
    <col min="10264" max="10264" width="16.85546875" style="139" customWidth="1"/>
    <col min="10265" max="10280" width="14.140625" style="139" customWidth="1"/>
    <col min="10281" max="10282" width="22.7109375" style="139" customWidth="1"/>
    <col min="10283" max="10283" width="28.7109375" style="139" customWidth="1"/>
    <col min="10284" max="10496" width="11.42578125" style="139"/>
    <col min="10497" max="10504" width="4.85546875" style="139" customWidth="1"/>
    <col min="10505" max="10505" width="9.5703125" style="139" customWidth="1"/>
    <col min="10506" max="10506" width="11.5703125" style="139" customWidth="1"/>
    <col min="10507" max="10507" width="38.42578125" style="139" customWidth="1"/>
    <col min="10508" max="10508" width="22.7109375" style="139" customWidth="1"/>
    <col min="10509" max="10509" width="38" style="139" customWidth="1"/>
    <col min="10510" max="10510" width="30.28515625" style="139" customWidth="1"/>
    <col min="10511" max="10511" width="10.42578125" style="139" customWidth="1"/>
    <col min="10512" max="10512" width="28.42578125" style="139" customWidth="1"/>
    <col min="10513" max="10513" width="19.140625" style="139" customWidth="1"/>
    <col min="10514" max="10514" width="28.140625" style="139" customWidth="1"/>
    <col min="10515" max="10515" width="26.42578125" style="139" customWidth="1"/>
    <col min="10516" max="10516" width="26.7109375" style="139" customWidth="1"/>
    <col min="10517" max="10517" width="44.28515625" style="139" customWidth="1"/>
    <col min="10518" max="10518" width="25.42578125" style="139" customWidth="1"/>
    <col min="10519" max="10519" width="30.5703125" style="139" customWidth="1"/>
    <col min="10520" max="10520" width="16.85546875" style="139" customWidth="1"/>
    <col min="10521" max="10536" width="14.140625" style="139" customWidth="1"/>
    <col min="10537" max="10538" width="22.7109375" style="139" customWidth="1"/>
    <col min="10539" max="10539" width="28.7109375" style="139" customWidth="1"/>
    <col min="10540" max="10752" width="11.42578125" style="139"/>
    <col min="10753" max="10760" width="4.85546875" style="139" customWidth="1"/>
    <col min="10761" max="10761" width="9.5703125" style="139" customWidth="1"/>
    <col min="10762" max="10762" width="11.5703125" style="139" customWidth="1"/>
    <col min="10763" max="10763" width="38.42578125" style="139" customWidth="1"/>
    <col min="10764" max="10764" width="22.7109375" style="139" customWidth="1"/>
    <col min="10765" max="10765" width="38" style="139" customWidth="1"/>
    <col min="10766" max="10766" width="30.28515625" style="139" customWidth="1"/>
    <col min="10767" max="10767" width="10.42578125" style="139" customWidth="1"/>
    <col min="10768" max="10768" width="28.42578125" style="139" customWidth="1"/>
    <col min="10769" max="10769" width="19.140625" style="139" customWidth="1"/>
    <col min="10770" max="10770" width="28.140625" style="139" customWidth="1"/>
    <col min="10771" max="10771" width="26.42578125" style="139" customWidth="1"/>
    <col min="10772" max="10772" width="26.7109375" style="139" customWidth="1"/>
    <col min="10773" max="10773" width="44.28515625" style="139" customWidth="1"/>
    <col min="10774" max="10774" width="25.42578125" style="139" customWidth="1"/>
    <col min="10775" max="10775" width="30.5703125" style="139" customWidth="1"/>
    <col min="10776" max="10776" width="16.85546875" style="139" customWidth="1"/>
    <col min="10777" max="10792" width="14.140625" style="139" customWidth="1"/>
    <col min="10793" max="10794" width="22.7109375" style="139" customWidth="1"/>
    <col min="10795" max="10795" width="28.7109375" style="139" customWidth="1"/>
    <col min="10796" max="11008" width="11.42578125" style="139"/>
    <col min="11009" max="11016" width="4.85546875" style="139" customWidth="1"/>
    <col min="11017" max="11017" width="9.5703125" style="139" customWidth="1"/>
    <col min="11018" max="11018" width="11.5703125" style="139" customWidth="1"/>
    <col min="11019" max="11019" width="38.42578125" style="139" customWidth="1"/>
    <col min="11020" max="11020" width="22.7109375" style="139" customWidth="1"/>
    <col min="11021" max="11021" width="38" style="139" customWidth="1"/>
    <col min="11022" max="11022" width="30.28515625" style="139" customWidth="1"/>
    <col min="11023" max="11023" width="10.42578125" style="139" customWidth="1"/>
    <col min="11024" max="11024" width="28.42578125" style="139" customWidth="1"/>
    <col min="11025" max="11025" width="19.140625" style="139" customWidth="1"/>
    <col min="11026" max="11026" width="28.140625" style="139" customWidth="1"/>
    <col min="11027" max="11027" width="26.42578125" style="139" customWidth="1"/>
    <col min="11028" max="11028" width="26.7109375" style="139" customWidth="1"/>
    <col min="11029" max="11029" width="44.28515625" style="139" customWidth="1"/>
    <col min="11030" max="11030" width="25.42578125" style="139" customWidth="1"/>
    <col min="11031" max="11031" width="30.5703125" style="139" customWidth="1"/>
    <col min="11032" max="11032" width="16.85546875" style="139" customWidth="1"/>
    <col min="11033" max="11048" width="14.140625" style="139" customWidth="1"/>
    <col min="11049" max="11050" width="22.7109375" style="139" customWidth="1"/>
    <col min="11051" max="11051" width="28.7109375" style="139" customWidth="1"/>
    <col min="11052" max="11264" width="11.42578125" style="139"/>
    <col min="11265" max="11272" width="4.85546875" style="139" customWidth="1"/>
    <col min="11273" max="11273" width="9.5703125" style="139" customWidth="1"/>
    <col min="11274" max="11274" width="11.5703125" style="139" customWidth="1"/>
    <col min="11275" max="11275" width="38.42578125" style="139" customWidth="1"/>
    <col min="11276" max="11276" width="22.7109375" style="139" customWidth="1"/>
    <col min="11277" max="11277" width="38" style="139" customWidth="1"/>
    <col min="11278" max="11278" width="30.28515625" style="139" customWidth="1"/>
    <col min="11279" max="11279" width="10.42578125" style="139" customWidth="1"/>
    <col min="11280" max="11280" width="28.42578125" style="139" customWidth="1"/>
    <col min="11281" max="11281" width="19.140625" style="139" customWidth="1"/>
    <col min="11282" max="11282" width="28.140625" style="139" customWidth="1"/>
    <col min="11283" max="11283" width="26.42578125" style="139" customWidth="1"/>
    <col min="11284" max="11284" width="26.7109375" style="139" customWidth="1"/>
    <col min="11285" max="11285" width="44.28515625" style="139" customWidth="1"/>
    <col min="11286" max="11286" width="25.42578125" style="139" customWidth="1"/>
    <col min="11287" max="11287" width="30.5703125" style="139" customWidth="1"/>
    <col min="11288" max="11288" width="16.85546875" style="139" customWidth="1"/>
    <col min="11289" max="11304" width="14.140625" style="139" customWidth="1"/>
    <col min="11305" max="11306" width="22.7109375" style="139" customWidth="1"/>
    <col min="11307" max="11307" width="28.7109375" style="139" customWidth="1"/>
    <col min="11308" max="11520" width="11.42578125" style="139"/>
    <col min="11521" max="11528" width="4.85546875" style="139" customWidth="1"/>
    <col min="11529" max="11529" width="9.5703125" style="139" customWidth="1"/>
    <col min="11530" max="11530" width="11.5703125" style="139" customWidth="1"/>
    <col min="11531" max="11531" width="38.42578125" style="139" customWidth="1"/>
    <col min="11532" max="11532" width="22.7109375" style="139" customWidth="1"/>
    <col min="11533" max="11533" width="38" style="139" customWidth="1"/>
    <col min="11534" max="11534" width="30.28515625" style="139" customWidth="1"/>
    <col min="11535" max="11535" width="10.42578125" style="139" customWidth="1"/>
    <col min="11536" max="11536" width="28.42578125" style="139" customWidth="1"/>
    <col min="11537" max="11537" width="19.140625" style="139" customWidth="1"/>
    <col min="11538" max="11538" width="28.140625" style="139" customWidth="1"/>
    <col min="11539" max="11539" width="26.42578125" style="139" customWidth="1"/>
    <col min="11540" max="11540" width="26.7109375" style="139" customWidth="1"/>
    <col min="11541" max="11541" width="44.28515625" style="139" customWidth="1"/>
    <col min="11542" max="11542" width="25.42578125" style="139" customWidth="1"/>
    <col min="11543" max="11543" width="30.5703125" style="139" customWidth="1"/>
    <col min="11544" max="11544" width="16.85546875" style="139" customWidth="1"/>
    <col min="11545" max="11560" width="14.140625" style="139" customWidth="1"/>
    <col min="11561" max="11562" width="22.7109375" style="139" customWidth="1"/>
    <col min="11563" max="11563" width="28.7109375" style="139" customWidth="1"/>
    <col min="11564" max="11776" width="11.42578125" style="139"/>
    <col min="11777" max="11784" width="4.85546875" style="139" customWidth="1"/>
    <col min="11785" max="11785" width="9.5703125" style="139" customWidth="1"/>
    <col min="11786" max="11786" width="11.5703125" style="139" customWidth="1"/>
    <col min="11787" max="11787" width="38.42578125" style="139" customWidth="1"/>
    <col min="11788" max="11788" width="22.7109375" style="139" customWidth="1"/>
    <col min="11789" max="11789" width="38" style="139" customWidth="1"/>
    <col min="11790" max="11790" width="30.28515625" style="139" customWidth="1"/>
    <col min="11791" max="11791" width="10.42578125" style="139" customWidth="1"/>
    <col min="11792" max="11792" width="28.42578125" style="139" customWidth="1"/>
    <col min="11793" max="11793" width="19.140625" style="139" customWidth="1"/>
    <col min="11794" max="11794" width="28.140625" style="139" customWidth="1"/>
    <col min="11795" max="11795" width="26.42578125" style="139" customWidth="1"/>
    <col min="11796" max="11796" width="26.7109375" style="139" customWidth="1"/>
    <col min="11797" max="11797" width="44.28515625" style="139" customWidth="1"/>
    <col min="11798" max="11798" width="25.42578125" style="139" customWidth="1"/>
    <col min="11799" max="11799" width="30.5703125" style="139" customWidth="1"/>
    <col min="11800" max="11800" width="16.85546875" style="139" customWidth="1"/>
    <col min="11801" max="11816" width="14.140625" style="139" customWidth="1"/>
    <col min="11817" max="11818" width="22.7109375" style="139" customWidth="1"/>
    <col min="11819" max="11819" width="28.7109375" style="139" customWidth="1"/>
    <col min="11820" max="12032" width="11.42578125" style="139"/>
    <col min="12033" max="12040" width="4.85546875" style="139" customWidth="1"/>
    <col min="12041" max="12041" width="9.5703125" style="139" customWidth="1"/>
    <col min="12042" max="12042" width="11.5703125" style="139" customWidth="1"/>
    <col min="12043" max="12043" width="38.42578125" style="139" customWidth="1"/>
    <col min="12044" max="12044" width="22.7109375" style="139" customWidth="1"/>
    <col min="12045" max="12045" width="38" style="139" customWidth="1"/>
    <col min="12046" max="12046" width="30.28515625" style="139" customWidth="1"/>
    <col min="12047" max="12047" width="10.42578125" style="139" customWidth="1"/>
    <col min="12048" max="12048" width="28.42578125" style="139" customWidth="1"/>
    <col min="12049" max="12049" width="19.140625" style="139" customWidth="1"/>
    <col min="12050" max="12050" width="28.140625" style="139" customWidth="1"/>
    <col min="12051" max="12051" width="26.42578125" style="139" customWidth="1"/>
    <col min="12052" max="12052" width="26.7109375" style="139" customWidth="1"/>
    <col min="12053" max="12053" width="44.28515625" style="139" customWidth="1"/>
    <col min="12054" max="12054" width="25.42578125" style="139" customWidth="1"/>
    <col min="12055" max="12055" width="30.5703125" style="139" customWidth="1"/>
    <col min="12056" max="12056" width="16.85546875" style="139" customWidth="1"/>
    <col min="12057" max="12072" width="14.140625" style="139" customWidth="1"/>
    <col min="12073" max="12074" width="22.7109375" style="139" customWidth="1"/>
    <col min="12075" max="12075" width="28.7109375" style="139" customWidth="1"/>
    <col min="12076" max="12288" width="11.42578125" style="139"/>
    <col min="12289" max="12296" width="4.85546875" style="139" customWidth="1"/>
    <col min="12297" max="12297" width="9.5703125" style="139" customWidth="1"/>
    <col min="12298" max="12298" width="11.5703125" style="139" customWidth="1"/>
    <col min="12299" max="12299" width="38.42578125" style="139" customWidth="1"/>
    <col min="12300" max="12300" width="22.7109375" style="139" customWidth="1"/>
    <col min="12301" max="12301" width="38" style="139" customWidth="1"/>
    <col min="12302" max="12302" width="30.28515625" style="139" customWidth="1"/>
    <col min="12303" max="12303" width="10.42578125" style="139" customWidth="1"/>
    <col min="12304" max="12304" width="28.42578125" style="139" customWidth="1"/>
    <col min="12305" max="12305" width="19.140625" style="139" customWidth="1"/>
    <col min="12306" max="12306" width="28.140625" style="139" customWidth="1"/>
    <col min="12307" max="12307" width="26.42578125" style="139" customWidth="1"/>
    <col min="12308" max="12308" width="26.7109375" style="139" customWidth="1"/>
    <col min="12309" max="12309" width="44.28515625" style="139" customWidth="1"/>
    <col min="12310" max="12310" width="25.42578125" style="139" customWidth="1"/>
    <col min="12311" max="12311" width="30.5703125" style="139" customWidth="1"/>
    <col min="12312" max="12312" width="16.85546875" style="139" customWidth="1"/>
    <col min="12313" max="12328" width="14.140625" style="139" customWidth="1"/>
    <col min="12329" max="12330" width="22.7109375" style="139" customWidth="1"/>
    <col min="12331" max="12331" width="28.7109375" style="139" customWidth="1"/>
    <col min="12332" max="12544" width="11.42578125" style="139"/>
    <col min="12545" max="12552" width="4.85546875" style="139" customWidth="1"/>
    <col min="12553" max="12553" width="9.5703125" style="139" customWidth="1"/>
    <col min="12554" max="12554" width="11.5703125" style="139" customWidth="1"/>
    <col min="12555" max="12555" width="38.42578125" style="139" customWidth="1"/>
    <col min="12556" max="12556" width="22.7109375" style="139" customWidth="1"/>
    <col min="12557" max="12557" width="38" style="139" customWidth="1"/>
    <col min="12558" max="12558" width="30.28515625" style="139" customWidth="1"/>
    <col min="12559" max="12559" width="10.42578125" style="139" customWidth="1"/>
    <col min="12560" max="12560" width="28.42578125" style="139" customWidth="1"/>
    <col min="12561" max="12561" width="19.140625" style="139" customWidth="1"/>
    <col min="12562" max="12562" width="28.140625" style="139" customWidth="1"/>
    <col min="12563" max="12563" width="26.42578125" style="139" customWidth="1"/>
    <col min="12564" max="12564" width="26.7109375" style="139" customWidth="1"/>
    <col min="12565" max="12565" width="44.28515625" style="139" customWidth="1"/>
    <col min="12566" max="12566" width="25.42578125" style="139" customWidth="1"/>
    <col min="12567" max="12567" width="30.5703125" style="139" customWidth="1"/>
    <col min="12568" max="12568" width="16.85546875" style="139" customWidth="1"/>
    <col min="12569" max="12584" width="14.140625" style="139" customWidth="1"/>
    <col min="12585" max="12586" width="22.7109375" style="139" customWidth="1"/>
    <col min="12587" max="12587" width="28.7109375" style="139" customWidth="1"/>
    <col min="12588" max="12800" width="11.42578125" style="139"/>
    <col min="12801" max="12808" width="4.85546875" style="139" customWidth="1"/>
    <col min="12809" max="12809" width="9.5703125" style="139" customWidth="1"/>
    <col min="12810" max="12810" width="11.5703125" style="139" customWidth="1"/>
    <col min="12811" max="12811" width="38.42578125" style="139" customWidth="1"/>
    <col min="12812" max="12812" width="22.7109375" style="139" customWidth="1"/>
    <col min="12813" max="12813" width="38" style="139" customWidth="1"/>
    <col min="12814" max="12814" width="30.28515625" style="139" customWidth="1"/>
    <col min="12815" max="12815" width="10.42578125" style="139" customWidth="1"/>
    <col min="12816" max="12816" width="28.42578125" style="139" customWidth="1"/>
    <col min="12817" max="12817" width="19.140625" style="139" customWidth="1"/>
    <col min="12818" max="12818" width="28.140625" style="139" customWidth="1"/>
    <col min="12819" max="12819" width="26.42578125" style="139" customWidth="1"/>
    <col min="12820" max="12820" width="26.7109375" style="139" customWidth="1"/>
    <col min="12821" max="12821" width="44.28515625" style="139" customWidth="1"/>
    <col min="12822" max="12822" width="25.42578125" style="139" customWidth="1"/>
    <col min="12823" max="12823" width="30.5703125" style="139" customWidth="1"/>
    <col min="12824" max="12824" width="16.85546875" style="139" customWidth="1"/>
    <col min="12825" max="12840" width="14.140625" style="139" customWidth="1"/>
    <col min="12841" max="12842" width="22.7109375" style="139" customWidth="1"/>
    <col min="12843" max="12843" width="28.7109375" style="139" customWidth="1"/>
    <col min="12844" max="13056" width="11.42578125" style="139"/>
    <col min="13057" max="13064" width="4.85546875" style="139" customWidth="1"/>
    <col min="13065" max="13065" width="9.5703125" style="139" customWidth="1"/>
    <col min="13066" max="13066" width="11.5703125" style="139" customWidth="1"/>
    <col min="13067" max="13067" width="38.42578125" style="139" customWidth="1"/>
    <col min="13068" max="13068" width="22.7109375" style="139" customWidth="1"/>
    <col min="13069" max="13069" width="38" style="139" customWidth="1"/>
    <col min="13070" max="13070" width="30.28515625" style="139" customWidth="1"/>
    <col min="13071" max="13071" width="10.42578125" style="139" customWidth="1"/>
    <col min="13072" max="13072" width="28.42578125" style="139" customWidth="1"/>
    <col min="13073" max="13073" width="19.140625" style="139" customWidth="1"/>
    <col min="13074" max="13074" width="28.140625" style="139" customWidth="1"/>
    <col min="13075" max="13075" width="26.42578125" style="139" customWidth="1"/>
    <col min="13076" max="13076" width="26.7109375" style="139" customWidth="1"/>
    <col min="13077" max="13077" width="44.28515625" style="139" customWidth="1"/>
    <col min="13078" max="13078" width="25.42578125" style="139" customWidth="1"/>
    <col min="13079" max="13079" width="30.5703125" style="139" customWidth="1"/>
    <col min="13080" max="13080" width="16.85546875" style="139" customWidth="1"/>
    <col min="13081" max="13096" width="14.140625" style="139" customWidth="1"/>
    <col min="13097" max="13098" width="22.7109375" style="139" customWidth="1"/>
    <col min="13099" max="13099" width="28.7109375" style="139" customWidth="1"/>
    <col min="13100" max="13312" width="11.42578125" style="139"/>
    <col min="13313" max="13320" width="4.85546875" style="139" customWidth="1"/>
    <col min="13321" max="13321" width="9.5703125" style="139" customWidth="1"/>
    <col min="13322" max="13322" width="11.5703125" style="139" customWidth="1"/>
    <col min="13323" max="13323" width="38.42578125" style="139" customWidth="1"/>
    <col min="13324" max="13324" width="22.7109375" style="139" customWidth="1"/>
    <col min="13325" max="13325" width="38" style="139" customWidth="1"/>
    <col min="13326" max="13326" width="30.28515625" style="139" customWidth="1"/>
    <col min="13327" max="13327" width="10.42578125" style="139" customWidth="1"/>
    <col min="13328" max="13328" width="28.42578125" style="139" customWidth="1"/>
    <col min="13329" max="13329" width="19.140625" style="139" customWidth="1"/>
    <col min="13330" max="13330" width="28.140625" style="139" customWidth="1"/>
    <col min="13331" max="13331" width="26.42578125" style="139" customWidth="1"/>
    <col min="13332" max="13332" width="26.7109375" style="139" customWidth="1"/>
    <col min="13333" max="13333" width="44.28515625" style="139" customWidth="1"/>
    <col min="13334" max="13334" width="25.42578125" style="139" customWidth="1"/>
    <col min="13335" max="13335" width="30.5703125" style="139" customWidth="1"/>
    <col min="13336" max="13336" width="16.85546875" style="139" customWidth="1"/>
    <col min="13337" max="13352" width="14.140625" style="139" customWidth="1"/>
    <col min="13353" max="13354" width="22.7109375" style="139" customWidth="1"/>
    <col min="13355" max="13355" width="28.7109375" style="139" customWidth="1"/>
    <col min="13356" max="13568" width="11.42578125" style="139"/>
    <col min="13569" max="13576" width="4.85546875" style="139" customWidth="1"/>
    <col min="13577" max="13577" width="9.5703125" style="139" customWidth="1"/>
    <col min="13578" max="13578" width="11.5703125" style="139" customWidth="1"/>
    <col min="13579" max="13579" width="38.42578125" style="139" customWidth="1"/>
    <col min="13580" max="13580" width="22.7109375" style="139" customWidth="1"/>
    <col min="13581" max="13581" width="38" style="139" customWidth="1"/>
    <col min="13582" max="13582" width="30.28515625" style="139" customWidth="1"/>
    <col min="13583" max="13583" width="10.42578125" style="139" customWidth="1"/>
    <col min="13584" max="13584" width="28.42578125" style="139" customWidth="1"/>
    <col min="13585" max="13585" width="19.140625" style="139" customWidth="1"/>
    <col min="13586" max="13586" width="28.140625" style="139" customWidth="1"/>
    <col min="13587" max="13587" width="26.42578125" style="139" customWidth="1"/>
    <col min="13588" max="13588" width="26.7109375" style="139" customWidth="1"/>
    <col min="13589" max="13589" width="44.28515625" style="139" customWidth="1"/>
    <col min="13590" max="13590" width="25.42578125" style="139" customWidth="1"/>
    <col min="13591" max="13591" width="30.5703125" style="139" customWidth="1"/>
    <col min="13592" max="13592" width="16.85546875" style="139" customWidth="1"/>
    <col min="13593" max="13608" width="14.140625" style="139" customWidth="1"/>
    <col min="13609" max="13610" width="22.7109375" style="139" customWidth="1"/>
    <col min="13611" max="13611" width="28.7109375" style="139" customWidth="1"/>
    <col min="13612" max="13824" width="11.42578125" style="139"/>
    <col min="13825" max="13832" width="4.85546875" style="139" customWidth="1"/>
    <col min="13833" max="13833" width="9.5703125" style="139" customWidth="1"/>
    <col min="13834" max="13834" width="11.5703125" style="139" customWidth="1"/>
    <col min="13835" max="13835" width="38.42578125" style="139" customWidth="1"/>
    <col min="13836" max="13836" width="22.7109375" style="139" customWidth="1"/>
    <col min="13837" max="13837" width="38" style="139" customWidth="1"/>
    <col min="13838" max="13838" width="30.28515625" style="139" customWidth="1"/>
    <col min="13839" max="13839" width="10.42578125" style="139" customWidth="1"/>
    <col min="13840" max="13840" width="28.42578125" style="139" customWidth="1"/>
    <col min="13841" max="13841" width="19.140625" style="139" customWidth="1"/>
    <col min="13842" max="13842" width="28.140625" style="139" customWidth="1"/>
    <col min="13843" max="13843" width="26.42578125" style="139" customWidth="1"/>
    <col min="13844" max="13844" width="26.7109375" style="139" customWidth="1"/>
    <col min="13845" max="13845" width="44.28515625" style="139" customWidth="1"/>
    <col min="13846" max="13846" width="25.42578125" style="139" customWidth="1"/>
    <col min="13847" max="13847" width="30.5703125" style="139" customWidth="1"/>
    <col min="13848" max="13848" width="16.85546875" style="139" customWidth="1"/>
    <col min="13849" max="13864" width="14.140625" style="139" customWidth="1"/>
    <col min="13865" max="13866" width="22.7109375" style="139" customWidth="1"/>
    <col min="13867" max="13867" width="28.7109375" style="139" customWidth="1"/>
    <col min="13868" max="14080" width="11.42578125" style="139"/>
    <col min="14081" max="14088" width="4.85546875" style="139" customWidth="1"/>
    <col min="14089" max="14089" width="9.5703125" style="139" customWidth="1"/>
    <col min="14090" max="14090" width="11.5703125" style="139" customWidth="1"/>
    <col min="14091" max="14091" width="38.42578125" style="139" customWidth="1"/>
    <col min="14092" max="14092" width="22.7109375" style="139" customWidth="1"/>
    <col min="14093" max="14093" width="38" style="139" customWidth="1"/>
    <col min="14094" max="14094" width="30.28515625" style="139" customWidth="1"/>
    <col min="14095" max="14095" width="10.42578125" style="139" customWidth="1"/>
    <col min="14096" max="14096" width="28.42578125" style="139" customWidth="1"/>
    <col min="14097" max="14097" width="19.140625" style="139" customWidth="1"/>
    <col min="14098" max="14098" width="28.140625" style="139" customWidth="1"/>
    <col min="14099" max="14099" width="26.42578125" style="139" customWidth="1"/>
    <col min="14100" max="14100" width="26.7109375" style="139" customWidth="1"/>
    <col min="14101" max="14101" width="44.28515625" style="139" customWidth="1"/>
    <col min="14102" max="14102" width="25.42578125" style="139" customWidth="1"/>
    <col min="14103" max="14103" width="30.5703125" style="139" customWidth="1"/>
    <col min="14104" max="14104" width="16.85546875" style="139" customWidth="1"/>
    <col min="14105" max="14120" width="14.140625" style="139" customWidth="1"/>
    <col min="14121" max="14122" width="22.7109375" style="139" customWidth="1"/>
    <col min="14123" max="14123" width="28.7109375" style="139" customWidth="1"/>
    <col min="14124" max="14336" width="11.42578125" style="139"/>
    <col min="14337" max="14344" width="4.85546875" style="139" customWidth="1"/>
    <col min="14345" max="14345" width="9.5703125" style="139" customWidth="1"/>
    <col min="14346" max="14346" width="11.5703125" style="139" customWidth="1"/>
    <col min="14347" max="14347" width="38.42578125" style="139" customWidth="1"/>
    <col min="14348" max="14348" width="22.7109375" style="139" customWidth="1"/>
    <col min="14349" max="14349" width="38" style="139" customWidth="1"/>
    <col min="14350" max="14350" width="30.28515625" style="139" customWidth="1"/>
    <col min="14351" max="14351" width="10.42578125" style="139" customWidth="1"/>
    <col min="14352" max="14352" width="28.42578125" style="139" customWidth="1"/>
    <col min="14353" max="14353" width="19.140625" style="139" customWidth="1"/>
    <col min="14354" max="14354" width="28.140625" style="139" customWidth="1"/>
    <col min="14355" max="14355" width="26.42578125" style="139" customWidth="1"/>
    <col min="14356" max="14356" width="26.7109375" style="139" customWidth="1"/>
    <col min="14357" max="14357" width="44.28515625" style="139" customWidth="1"/>
    <col min="14358" max="14358" width="25.42578125" style="139" customWidth="1"/>
    <col min="14359" max="14359" width="30.5703125" style="139" customWidth="1"/>
    <col min="14360" max="14360" width="16.85546875" style="139" customWidth="1"/>
    <col min="14361" max="14376" width="14.140625" style="139" customWidth="1"/>
    <col min="14377" max="14378" width="22.7109375" style="139" customWidth="1"/>
    <col min="14379" max="14379" width="28.7109375" style="139" customWidth="1"/>
    <col min="14380" max="14592" width="11.42578125" style="139"/>
    <col min="14593" max="14600" width="4.85546875" style="139" customWidth="1"/>
    <col min="14601" max="14601" width="9.5703125" style="139" customWidth="1"/>
    <col min="14602" max="14602" width="11.5703125" style="139" customWidth="1"/>
    <col min="14603" max="14603" width="38.42578125" style="139" customWidth="1"/>
    <col min="14604" max="14604" width="22.7109375" style="139" customWidth="1"/>
    <col min="14605" max="14605" width="38" style="139" customWidth="1"/>
    <col min="14606" max="14606" width="30.28515625" style="139" customWidth="1"/>
    <col min="14607" max="14607" width="10.42578125" style="139" customWidth="1"/>
    <col min="14608" max="14608" width="28.42578125" style="139" customWidth="1"/>
    <col min="14609" max="14609" width="19.140625" style="139" customWidth="1"/>
    <col min="14610" max="14610" width="28.140625" style="139" customWidth="1"/>
    <col min="14611" max="14611" width="26.42578125" style="139" customWidth="1"/>
    <col min="14612" max="14612" width="26.7109375" style="139" customWidth="1"/>
    <col min="14613" max="14613" width="44.28515625" style="139" customWidth="1"/>
    <col min="14614" max="14614" width="25.42578125" style="139" customWidth="1"/>
    <col min="14615" max="14615" width="30.5703125" style="139" customWidth="1"/>
    <col min="14616" max="14616" width="16.85546875" style="139" customWidth="1"/>
    <col min="14617" max="14632" width="14.140625" style="139" customWidth="1"/>
    <col min="14633" max="14634" width="22.7109375" style="139" customWidth="1"/>
    <col min="14635" max="14635" width="28.7109375" style="139" customWidth="1"/>
    <col min="14636" max="14848" width="11.42578125" style="139"/>
    <col min="14849" max="14856" width="4.85546875" style="139" customWidth="1"/>
    <col min="14857" max="14857" width="9.5703125" style="139" customWidth="1"/>
    <col min="14858" max="14858" width="11.5703125" style="139" customWidth="1"/>
    <col min="14859" max="14859" width="38.42578125" style="139" customWidth="1"/>
    <col min="14860" max="14860" width="22.7109375" style="139" customWidth="1"/>
    <col min="14861" max="14861" width="38" style="139" customWidth="1"/>
    <col min="14862" max="14862" width="30.28515625" style="139" customWidth="1"/>
    <col min="14863" max="14863" width="10.42578125" style="139" customWidth="1"/>
    <col min="14864" max="14864" width="28.42578125" style="139" customWidth="1"/>
    <col min="14865" max="14865" width="19.140625" style="139" customWidth="1"/>
    <col min="14866" max="14866" width="28.140625" style="139" customWidth="1"/>
    <col min="14867" max="14867" width="26.42578125" style="139" customWidth="1"/>
    <col min="14868" max="14868" width="26.7109375" style="139" customWidth="1"/>
    <col min="14869" max="14869" width="44.28515625" style="139" customWidth="1"/>
    <col min="14870" max="14870" width="25.42578125" style="139" customWidth="1"/>
    <col min="14871" max="14871" width="30.5703125" style="139" customWidth="1"/>
    <col min="14872" max="14872" width="16.85546875" style="139" customWidth="1"/>
    <col min="14873" max="14888" width="14.140625" style="139" customWidth="1"/>
    <col min="14889" max="14890" width="22.7109375" style="139" customWidth="1"/>
    <col min="14891" max="14891" width="28.7109375" style="139" customWidth="1"/>
    <col min="14892" max="15104" width="11.42578125" style="139"/>
    <col min="15105" max="15112" width="4.85546875" style="139" customWidth="1"/>
    <col min="15113" max="15113" width="9.5703125" style="139" customWidth="1"/>
    <col min="15114" max="15114" width="11.5703125" style="139" customWidth="1"/>
    <col min="15115" max="15115" width="38.42578125" style="139" customWidth="1"/>
    <col min="15116" max="15116" width="22.7109375" style="139" customWidth="1"/>
    <col min="15117" max="15117" width="38" style="139" customWidth="1"/>
    <col min="15118" max="15118" width="30.28515625" style="139" customWidth="1"/>
    <col min="15119" max="15119" width="10.42578125" style="139" customWidth="1"/>
    <col min="15120" max="15120" width="28.42578125" style="139" customWidth="1"/>
    <col min="15121" max="15121" width="19.140625" style="139" customWidth="1"/>
    <col min="15122" max="15122" width="28.140625" style="139" customWidth="1"/>
    <col min="15123" max="15123" width="26.42578125" style="139" customWidth="1"/>
    <col min="15124" max="15124" width="26.7109375" style="139" customWidth="1"/>
    <col min="15125" max="15125" width="44.28515625" style="139" customWidth="1"/>
    <col min="15126" max="15126" width="25.42578125" style="139" customWidth="1"/>
    <col min="15127" max="15127" width="30.5703125" style="139" customWidth="1"/>
    <col min="15128" max="15128" width="16.85546875" style="139" customWidth="1"/>
    <col min="15129" max="15144" width="14.140625" style="139" customWidth="1"/>
    <col min="15145" max="15146" width="22.7109375" style="139" customWidth="1"/>
    <col min="15147" max="15147" width="28.7109375" style="139" customWidth="1"/>
    <col min="15148" max="15360" width="11.42578125" style="139"/>
    <col min="15361" max="15368" width="4.85546875" style="139" customWidth="1"/>
    <col min="15369" max="15369" width="9.5703125" style="139" customWidth="1"/>
    <col min="15370" max="15370" width="11.5703125" style="139" customWidth="1"/>
    <col min="15371" max="15371" width="38.42578125" style="139" customWidth="1"/>
    <col min="15372" max="15372" width="22.7109375" style="139" customWidth="1"/>
    <col min="15373" max="15373" width="38" style="139" customWidth="1"/>
    <col min="15374" max="15374" width="30.28515625" style="139" customWidth="1"/>
    <col min="15375" max="15375" width="10.42578125" style="139" customWidth="1"/>
    <col min="15376" max="15376" width="28.42578125" style="139" customWidth="1"/>
    <col min="15377" max="15377" width="19.140625" style="139" customWidth="1"/>
    <col min="15378" max="15378" width="28.140625" style="139" customWidth="1"/>
    <col min="15379" max="15379" width="26.42578125" style="139" customWidth="1"/>
    <col min="15380" max="15380" width="26.7109375" style="139" customWidth="1"/>
    <col min="15381" max="15381" width="44.28515625" style="139" customWidth="1"/>
    <col min="15382" max="15382" width="25.42578125" style="139" customWidth="1"/>
    <col min="15383" max="15383" width="30.5703125" style="139" customWidth="1"/>
    <col min="15384" max="15384" width="16.85546875" style="139" customWidth="1"/>
    <col min="15385" max="15400" width="14.140625" style="139" customWidth="1"/>
    <col min="15401" max="15402" width="22.7109375" style="139" customWidth="1"/>
    <col min="15403" max="15403" width="28.7109375" style="139" customWidth="1"/>
    <col min="15404" max="15616" width="11.42578125" style="139"/>
    <col min="15617" max="15624" width="4.85546875" style="139" customWidth="1"/>
    <col min="15625" max="15625" width="9.5703125" style="139" customWidth="1"/>
    <col min="15626" max="15626" width="11.5703125" style="139" customWidth="1"/>
    <col min="15627" max="15627" width="38.42578125" style="139" customWidth="1"/>
    <col min="15628" max="15628" width="22.7109375" style="139" customWidth="1"/>
    <col min="15629" max="15629" width="38" style="139" customWidth="1"/>
    <col min="15630" max="15630" width="30.28515625" style="139" customWidth="1"/>
    <col min="15631" max="15631" width="10.42578125" style="139" customWidth="1"/>
    <col min="15632" max="15632" width="28.42578125" style="139" customWidth="1"/>
    <col min="15633" max="15633" width="19.140625" style="139" customWidth="1"/>
    <col min="15634" max="15634" width="28.140625" style="139" customWidth="1"/>
    <col min="15635" max="15635" width="26.42578125" style="139" customWidth="1"/>
    <col min="15636" max="15636" width="26.7109375" style="139" customWidth="1"/>
    <col min="15637" max="15637" width="44.28515625" style="139" customWidth="1"/>
    <col min="15638" max="15638" width="25.42578125" style="139" customWidth="1"/>
    <col min="15639" max="15639" width="30.5703125" style="139" customWidth="1"/>
    <col min="15640" max="15640" width="16.85546875" style="139" customWidth="1"/>
    <col min="15641" max="15656" width="14.140625" style="139" customWidth="1"/>
    <col min="15657" max="15658" width="22.7109375" style="139" customWidth="1"/>
    <col min="15659" max="15659" width="28.7109375" style="139" customWidth="1"/>
    <col min="15660" max="15872" width="11.42578125" style="139"/>
    <col min="15873" max="15880" width="4.85546875" style="139" customWidth="1"/>
    <col min="15881" max="15881" width="9.5703125" style="139" customWidth="1"/>
    <col min="15882" max="15882" width="11.5703125" style="139" customWidth="1"/>
    <col min="15883" max="15883" width="38.42578125" style="139" customWidth="1"/>
    <col min="15884" max="15884" width="22.7109375" style="139" customWidth="1"/>
    <col min="15885" max="15885" width="38" style="139" customWidth="1"/>
    <col min="15886" max="15886" width="30.28515625" style="139" customWidth="1"/>
    <col min="15887" max="15887" width="10.42578125" style="139" customWidth="1"/>
    <col min="15888" max="15888" width="28.42578125" style="139" customWidth="1"/>
    <col min="15889" max="15889" width="19.140625" style="139" customWidth="1"/>
    <col min="15890" max="15890" width="28.140625" style="139" customWidth="1"/>
    <col min="15891" max="15891" width="26.42578125" style="139" customWidth="1"/>
    <col min="15892" max="15892" width="26.7109375" style="139" customWidth="1"/>
    <col min="15893" max="15893" width="44.28515625" style="139" customWidth="1"/>
    <col min="15894" max="15894" width="25.42578125" style="139" customWidth="1"/>
    <col min="15895" max="15895" width="30.5703125" style="139" customWidth="1"/>
    <col min="15896" max="15896" width="16.85546875" style="139" customWidth="1"/>
    <col min="15897" max="15912" width="14.140625" style="139" customWidth="1"/>
    <col min="15913" max="15914" width="22.7109375" style="139" customWidth="1"/>
    <col min="15915" max="15915" width="28.7109375" style="139" customWidth="1"/>
    <col min="15916" max="16128" width="11.42578125" style="139"/>
    <col min="16129" max="16136" width="4.85546875" style="139" customWidth="1"/>
    <col min="16137" max="16137" width="9.5703125" style="139" customWidth="1"/>
    <col min="16138" max="16138" width="11.5703125" style="139" customWidth="1"/>
    <col min="16139" max="16139" width="38.42578125" style="139" customWidth="1"/>
    <col min="16140" max="16140" width="22.7109375" style="139" customWidth="1"/>
    <col min="16141" max="16141" width="38" style="139" customWidth="1"/>
    <col min="16142" max="16142" width="30.28515625" style="139" customWidth="1"/>
    <col min="16143" max="16143" width="10.42578125" style="139" customWidth="1"/>
    <col min="16144" max="16144" width="28.42578125" style="139" customWidth="1"/>
    <col min="16145" max="16145" width="19.140625" style="139" customWidth="1"/>
    <col min="16146" max="16146" width="28.140625" style="139" customWidth="1"/>
    <col min="16147" max="16147" width="26.42578125" style="139" customWidth="1"/>
    <col min="16148" max="16148" width="26.7109375" style="139" customWidth="1"/>
    <col min="16149" max="16149" width="44.28515625" style="139" customWidth="1"/>
    <col min="16150" max="16150" width="25.42578125" style="139" customWidth="1"/>
    <col min="16151" max="16151" width="30.5703125" style="139" customWidth="1"/>
    <col min="16152" max="16152" width="16.85546875" style="139" customWidth="1"/>
    <col min="16153" max="16168" width="14.140625" style="139" customWidth="1"/>
    <col min="16169" max="16170" width="22.7109375" style="139" customWidth="1"/>
    <col min="16171" max="16171" width="28.7109375" style="139" customWidth="1"/>
    <col min="16172" max="16384" width="11.42578125" style="139"/>
  </cols>
  <sheetData>
    <row r="1" spans="1:76" ht="15" customHeight="1" x14ac:dyDescent="0.2">
      <c r="A1" s="2262" t="s">
        <v>626</v>
      </c>
      <c r="B1" s="2263"/>
      <c r="C1" s="2263"/>
      <c r="D1" s="2263"/>
      <c r="E1" s="2263"/>
      <c r="F1" s="2263"/>
      <c r="G1" s="2263"/>
      <c r="H1" s="2263"/>
      <c r="I1" s="2263"/>
      <c r="J1" s="2263"/>
      <c r="K1" s="2263"/>
      <c r="L1" s="2263"/>
      <c r="M1" s="2263"/>
      <c r="N1" s="2263"/>
      <c r="O1" s="2263"/>
      <c r="P1" s="2263"/>
      <c r="Q1" s="2263"/>
      <c r="R1" s="2263"/>
      <c r="S1" s="2263"/>
      <c r="T1" s="2263"/>
      <c r="U1" s="2263"/>
      <c r="V1" s="2263"/>
      <c r="W1" s="2263"/>
      <c r="X1" s="2263"/>
      <c r="Y1" s="2263"/>
      <c r="Z1" s="2263"/>
      <c r="AA1" s="2263"/>
      <c r="AB1" s="2263"/>
      <c r="AC1" s="2263"/>
      <c r="AD1" s="2263"/>
      <c r="AE1" s="2263"/>
      <c r="AF1" s="2263"/>
      <c r="AG1" s="2263"/>
      <c r="AH1" s="2263"/>
      <c r="AI1" s="2263"/>
      <c r="AJ1" s="2263"/>
      <c r="AK1" s="2263"/>
      <c r="AL1" s="2263"/>
      <c r="AM1" s="2263"/>
      <c r="AN1" s="2263"/>
      <c r="AO1" s="2264"/>
      <c r="AP1" s="136" t="s">
        <v>0</v>
      </c>
      <c r="AQ1" s="137" t="s">
        <v>1</v>
      </c>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row>
    <row r="2" spans="1:76" ht="20.25" customHeight="1" x14ac:dyDescent="0.2">
      <c r="A2" s="2265"/>
      <c r="B2" s="2266"/>
      <c r="C2" s="2266"/>
      <c r="D2" s="2266"/>
      <c r="E2" s="2266"/>
      <c r="F2" s="2266"/>
      <c r="G2" s="2266"/>
      <c r="H2" s="2266"/>
      <c r="I2" s="2266"/>
      <c r="J2" s="2266"/>
      <c r="K2" s="2266"/>
      <c r="L2" s="2266"/>
      <c r="M2" s="2266"/>
      <c r="N2" s="2266"/>
      <c r="O2" s="2266"/>
      <c r="P2" s="2266"/>
      <c r="Q2" s="2266"/>
      <c r="R2" s="2266"/>
      <c r="S2" s="2266"/>
      <c r="T2" s="2266"/>
      <c r="U2" s="2266"/>
      <c r="V2" s="2266"/>
      <c r="W2" s="2266"/>
      <c r="X2" s="2266"/>
      <c r="Y2" s="2266"/>
      <c r="Z2" s="2266"/>
      <c r="AA2" s="2266"/>
      <c r="AB2" s="2266"/>
      <c r="AC2" s="2266"/>
      <c r="AD2" s="2266"/>
      <c r="AE2" s="2266"/>
      <c r="AF2" s="2266"/>
      <c r="AG2" s="2266"/>
      <c r="AH2" s="2266"/>
      <c r="AI2" s="2266"/>
      <c r="AJ2" s="2266"/>
      <c r="AK2" s="2266"/>
      <c r="AL2" s="2266"/>
      <c r="AM2" s="2266"/>
      <c r="AN2" s="2266"/>
      <c r="AO2" s="2267"/>
      <c r="AP2" s="140" t="s">
        <v>2</v>
      </c>
      <c r="AQ2" s="141" t="s">
        <v>3</v>
      </c>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row>
    <row r="3" spans="1:76" ht="12.75" customHeight="1" x14ac:dyDescent="0.2">
      <c r="A3" s="2265"/>
      <c r="B3" s="2266"/>
      <c r="C3" s="2266"/>
      <c r="D3" s="2266"/>
      <c r="E3" s="2266"/>
      <c r="F3" s="2266"/>
      <c r="G3" s="2266"/>
      <c r="H3" s="2266"/>
      <c r="I3" s="2266"/>
      <c r="J3" s="2266"/>
      <c r="K3" s="2266"/>
      <c r="L3" s="2266"/>
      <c r="M3" s="2266"/>
      <c r="N3" s="2266"/>
      <c r="O3" s="2266"/>
      <c r="P3" s="2266"/>
      <c r="Q3" s="2266"/>
      <c r="R3" s="2266"/>
      <c r="S3" s="2266"/>
      <c r="T3" s="2266"/>
      <c r="U3" s="2266"/>
      <c r="V3" s="2266"/>
      <c r="W3" s="2266"/>
      <c r="X3" s="2266"/>
      <c r="Y3" s="2266"/>
      <c r="Z3" s="2266"/>
      <c r="AA3" s="2266"/>
      <c r="AB3" s="2266"/>
      <c r="AC3" s="2266"/>
      <c r="AD3" s="2266"/>
      <c r="AE3" s="2266"/>
      <c r="AF3" s="2266"/>
      <c r="AG3" s="2266"/>
      <c r="AH3" s="2266"/>
      <c r="AI3" s="2266"/>
      <c r="AJ3" s="2266"/>
      <c r="AK3" s="2266"/>
      <c r="AL3" s="2266"/>
      <c r="AM3" s="2266"/>
      <c r="AN3" s="2266"/>
      <c r="AO3" s="2267"/>
      <c r="AP3" s="142" t="s">
        <v>4</v>
      </c>
      <c r="AQ3" s="143" t="s">
        <v>5</v>
      </c>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row>
    <row r="4" spans="1:76" ht="24.75" customHeight="1" x14ac:dyDescent="0.2">
      <c r="A4" s="2268"/>
      <c r="B4" s="2269"/>
      <c r="C4" s="2269"/>
      <c r="D4" s="2269"/>
      <c r="E4" s="2269"/>
      <c r="F4" s="2269"/>
      <c r="G4" s="2269"/>
      <c r="H4" s="2269"/>
      <c r="I4" s="2269"/>
      <c r="J4" s="2269"/>
      <c r="K4" s="2269"/>
      <c r="L4" s="2269"/>
      <c r="M4" s="2269"/>
      <c r="N4" s="2269"/>
      <c r="O4" s="2269"/>
      <c r="P4" s="2269"/>
      <c r="Q4" s="2269"/>
      <c r="R4" s="2269"/>
      <c r="S4" s="2269"/>
      <c r="T4" s="2269"/>
      <c r="U4" s="2269"/>
      <c r="V4" s="2269"/>
      <c r="W4" s="2269"/>
      <c r="X4" s="2269"/>
      <c r="Y4" s="2269"/>
      <c r="Z4" s="2269"/>
      <c r="AA4" s="2269"/>
      <c r="AB4" s="2269"/>
      <c r="AC4" s="2269"/>
      <c r="AD4" s="2269"/>
      <c r="AE4" s="2269"/>
      <c r="AF4" s="2269"/>
      <c r="AG4" s="2269"/>
      <c r="AH4" s="2269"/>
      <c r="AI4" s="2269"/>
      <c r="AJ4" s="2269"/>
      <c r="AK4" s="2269"/>
      <c r="AL4" s="2269"/>
      <c r="AM4" s="2269"/>
      <c r="AN4" s="2269"/>
      <c r="AO4" s="2270"/>
      <c r="AP4" s="144" t="s">
        <v>6</v>
      </c>
      <c r="AQ4" s="145" t="s">
        <v>7</v>
      </c>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row>
    <row r="5" spans="1:76" ht="36.75" customHeight="1" x14ac:dyDescent="0.2">
      <c r="A5" s="2271" t="s">
        <v>8</v>
      </c>
      <c r="B5" s="2272"/>
      <c r="C5" s="2272"/>
      <c r="D5" s="2272"/>
      <c r="E5" s="2272"/>
      <c r="F5" s="2272"/>
      <c r="G5" s="2272"/>
      <c r="H5" s="2272"/>
      <c r="I5" s="2272"/>
      <c r="J5" s="2272"/>
      <c r="K5" s="2272"/>
      <c r="L5" s="2272"/>
      <c r="M5" s="2272"/>
      <c r="N5" s="2275" t="s">
        <v>9</v>
      </c>
      <c r="O5" s="2275"/>
      <c r="P5" s="2275"/>
      <c r="Q5" s="2275"/>
      <c r="R5" s="2275"/>
      <c r="S5" s="2275"/>
      <c r="T5" s="2275"/>
      <c r="U5" s="2275"/>
      <c r="V5" s="2275"/>
      <c r="W5" s="2275"/>
      <c r="X5" s="2275"/>
      <c r="Y5" s="2275"/>
      <c r="Z5" s="2275"/>
      <c r="AA5" s="2275"/>
      <c r="AB5" s="2275"/>
      <c r="AC5" s="2275"/>
      <c r="AD5" s="2275"/>
      <c r="AE5" s="2275"/>
      <c r="AF5" s="2275"/>
      <c r="AG5" s="2275"/>
      <c r="AH5" s="2275"/>
      <c r="AI5" s="2275"/>
      <c r="AJ5" s="2275"/>
      <c r="AK5" s="2275"/>
      <c r="AL5" s="2275"/>
      <c r="AM5" s="2275"/>
      <c r="AN5" s="2275"/>
      <c r="AO5" s="2275"/>
      <c r="AP5" s="2275"/>
      <c r="AQ5" s="2276"/>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row>
    <row r="6" spans="1:76" ht="12" customHeight="1" x14ac:dyDescent="0.2">
      <c r="A6" s="2273"/>
      <c r="B6" s="2274"/>
      <c r="C6" s="2274"/>
      <c r="D6" s="2274"/>
      <c r="E6" s="2274"/>
      <c r="F6" s="2274"/>
      <c r="G6" s="2274"/>
      <c r="H6" s="2274"/>
      <c r="I6" s="2274"/>
      <c r="J6" s="2274"/>
      <c r="K6" s="2274"/>
      <c r="L6" s="2274"/>
      <c r="M6" s="2274"/>
      <c r="N6" s="146"/>
      <c r="O6" s="147"/>
      <c r="P6" s="148"/>
      <c r="Q6" s="148"/>
      <c r="R6" s="148"/>
      <c r="S6" s="148"/>
      <c r="T6" s="148"/>
      <c r="U6" s="148"/>
      <c r="V6" s="149"/>
      <c r="W6" s="148"/>
      <c r="X6" s="150"/>
      <c r="Y6" s="2277" t="s">
        <v>10</v>
      </c>
      <c r="Z6" s="2278"/>
      <c r="AA6" s="2278"/>
      <c r="AB6" s="2278"/>
      <c r="AC6" s="2278"/>
      <c r="AD6" s="2278"/>
      <c r="AE6" s="2278"/>
      <c r="AF6" s="2278"/>
      <c r="AG6" s="2278"/>
      <c r="AH6" s="2278"/>
      <c r="AI6" s="2278"/>
      <c r="AJ6" s="2278"/>
      <c r="AK6" s="2278"/>
      <c r="AL6" s="2278"/>
      <c r="AM6" s="2278"/>
      <c r="AN6" s="2278"/>
      <c r="AO6" s="148"/>
      <c r="AP6" s="148"/>
      <c r="AQ6" s="151"/>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row>
    <row r="7" spans="1:76" ht="26.25" customHeight="1" x14ac:dyDescent="0.2">
      <c r="A7" s="2279" t="s">
        <v>11</v>
      </c>
      <c r="B7" s="2281" t="s">
        <v>12</v>
      </c>
      <c r="C7" s="2282"/>
      <c r="D7" s="2258" t="s">
        <v>11</v>
      </c>
      <c r="E7" s="2285" t="s">
        <v>13</v>
      </c>
      <c r="F7" s="2258"/>
      <c r="G7" s="2258" t="s">
        <v>11</v>
      </c>
      <c r="H7" s="2285" t="s">
        <v>14</v>
      </c>
      <c r="I7" s="2258"/>
      <c r="J7" s="2258" t="s">
        <v>11</v>
      </c>
      <c r="K7" s="2260" t="s">
        <v>15</v>
      </c>
      <c r="L7" s="2260" t="s">
        <v>16</v>
      </c>
      <c r="M7" s="2260" t="s">
        <v>17</v>
      </c>
      <c r="N7" s="2260" t="s">
        <v>18</v>
      </c>
      <c r="O7" s="2260" t="s">
        <v>19</v>
      </c>
      <c r="P7" s="2260" t="s">
        <v>9</v>
      </c>
      <c r="Q7" s="2142" t="s">
        <v>20</v>
      </c>
      <c r="R7" s="2295" t="s">
        <v>21</v>
      </c>
      <c r="S7" s="2285" t="s">
        <v>22</v>
      </c>
      <c r="T7" s="2285" t="s">
        <v>23</v>
      </c>
      <c r="U7" s="2260" t="s">
        <v>24</v>
      </c>
      <c r="V7" s="2293" t="s">
        <v>21</v>
      </c>
      <c r="W7" s="152"/>
      <c r="X7" s="2260" t="s">
        <v>25</v>
      </c>
      <c r="Y7" s="2122" t="s">
        <v>26</v>
      </c>
      <c r="Z7" s="2122"/>
      <c r="AA7" s="2109" t="s">
        <v>27</v>
      </c>
      <c r="AB7" s="2109"/>
      <c r="AC7" s="2109"/>
      <c r="AD7" s="2109"/>
      <c r="AE7" s="2106" t="s">
        <v>28</v>
      </c>
      <c r="AF7" s="2107"/>
      <c r="AG7" s="2107"/>
      <c r="AH7" s="2107"/>
      <c r="AI7" s="2107"/>
      <c r="AJ7" s="2108"/>
      <c r="AK7" s="2109" t="s">
        <v>29</v>
      </c>
      <c r="AL7" s="2109"/>
      <c r="AM7" s="2109"/>
      <c r="AN7" s="2287" t="s">
        <v>30</v>
      </c>
      <c r="AO7" s="2289" t="s">
        <v>31</v>
      </c>
      <c r="AP7" s="2289" t="s">
        <v>32</v>
      </c>
      <c r="AQ7" s="2291" t="s">
        <v>33</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row>
    <row r="8" spans="1:76" ht="131.25" customHeight="1" x14ac:dyDescent="0.2">
      <c r="A8" s="2280"/>
      <c r="B8" s="2283"/>
      <c r="C8" s="2284"/>
      <c r="D8" s="2259"/>
      <c r="E8" s="2286"/>
      <c r="F8" s="2259"/>
      <c r="G8" s="2259"/>
      <c r="H8" s="2286"/>
      <c r="I8" s="2259"/>
      <c r="J8" s="2259"/>
      <c r="K8" s="2261"/>
      <c r="L8" s="2261"/>
      <c r="M8" s="2261"/>
      <c r="N8" s="2261"/>
      <c r="O8" s="2261"/>
      <c r="P8" s="2261"/>
      <c r="Q8" s="2143"/>
      <c r="R8" s="2296"/>
      <c r="S8" s="2286"/>
      <c r="T8" s="2286"/>
      <c r="U8" s="2261"/>
      <c r="V8" s="2294"/>
      <c r="W8" s="153" t="s">
        <v>11</v>
      </c>
      <c r="X8" s="2261"/>
      <c r="Y8" s="154" t="s">
        <v>34</v>
      </c>
      <c r="Z8" s="155" t="s">
        <v>35</v>
      </c>
      <c r="AA8" s="156" t="s">
        <v>36</v>
      </c>
      <c r="AB8" s="156" t="s">
        <v>37</v>
      </c>
      <c r="AC8" s="156" t="s">
        <v>95</v>
      </c>
      <c r="AD8" s="156" t="s">
        <v>39</v>
      </c>
      <c r="AE8" s="156" t="s">
        <v>40</v>
      </c>
      <c r="AF8" s="156" t="s">
        <v>41</v>
      </c>
      <c r="AG8" s="156" t="s">
        <v>42</v>
      </c>
      <c r="AH8" s="156" t="s">
        <v>43</v>
      </c>
      <c r="AI8" s="156" t="s">
        <v>44</v>
      </c>
      <c r="AJ8" s="156" t="s">
        <v>45</v>
      </c>
      <c r="AK8" s="156" t="s">
        <v>46</v>
      </c>
      <c r="AL8" s="156" t="s">
        <v>47</v>
      </c>
      <c r="AM8" s="156" t="s">
        <v>48</v>
      </c>
      <c r="AN8" s="2288"/>
      <c r="AO8" s="2290"/>
      <c r="AP8" s="2290"/>
      <c r="AQ8" s="2292"/>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row>
    <row r="9" spans="1:76" s="169" customFormat="1" ht="27" customHeight="1" x14ac:dyDescent="0.2">
      <c r="A9" s="157">
        <v>1</v>
      </c>
      <c r="B9" s="158" t="s">
        <v>96</v>
      </c>
      <c r="C9" s="158"/>
      <c r="D9" s="159"/>
      <c r="E9" s="159"/>
      <c r="F9" s="159"/>
      <c r="G9" s="159"/>
      <c r="H9" s="159"/>
      <c r="I9" s="159"/>
      <c r="J9" s="160"/>
      <c r="K9" s="161"/>
      <c r="L9" s="159"/>
      <c r="M9" s="159"/>
      <c r="N9" s="159"/>
      <c r="O9" s="162"/>
      <c r="P9" s="161"/>
      <c r="Q9" s="163"/>
      <c r="R9" s="164"/>
      <c r="S9" s="161"/>
      <c r="T9" s="161"/>
      <c r="U9" s="161"/>
      <c r="V9" s="165"/>
      <c r="W9" s="166"/>
      <c r="X9" s="161"/>
      <c r="Y9" s="159"/>
      <c r="Z9" s="159"/>
      <c r="AA9" s="159"/>
      <c r="AB9" s="159"/>
      <c r="AC9" s="159"/>
      <c r="AD9" s="159"/>
      <c r="AE9" s="159"/>
      <c r="AF9" s="159"/>
      <c r="AG9" s="159"/>
      <c r="AH9" s="159"/>
      <c r="AI9" s="159"/>
      <c r="AJ9" s="159"/>
      <c r="AK9" s="159"/>
      <c r="AL9" s="159"/>
      <c r="AM9" s="159"/>
      <c r="AN9" s="159"/>
      <c r="AO9" s="167"/>
      <c r="AP9" s="167"/>
      <c r="AQ9" s="16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row>
    <row r="10" spans="1:76" s="138" customFormat="1" ht="24" customHeight="1" x14ac:dyDescent="0.2">
      <c r="A10" s="170"/>
      <c r="B10" s="171"/>
      <c r="C10" s="172"/>
      <c r="D10" s="173">
        <v>1</v>
      </c>
      <c r="E10" s="174" t="s">
        <v>97</v>
      </c>
      <c r="F10" s="174"/>
      <c r="G10" s="175"/>
      <c r="H10" s="175"/>
      <c r="I10" s="175"/>
      <c r="J10" s="176"/>
      <c r="K10" s="177"/>
      <c r="L10" s="175"/>
      <c r="M10" s="175"/>
      <c r="N10" s="175"/>
      <c r="O10" s="178"/>
      <c r="P10" s="177"/>
      <c r="Q10" s="179"/>
      <c r="R10" s="180"/>
      <c r="S10" s="177"/>
      <c r="T10" s="177"/>
      <c r="U10" s="177"/>
      <c r="V10" s="181"/>
      <c r="W10" s="182"/>
      <c r="X10" s="177"/>
      <c r="Y10" s="175"/>
      <c r="Z10" s="175"/>
      <c r="AA10" s="175"/>
      <c r="AB10" s="175"/>
      <c r="AC10" s="175"/>
      <c r="AD10" s="175"/>
      <c r="AE10" s="175"/>
      <c r="AF10" s="175"/>
      <c r="AG10" s="175"/>
      <c r="AH10" s="175"/>
      <c r="AI10" s="175"/>
      <c r="AJ10" s="175"/>
      <c r="AK10" s="175"/>
      <c r="AL10" s="175"/>
      <c r="AM10" s="175"/>
      <c r="AN10" s="175"/>
      <c r="AO10" s="183"/>
      <c r="AP10" s="183"/>
      <c r="AQ10" s="184"/>
    </row>
    <row r="11" spans="1:76" s="138" customFormat="1" ht="15.75" x14ac:dyDescent="0.25">
      <c r="A11" s="185"/>
      <c r="B11" s="186"/>
      <c r="C11" s="186"/>
      <c r="D11" s="187"/>
      <c r="E11" s="188"/>
      <c r="F11" s="189"/>
      <c r="G11" s="190">
        <v>2</v>
      </c>
      <c r="H11" s="191" t="s">
        <v>98</v>
      </c>
      <c r="I11" s="191"/>
      <c r="J11" s="192"/>
      <c r="K11" s="193"/>
      <c r="L11" s="191"/>
      <c r="M11" s="191"/>
      <c r="N11" s="191"/>
      <c r="O11" s="194"/>
      <c r="P11" s="193"/>
      <c r="Q11" s="195"/>
      <c r="R11" s="196"/>
      <c r="S11" s="193"/>
      <c r="T11" s="193"/>
      <c r="U11" s="193"/>
      <c r="V11" s="197"/>
      <c r="W11" s="198"/>
      <c r="X11" s="199"/>
      <c r="Y11" s="200"/>
      <c r="Z11" s="200"/>
      <c r="AA11" s="200"/>
      <c r="AB11" s="200"/>
      <c r="AC11" s="200"/>
      <c r="AD11" s="200"/>
      <c r="AE11" s="200"/>
      <c r="AF11" s="200"/>
      <c r="AG11" s="200"/>
      <c r="AH11" s="200"/>
      <c r="AI11" s="200"/>
      <c r="AJ11" s="200"/>
      <c r="AK11" s="200"/>
      <c r="AL11" s="200"/>
      <c r="AM11" s="200"/>
      <c r="AN11" s="200"/>
      <c r="AO11" s="201"/>
      <c r="AP11" s="201"/>
      <c r="AQ11" s="202"/>
    </row>
    <row r="12" spans="1:76" s="211" customFormat="1" ht="33" customHeight="1" x14ac:dyDescent="0.2">
      <c r="A12" s="203"/>
      <c r="B12" s="204"/>
      <c r="C12" s="204"/>
      <c r="D12" s="205"/>
      <c r="E12" s="206"/>
      <c r="F12" s="206"/>
      <c r="G12" s="207"/>
      <c r="H12" s="2328"/>
      <c r="I12" s="2329"/>
      <c r="J12" s="2330">
        <v>9</v>
      </c>
      <c r="K12" s="2308" t="s">
        <v>99</v>
      </c>
      <c r="L12" s="2098" t="s">
        <v>100</v>
      </c>
      <c r="M12" s="2331">
        <v>5</v>
      </c>
      <c r="N12" s="208"/>
      <c r="O12" s="2314" t="s">
        <v>101</v>
      </c>
      <c r="P12" s="2308" t="s">
        <v>102</v>
      </c>
      <c r="Q12" s="2051">
        <v>1</v>
      </c>
      <c r="R12" s="2321">
        <f>+V12+V16</f>
        <v>1267157549</v>
      </c>
      <c r="S12" s="2308" t="s">
        <v>103</v>
      </c>
      <c r="T12" s="2324" t="s">
        <v>104</v>
      </c>
      <c r="U12" s="2098" t="s">
        <v>105</v>
      </c>
      <c r="V12" s="2311">
        <f>3800000+6592117+1074750000+182015432</f>
        <v>1267157549</v>
      </c>
      <c r="W12" s="210"/>
      <c r="X12" s="2314" t="s">
        <v>106</v>
      </c>
      <c r="Y12" s="2315">
        <v>292684</v>
      </c>
      <c r="Z12" s="2299">
        <v>282326</v>
      </c>
      <c r="AA12" s="2299">
        <v>135912</v>
      </c>
      <c r="AB12" s="2299">
        <v>45122</v>
      </c>
      <c r="AC12" s="2299">
        <v>307101</v>
      </c>
      <c r="AD12" s="2299">
        <v>86875</v>
      </c>
      <c r="AE12" s="2299">
        <v>2145</v>
      </c>
      <c r="AF12" s="2299">
        <v>12718</v>
      </c>
      <c r="AG12" s="2299">
        <v>26</v>
      </c>
      <c r="AH12" s="2299">
        <v>37</v>
      </c>
      <c r="AI12" s="2299">
        <v>0</v>
      </c>
      <c r="AJ12" s="2299">
        <v>0</v>
      </c>
      <c r="AK12" s="2299">
        <v>53164</v>
      </c>
      <c r="AL12" s="2299">
        <v>16982</v>
      </c>
      <c r="AM12" s="2299">
        <v>60016</v>
      </c>
      <c r="AN12" s="2301">
        <f>SUM(Y12:Z19)</f>
        <v>575010</v>
      </c>
      <c r="AO12" s="2318">
        <v>43101</v>
      </c>
      <c r="AP12" s="2318">
        <v>43465</v>
      </c>
      <c r="AQ12" s="2297" t="s">
        <v>107</v>
      </c>
    </row>
    <row r="13" spans="1:76" s="211" customFormat="1" ht="33" customHeight="1" x14ac:dyDescent="0.2">
      <c r="A13" s="203"/>
      <c r="B13" s="2303"/>
      <c r="C13" s="2303"/>
      <c r="D13" s="205"/>
      <c r="E13" s="2304"/>
      <c r="F13" s="2304"/>
      <c r="G13" s="205"/>
      <c r="H13" s="2304"/>
      <c r="I13" s="2305"/>
      <c r="J13" s="2307"/>
      <c r="K13" s="2309"/>
      <c r="L13" s="2327"/>
      <c r="M13" s="2332"/>
      <c r="N13" s="2306" t="s">
        <v>108</v>
      </c>
      <c r="O13" s="2307"/>
      <c r="P13" s="2309"/>
      <c r="Q13" s="2320"/>
      <c r="R13" s="2322"/>
      <c r="S13" s="2309"/>
      <c r="T13" s="2325"/>
      <c r="U13" s="2327"/>
      <c r="V13" s="2312"/>
      <c r="W13" s="212">
        <v>27</v>
      </c>
      <c r="X13" s="2307"/>
      <c r="Y13" s="2316"/>
      <c r="Z13" s="2300"/>
      <c r="AA13" s="2300"/>
      <c r="AB13" s="2300"/>
      <c r="AC13" s="2300"/>
      <c r="AD13" s="2300"/>
      <c r="AE13" s="2300"/>
      <c r="AF13" s="2300"/>
      <c r="AG13" s="2300"/>
      <c r="AH13" s="2300"/>
      <c r="AI13" s="2300"/>
      <c r="AJ13" s="2300"/>
      <c r="AK13" s="2300"/>
      <c r="AL13" s="2300"/>
      <c r="AM13" s="2300"/>
      <c r="AN13" s="2302"/>
      <c r="AO13" s="2319"/>
      <c r="AP13" s="2319"/>
      <c r="AQ13" s="2298"/>
    </row>
    <row r="14" spans="1:76" s="211" customFormat="1" ht="33" customHeight="1" x14ac:dyDescent="0.2">
      <c r="A14" s="203"/>
      <c r="B14" s="204"/>
      <c r="C14" s="204"/>
      <c r="D14" s="205"/>
      <c r="E14" s="206"/>
      <c r="F14" s="206"/>
      <c r="G14" s="205"/>
      <c r="H14" s="206"/>
      <c r="I14" s="213"/>
      <c r="J14" s="2307"/>
      <c r="K14" s="2309"/>
      <c r="L14" s="2327"/>
      <c r="M14" s="2332"/>
      <c r="N14" s="2306"/>
      <c r="O14" s="2307"/>
      <c r="P14" s="2309"/>
      <c r="Q14" s="2320"/>
      <c r="R14" s="2322"/>
      <c r="S14" s="2309"/>
      <c r="T14" s="2325"/>
      <c r="U14" s="2327"/>
      <c r="V14" s="2312"/>
      <c r="W14" s="212">
        <v>90</v>
      </c>
      <c r="X14" s="2307" t="s">
        <v>109</v>
      </c>
      <c r="Y14" s="2316"/>
      <c r="Z14" s="2300"/>
      <c r="AA14" s="2300"/>
      <c r="AB14" s="2300"/>
      <c r="AC14" s="2300"/>
      <c r="AD14" s="2300"/>
      <c r="AE14" s="2300"/>
      <c r="AF14" s="2300"/>
      <c r="AG14" s="2300"/>
      <c r="AH14" s="2300"/>
      <c r="AI14" s="2300"/>
      <c r="AJ14" s="2300"/>
      <c r="AK14" s="2300"/>
      <c r="AL14" s="2300"/>
      <c r="AM14" s="2300"/>
      <c r="AN14" s="2302"/>
      <c r="AO14" s="2319"/>
      <c r="AP14" s="2319"/>
      <c r="AQ14" s="2298"/>
    </row>
    <row r="15" spans="1:76" s="211" customFormat="1" ht="33" customHeight="1" x14ac:dyDescent="0.2">
      <c r="A15" s="203"/>
      <c r="B15" s="204"/>
      <c r="C15" s="204"/>
      <c r="D15" s="205"/>
      <c r="E15" s="206"/>
      <c r="F15" s="206"/>
      <c r="G15" s="205"/>
      <c r="H15" s="206"/>
      <c r="I15" s="213"/>
      <c r="J15" s="2307"/>
      <c r="K15" s="2309"/>
      <c r="L15" s="2327"/>
      <c r="M15" s="2332"/>
      <c r="N15" s="2306" t="s">
        <v>110</v>
      </c>
      <c r="O15" s="2307"/>
      <c r="P15" s="2309"/>
      <c r="Q15" s="2320"/>
      <c r="R15" s="2322"/>
      <c r="S15" s="2309"/>
      <c r="T15" s="2326"/>
      <c r="U15" s="2327"/>
      <c r="V15" s="2312"/>
      <c r="W15" s="214"/>
      <c r="X15" s="2307"/>
      <c r="Y15" s="2316"/>
      <c r="Z15" s="2300"/>
      <c r="AA15" s="2300"/>
      <c r="AB15" s="2300"/>
      <c r="AC15" s="2300"/>
      <c r="AD15" s="2300"/>
      <c r="AE15" s="2300"/>
      <c r="AF15" s="2300"/>
      <c r="AG15" s="2300"/>
      <c r="AH15" s="2300"/>
      <c r="AI15" s="2300"/>
      <c r="AJ15" s="2300"/>
      <c r="AK15" s="2300"/>
      <c r="AL15" s="2300"/>
      <c r="AM15" s="2300"/>
      <c r="AN15" s="2302"/>
      <c r="AO15" s="2319"/>
      <c r="AP15" s="2319"/>
      <c r="AQ15" s="2298"/>
    </row>
    <row r="16" spans="1:76" s="211" customFormat="1" ht="33" customHeight="1" x14ac:dyDescent="0.2">
      <c r="A16" s="203"/>
      <c r="B16" s="204"/>
      <c r="C16" s="204"/>
      <c r="D16" s="205"/>
      <c r="E16" s="206"/>
      <c r="F16" s="206"/>
      <c r="G16" s="205"/>
      <c r="H16" s="206"/>
      <c r="I16" s="213"/>
      <c r="J16" s="2307"/>
      <c r="K16" s="2309"/>
      <c r="L16" s="2327"/>
      <c r="M16" s="2332"/>
      <c r="N16" s="2306"/>
      <c r="O16" s="2307"/>
      <c r="P16" s="2309"/>
      <c r="Q16" s="2320"/>
      <c r="R16" s="2322"/>
      <c r="S16" s="2309"/>
      <c r="T16" s="2308" t="s">
        <v>111</v>
      </c>
      <c r="U16" s="2327"/>
      <c r="V16" s="2312"/>
      <c r="W16" s="215"/>
      <c r="X16" s="2307" t="s">
        <v>112</v>
      </c>
      <c r="Y16" s="2316"/>
      <c r="Z16" s="2300"/>
      <c r="AA16" s="2300"/>
      <c r="AB16" s="2300"/>
      <c r="AC16" s="2300"/>
      <c r="AD16" s="2300"/>
      <c r="AE16" s="2300"/>
      <c r="AF16" s="2300"/>
      <c r="AG16" s="2300"/>
      <c r="AH16" s="2300"/>
      <c r="AI16" s="2300"/>
      <c r="AJ16" s="2300"/>
      <c r="AK16" s="2300"/>
      <c r="AL16" s="2300"/>
      <c r="AM16" s="2300"/>
      <c r="AN16" s="2302"/>
      <c r="AO16" s="2319"/>
      <c r="AP16" s="2319"/>
      <c r="AQ16" s="2298"/>
    </row>
    <row r="17" spans="1:64" s="211" customFormat="1" ht="33" customHeight="1" x14ac:dyDescent="0.2">
      <c r="A17" s="203"/>
      <c r="B17" s="204"/>
      <c r="C17" s="204"/>
      <c r="D17" s="205"/>
      <c r="E17" s="206"/>
      <c r="F17" s="206"/>
      <c r="G17" s="205"/>
      <c r="H17" s="206"/>
      <c r="I17" s="213"/>
      <c r="J17" s="2307"/>
      <c r="K17" s="2309"/>
      <c r="L17" s="2327"/>
      <c r="M17" s="2332"/>
      <c r="N17" s="216" t="s">
        <v>113</v>
      </c>
      <c r="O17" s="2307"/>
      <c r="P17" s="2309"/>
      <c r="Q17" s="2320"/>
      <c r="R17" s="2322"/>
      <c r="S17" s="2309"/>
      <c r="T17" s="2309"/>
      <c r="U17" s="2327"/>
      <c r="V17" s="2312"/>
      <c r="W17" s="215" t="s">
        <v>114</v>
      </c>
      <c r="X17" s="2307"/>
      <c r="Y17" s="2316"/>
      <c r="Z17" s="2300"/>
      <c r="AA17" s="2300"/>
      <c r="AB17" s="2300"/>
      <c r="AC17" s="2300"/>
      <c r="AD17" s="2300"/>
      <c r="AE17" s="2300"/>
      <c r="AF17" s="2300"/>
      <c r="AG17" s="2300"/>
      <c r="AH17" s="2300"/>
      <c r="AI17" s="2300"/>
      <c r="AJ17" s="2300"/>
      <c r="AK17" s="2300"/>
      <c r="AL17" s="2300"/>
      <c r="AM17" s="2300"/>
      <c r="AN17" s="2302"/>
      <c r="AO17" s="2319"/>
      <c r="AP17" s="2319"/>
      <c r="AQ17" s="2298"/>
    </row>
    <row r="18" spans="1:64" s="211" customFormat="1" ht="33" customHeight="1" x14ac:dyDescent="0.2">
      <c r="A18" s="203"/>
      <c r="B18" s="2303"/>
      <c r="C18" s="2303"/>
      <c r="D18" s="205"/>
      <c r="E18" s="2304"/>
      <c r="F18" s="2304"/>
      <c r="G18" s="205"/>
      <c r="H18" s="2304"/>
      <c r="I18" s="2305"/>
      <c r="J18" s="2307"/>
      <c r="K18" s="2309"/>
      <c r="L18" s="2327"/>
      <c r="M18" s="2332"/>
      <c r="N18" s="216" t="s">
        <v>115</v>
      </c>
      <c r="O18" s="2307"/>
      <c r="P18" s="2309"/>
      <c r="Q18" s="2320"/>
      <c r="R18" s="2322"/>
      <c r="S18" s="2309"/>
      <c r="T18" s="2309"/>
      <c r="U18" s="2327"/>
      <c r="V18" s="2312"/>
      <c r="W18" s="215" t="s">
        <v>116</v>
      </c>
      <c r="X18" s="2307" t="s">
        <v>117</v>
      </c>
      <c r="Y18" s="2316"/>
      <c r="Z18" s="2300"/>
      <c r="AA18" s="2300"/>
      <c r="AB18" s="2300"/>
      <c r="AC18" s="2300"/>
      <c r="AD18" s="2300"/>
      <c r="AE18" s="2300"/>
      <c r="AF18" s="2300"/>
      <c r="AG18" s="2300"/>
      <c r="AH18" s="2300"/>
      <c r="AI18" s="2300"/>
      <c r="AJ18" s="2300"/>
      <c r="AK18" s="2300"/>
      <c r="AL18" s="2300"/>
      <c r="AM18" s="2300"/>
      <c r="AN18" s="2302"/>
      <c r="AO18" s="2319"/>
      <c r="AP18" s="2319"/>
      <c r="AQ18" s="2298"/>
    </row>
    <row r="19" spans="1:64" s="211" customFormat="1" ht="33" customHeight="1" x14ac:dyDescent="0.2">
      <c r="A19" s="203"/>
      <c r="B19" s="2303"/>
      <c r="C19" s="2303"/>
      <c r="D19" s="205"/>
      <c r="E19" s="2304"/>
      <c r="F19" s="2304"/>
      <c r="G19" s="205"/>
      <c r="H19" s="2304"/>
      <c r="I19" s="2305"/>
      <c r="J19" s="2317"/>
      <c r="K19" s="2310"/>
      <c r="L19" s="2099"/>
      <c r="M19" s="2333"/>
      <c r="N19" s="217"/>
      <c r="O19" s="2317"/>
      <c r="P19" s="2310"/>
      <c r="Q19" s="2052"/>
      <c r="R19" s="2323"/>
      <c r="S19" s="2310"/>
      <c r="T19" s="2310"/>
      <c r="U19" s="2099"/>
      <c r="V19" s="2313"/>
      <c r="W19" s="218"/>
      <c r="X19" s="2317"/>
      <c r="Y19" s="2316"/>
      <c r="Z19" s="2300"/>
      <c r="AA19" s="2300"/>
      <c r="AB19" s="2300"/>
      <c r="AC19" s="2300"/>
      <c r="AD19" s="2300"/>
      <c r="AE19" s="2300"/>
      <c r="AF19" s="2300"/>
      <c r="AG19" s="2300"/>
      <c r="AH19" s="2300"/>
      <c r="AI19" s="2300"/>
      <c r="AJ19" s="2300"/>
      <c r="AK19" s="2300"/>
      <c r="AL19" s="2300"/>
      <c r="AM19" s="2300"/>
      <c r="AN19" s="2302"/>
      <c r="AO19" s="2319"/>
      <c r="AP19" s="2319"/>
      <c r="AQ19" s="2298"/>
    </row>
    <row r="20" spans="1:64" s="220" customFormat="1" ht="39.75" customHeight="1" x14ac:dyDescent="0.2">
      <c r="A20" s="203"/>
      <c r="B20" s="204"/>
      <c r="C20" s="204"/>
      <c r="D20" s="205"/>
      <c r="E20" s="206"/>
      <c r="F20" s="206"/>
      <c r="G20" s="205"/>
      <c r="H20" s="2304"/>
      <c r="I20" s="2305"/>
      <c r="J20" s="2334">
        <v>9</v>
      </c>
      <c r="K20" s="2335" t="s">
        <v>99</v>
      </c>
      <c r="L20" s="2098" t="s">
        <v>100</v>
      </c>
      <c r="M20" s="2336">
        <v>5</v>
      </c>
      <c r="N20" s="208"/>
      <c r="O20" s="2330" t="s">
        <v>118</v>
      </c>
      <c r="P20" s="2335" t="s">
        <v>119</v>
      </c>
      <c r="Q20" s="2342">
        <v>1</v>
      </c>
      <c r="R20" s="2343">
        <f>+V20+V24</f>
        <v>700398184</v>
      </c>
      <c r="S20" s="2335" t="s">
        <v>120</v>
      </c>
      <c r="T20" s="2324" t="s">
        <v>121</v>
      </c>
      <c r="U20" s="2344" t="s">
        <v>105</v>
      </c>
      <c r="V20" s="2311">
        <f>646081112+54317072</f>
        <v>700398184</v>
      </c>
      <c r="W20" s="2347">
        <v>27</v>
      </c>
      <c r="X20" s="2348" t="s">
        <v>106</v>
      </c>
      <c r="Y20" s="2315">
        <v>292684</v>
      </c>
      <c r="Z20" s="2299">
        <v>282326</v>
      </c>
      <c r="AA20" s="2299">
        <v>135912</v>
      </c>
      <c r="AB20" s="2299">
        <v>45122</v>
      </c>
      <c r="AC20" s="2299">
        <v>307101</v>
      </c>
      <c r="AD20" s="2299">
        <v>86875</v>
      </c>
      <c r="AE20" s="2299">
        <v>2145</v>
      </c>
      <c r="AF20" s="2299">
        <v>12718</v>
      </c>
      <c r="AG20" s="2299">
        <v>26</v>
      </c>
      <c r="AH20" s="2299">
        <v>37</v>
      </c>
      <c r="AI20" s="2299">
        <v>0</v>
      </c>
      <c r="AJ20" s="2299">
        <v>0</v>
      </c>
      <c r="AK20" s="2299">
        <v>53164</v>
      </c>
      <c r="AL20" s="2299">
        <v>16982</v>
      </c>
      <c r="AM20" s="2299">
        <v>60013</v>
      </c>
      <c r="AN20" s="2301">
        <f t="shared" ref="AN20" si="0">SUM(Y20:Z27)</f>
        <v>575010</v>
      </c>
      <c r="AO20" s="2318">
        <v>43101</v>
      </c>
      <c r="AP20" s="2318">
        <v>43465</v>
      </c>
      <c r="AQ20" s="2297" t="s">
        <v>107</v>
      </c>
      <c r="AR20" s="211"/>
      <c r="AS20" s="211"/>
      <c r="AT20" s="211"/>
      <c r="AU20" s="211"/>
      <c r="AV20" s="211"/>
      <c r="AW20" s="211"/>
      <c r="AX20" s="211"/>
      <c r="AY20" s="211"/>
      <c r="AZ20" s="211"/>
      <c r="BA20" s="211"/>
      <c r="BB20" s="211"/>
      <c r="BC20" s="211"/>
      <c r="BD20" s="211"/>
      <c r="BE20" s="211"/>
      <c r="BF20" s="211"/>
      <c r="BG20" s="211"/>
      <c r="BH20" s="211"/>
      <c r="BI20" s="211"/>
      <c r="BJ20" s="211"/>
      <c r="BK20" s="211"/>
      <c r="BL20" s="211"/>
    </row>
    <row r="21" spans="1:64" s="220" customFormat="1" ht="39.75" customHeight="1" x14ac:dyDescent="0.2">
      <c r="A21" s="203"/>
      <c r="B21" s="2303"/>
      <c r="C21" s="2303"/>
      <c r="D21" s="205"/>
      <c r="E21" s="2304"/>
      <c r="F21" s="2304"/>
      <c r="G21" s="205"/>
      <c r="H21" s="2304"/>
      <c r="I21" s="2305"/>
      <c r="J21" s="2334"/>
      <c r="K21" s="2335"/>
      <c r="L21" s="2327"/>
      <c r="M21" s="2336"/>
      <c r="N21" s="217"/>
      <c r="O21" s="2330"/>
      <c r="P21" s="2335"/>
      <c r="Q21" s="2342"/>
      <c r="R21" s="2343"/>
      <c r="S21" s="2335"/>
      <c r="T21" s="2325"/>
      <c r="U21" s="2345"/>
      <c r="V21" s="2312"/>
      <c r="W21" s="2340"/>
      <c r="X21" s="2341"/>
      <c r="Y21" s="2316"/>
      <c r="Z21" s="2300"/>
      <c r="AA21" s="2300"/>
      <c r="AB21" s="2300"/>
      <c r="AC21" s="2300"/>
      <c r="AD21" s="2300"/>
      <c r="AE21" s="2300"/>
      <c r="AF21" s="2300"/>
      <c r="AG21" s="2300"/>
      <c r="AH21" s="2300"/>
      <c r="AI21" s="2300"/>
      <c r="AJ21" s="2300"/>
      <c r="AK21" s="2300"/>
      <c r="AL21" s="2300"/>
      <c r="AM21" s="2300"/>
      <c r="AN21" s="2302"/>
      <c r="AO21" s="2319"/>
      <c r="AP21" s="2319"/>
      <c r="AQ21" s="2298"/>
      <c r="AR21" s="211"/>
      <c r="AS21" s="211"/>
      <c r="AT21" s="211"/>
      <c r="AU21" s="211"/>
      <c r="AV21" s="211"/>
      <c r="AW21" s="211"/>
      <c r="AX21" s="211"/>
      <c r="AY21" s="211"/>
      <c r="AZ21" s="211"/>
      <c r="BA21" s="211"/>
      <c r="BB21" s="211"/>
      <c r="BC21" s="211"/>
      <c r="BD21" s="211"/>
      <c r="BE21" s="211"/>
      <c r="BF21" s="211"/>
      <c r="BG21" s="211"/>
      <c r="BH21" s="211"/>
      <c r="BI21" s="211"/>
      <c r="BJ21" s="211"/>
      <c r="BK21" s="211"/>
      <c r="BL21" s="211"/>
    </row>
    <row r="22" spans="1:64" s="220" customFormat="1" ht="39.75" customHeight="1" x14ac:dyDescent="0.2">
      <c r="A22" s="203"/>
      <c r="B22" s="204"/>
      <c r="C22" s="204"/>
      <c r="D22" s="205"/>
      <c r="E22" s="206"/>
      <c r="F22" s="206"/>
      <c r="G22" s="205"/>
      <c r="H22" s="206"/>
      <c r="I22" s="213"/>
      <c r="J22" s="2334"/>
      <c r="K22" s="2335"/>
      <c r="L22" s="2327"/>
      <c r="M22" s="2336"/>
      <c r="N22" s="2306" t="s">
        <v>122</v>
      </c>
      <c r="O22" s="2330"/>
      <c r="P22" s="2335"/>
      <c r="Q22" s="2342"/>
      <c r="R22" s="2343"/>
      <c r="S22" s="2335"/>
      <c r="T22" s="2325"/>
      <c r="U22" s="2345"/>
      <c r="V22" s="2312"/>
      <c r="W22" s="2340"/>
      <c r="X22" s="2341"/>
      <c r="Y22" s="2316"/>
      <c r="Z22" s="2300"/>
      <c r="AA22" s="2300"/>
      <c r="AB22" s="2300"/>
      <c r="AC22" s="2300"/>
      <c r="AD22" s="2300"/>
      <c r="AE22" s="2300"/>
      <c r="AF22" s="2300"/>
      <c r="AG22" s="2300"/>
      <c r="AH22" s="2300"/>
      <c r="AI22" s="2300"/>
      <c r="AJ22" s="2300"/>
      <c r="AK22" s="2300"/>
      <c r="AL22" s="2300"/>
      <c r="AM22" s="2300"/>
      <c r="AN22" s="2302"/>
      <c r="AO22" s="2319"/>
      <c r="AP22" s="2319"/>
      <c r="AQ22" s="2298"/>
      <c r="AR22" s="211"/>
      <c r="AS22" s="211"/>
      <c r="AT22" s="211"/>
      <c r="AU22" s="211"/>
      <c r="AV22" s="211"/>
      <c r="AW22" s="211"/>
      <c r="AX22" s="211"/>
      <c r="AY22" s="211"/>
      <c r="AZ22" s="211"/>
      <c r="BA22" s="211"/>
      <c r="BB22" s="211"/>
      <c r="BC22" s="211"/>
      <c r="BD22" s="211"/>
      <c r="BE22" s="211"/>
      <c r="BF22" s="211"/>
      <c r="BG22" s="211"/>
      <c r="BH22" s="211"/>
      <c r="BI22" s="211"/>
      <c r="BJ22" s="211"/>
      <c r="BK22" s="211"/>
      <c r="BL22" s="211"/>
    </row>
    <row r="23" spans="1:64" s="220" customFormat="1" ht="39.75" customHeight="1" x14ac:dyDescent="0.2">
      <c r="A23" s="203"/>
      <c r="B23" s="204"/>
      <c r="C23" s="204"/>
      <c r="D23" s="205"/>
      <c r="E23" s="206"/>
      <c r="F23" s="206"/>
      <c r="G23" s="205"/>
      <c r="H23" s="206"/>
      <c r="I23" s="213"/>
      <c r="J23" s="2334"/>
      <c r="K23" s="2335"/>
      <c r="L23" s="2327"/>
      <c r="M23" s="2336"/>
      <c r="N23" s="2306"/>
      <c r="O23" s="2330"/>
      <c r="P23" s="2335"/>
      <c r="Q23" s="2342"/>
      <c r="R23" s="2343"/>
      <c r="S23" s="2335"/>
      <c r="T23" s="2326"/>
      <c r="U23" s="2345"/>
      <c r="V23" s="2312"/>
      <c r="W23" s="2340"/>
      <c r="X23" s="2341"/>
      <c r="Y23" s="2316"/>
      <c r="Z23" s="2300"/>
      <c r="AA23" s="2300"/>
      <c r="AB23" s="2300"/>
      <c r="AC23" s="2300"/>
      <c r="AD23" s="2300"/>
      <c r="AE23" s="2300"/>
      <c r="AF23" s="2300"/>
      <c r="AG23" s="2300"/>
      <c r="AH23" s="2300"/>
      <c r="AI23" s="2300"/>
      <c r="AJ23" s="2300"/>
      <c r="AK23" s="2300"/>
      <c r="AL23" s="2300"/>
      <c r="AM23" s="2300"/>
      <c r="AN23" s="2302"/>
      <c r="AO23" s="2319"/>
      <c r="AP23" s="2319"/>
      <c r="AQ23" s="2298"/>
      <c r="AR23" s="211"/>
      <c r="AS23" s="211"/>
      <c r="AT23" s="211"/>
      <c r="AU23" s="211"/>
      <c r="AV23" s="211"/>
      <c r="AW23" s="211"/>
      <c r="AX23" s="211"/>
      <c r="AY23" s="211"/>
      <c r="AZ23" s="211"/>
      <c r="BA23" s="211"/>
      <c r="BB23" s="211"/>
      <c r="BC23" s="211"/>
      <c r="BD23" s="211"/>
      <c r="BE23" s="211"/>
      <c r="BF23" s="211"/>
      <c r="BG23" s="211"/>
      <c r="BH23" s="211"/>
      <c r="BI23" s="211"/>
      <c r="BJ23" s="211"/>
      <c r="BK23" s="211"/>
      <c r="BL23" s="211"/>
    </row>
    <row r="24" spans="1:64" s="220" customFormat="1" ht="39.75" customHeight="1" x14ac:dyDescent="0.2">
      <c r="A24" s="203"/>
      <c r="B24" s="204"/>
      <c r="C24" s="204"/>
      <c r="D24" s="205"/>
      <c r="E24" s="206"/>
      <c r="F24" s="206"/>
      <c r="G24" s="205"/>
      <c r="H24" s="206"/>
      <c r="I24" s="213"/>
      <c r="J24" s="2334"/>
      <c r="K24" s="2335"/>
      <c r="L24" s="2327"/>
      <c r="M24" s="2336"/>
      <c r="N24" s="2306" t="s">
        <v>123</v>
      </c>
      <c r="O24" s="2330"/>
      <c r="P24" s="2335"/>
      <c r="Q24" s="2342"/>
      <c r="R24" s="2343"/>
      <c r="S24" s="2335"/>
      <c r="T24" s="2308" t="s">
        <v>124</v>
      </c>
      <c r="U24" s="2345"/>
      <c r="V24" s="2312"/>
      <c r="W24" s="2340">
        <v>82</v>
      </c>
      <c r="X24" s="2341" t="s">
        <v>125</v>
      </c>
      <c r="Y24" s="2316"/>
      <c r="Z24" s="2300"/>
      <c r="AA24" s="2300"/>
      <c r="AB24" s="2300"/>
      <c r="AC24" s="2300"/>
      <c r="AD24" s="2300"/>
      <c r="AE24" s="2300"/>
      <c r="AF24" s="2300"/>
      <c r="AG24" s="2300"/>
      <c r="AH24" s="2300"/>
      <c r="AI24" s="2300"/>
      <c r="AJ24" s="2300"/>
      <c r="AK24" s="2300"/>
      <c r="AL24" s="2300"/>
      <c r="AM24" s="2300"/>
      <c r="AN24" s="2302"/>
      <c r="AO24" s="2319"/>
      <c r="AP24" s="2319"/>
      <c r="AQ24" s="2298"/>
      <c r="AR24" s="211"/>
      <c r="AS24" s="211"/>
      <c r="AT24" s="211"/>
      <c r="AU24" s="211"/>
      <c r="AV24" s="211"/>
      <c r="AW24" s="211"/>
      <c r="AX24" s="211"/>
      <c r="AY24" s="211"/>
      <c r="AZ24" s="211"/>
      <c r="BA24" s="211"/>
      <c r="BB24" s="211"/>
      <c r="BC24" s="211"/>
      <c r="BD24" s="211"/>
      <c r="BE24" s="211"/>
      <c r="BF24" s="211"/>
      <c r="BG24" s="211"/>
      <c r="BH24" s="211"/>
      <c r="BI24" s="211"/>
      <c r="BJ24" s="211"/>
      <c r="BK24" s="211"/>
      <c r="BL24" s="211"/>
    </row>
    <row r="25" spans="1:64" s="220" customFormat="1" ht="39.75" customHeight="1" x14ac:dyDescent="0.2">
      <c r="A25" s="203"/>
      <c r="B25" s="204"/>
      <c r="C25" s="204"/>
      <c r="D25" s="205"/>
      <c r="E25" s="206"/>
      <c r="F25" s="206"/>
      <c r="G25" s="205"/>
      <c r="H25" s="206"/>
      <c r="I25" s="213"/>
      <c r="J25" s="2334"/>
      <c r="K25" s="2335"/>
      <c r="L25" s="2327"/>
      <c r="M25" s="2336"/>
      <c r="N25" s="2306"/>
      <c r="O25" s="2330"/>
      <c r="P25" s="2335"/>
      <c r="Q25" s="2342"/>
      <c r="R25" s="2343"/>
      <c r="S25" s="2335"/>
      <c r="T25" s="2309"/>
      <c r="U25" s="2345"/>
      <c r="V25" s="2312"/>
      <c r="W25" s="2340"/>
      <c r="X25" s="2341"/>
      <c r="Y25" s="2316"/>
      <c r="Z25" s="2300"/>
      <c r="AA25" s="2300"/>
      <c r="AB25" s="2300"/>
      <c r="AC25" s="2300"/>
      <c r="AD25" s="2300"/>
      <c r="AE25" s="2300"/>
      <c r="AF25" s="2300"/>
      <c r="AG25" s="2300"/>
      <c r="AH25" s="2300"/>
      <c r="AI25" s="2300"/>
      <c r="AJ25" s="2300"/>
      <c r="AK25" s="2300"/>
      <c r="AL25" s="2300"/>
      <c r="AM25" s="2300"/>
      <c r="AN25" s="2302"/>
      <c r="AO25" s="2319"/>
      <c r="AP25" s="2319"/>
      <c r="AQ25" s="2298"/>
      <c r="AR25" s="211"/>
      <c r="AS25" s="211"/>
      <c r="AT25" s="211"/>
      <c r="AU25" s="211"/>
      <c r="AV25" s="211"/>
      <c r="AW25" s="211"/>
      <c r="AX25" s="211"/>
      <c r="AY25" s="211"/>
      <c r="AZ25" s="211"/>
      <c r="BA25" s="211"/>
      <c r="BB25" s="211"/>
      <c r="BC25" s="211"/>
      <c r="BD25" s="211"/>
      <c r="BE25" s="211"/>
      <c r="BF25" s="211"/>
      <c r="BG25" s="211"/>
      <c r="BH25" s="211"/>
      <c r="BI25" s="211"/>
      <c r="BJ25" s="211"/>
      <c r="BK25" s="211"/>
      <c r="BL25" s="211"/>
    </row>
    <row r="26" spans="1:64" s="220" customFormat="1" ht="39.75" customHeight="1" x14ac:dyDescent="0.2">
      <c r="A26" s="203"/>
      <c r="B26" s="2303"/>
      <c r="C26" s="2303"/>
      <c r="D26" s="205"/>
      <c r="E26" s="2304"/>
      <c r="F26" s="2304"/>
      <c r="G26" s="205"/>
      <c r="H26" s="2304"/>
      <c r="I26" s="2305"/>
      <c r="J26" s="2334"/>
      <c r="K26" s="2335"/>
      <c r="L26" s="2327"/>
      <c r="M26" s="2336"/>
      <c r="N26" s="217"/>
      <c r="O26" s="2330"/>
      <c r="P26" s="2335"/>
      <c r="Q26" s="2342"/>
      <c r="R26" s="2343"/>
      <c r="S26" s="2335"/>
      <c r="T26" s="2309"/>
      <c r="U26" s="2345"/>
      <c r="V26" s="2312"/>
      <c r="W26" s="2340"/>
      <c r="X26" s="2341"/>
      <c r="Y26" s="2316"/>
      <c r="Z26" s="2300"/>
      <c r="AA26" s="2300"/>
      <c r="AB26" s="2300"/>
      <c r="AC26" s="2300"/>
      <c r="AD26" s="2300"/>
      <c r="AE26" s="2300"/>
      <c r="AF26" s="2300"/>
      <c r="AG26" s="2300"/>
      <c r="AH26" s="2300"/>
      <c r="AI26" s="2300"/>
      <c r="AJ26" s="2300"/>
      <c r="AK26" s="2300"/>
      <c r="AL26" s="2300"/>
      <c r="AM26" s="2300"/>
      <c r="AN26" s="2302"/>
      <c r="AO26" s="2319"/>
      <c r="AP26" s="2319"/>
      <c r="AQ26" s="2298"/>
      <c r="AR26" s="211"/>
      <c r="AS26" s="211"/>
      <c r="AT26" s="211"/>
      <c r="AU26" s="211"/>
      <c r="AV26" s="211"/>
      <c r="AW26" s="211"/>
      <c r="AX26" s="211"/>
      <c r="AY26" s="211"/>
      <c r="AZ26" s="211"/>
      <c r="BA26" s="211"/>
      <c r="BB26" s="211"/>
      <c r="BC26" s="211"/>
      <c r="BD26" s="211"/>
      <c r="BE26" s="211"/>
      <c r="BF26" s="211"/>
      <c r="BG26" s="211"/>
      <c r="BH26" s="211"/>
      <c r="BI26" s="211"/>
      <c r="BJ26" s="211"/>
      <c r="BK26" s="211"/>
      <c r="BL26" s="211"/>
    </row>
    <row r="27" spans="1:64" s="220" customFormat="1" ht="39.75" customHeight="1" x14ac:dyDescent="0.2">
      <c r="A27" s="203"/>
      <c r="B27" s="2303"/>
      <c r="C27" s="2303"/>
      <c r="D27" s="205"/>
      <c r="E27" s="2304"/>
      <c r="F27" s="2304"/>
      <c r="G27" s="205"/>
      <c r="H27" s="2304"/>
      <c r="I27" s="2305"/>
      <c r="J27" s="2334"/>
      <c r="K27" s="2335"/>
      <c r="L27" s="2099"/>
      <c r="M27" s="2336"/>
      <c r="N27" s="221"/>
      <c r="O27" s="2330"/>
      <c r="P27" s="2335"/>
      <c r="Q27" s="2342"/>
      <c r="R27" s="2343"/>
      <c r="S27" s="2335"/>
      <c r="T27" s="2310"/>
      <c r="U27" s="2346"/>
      <c r="V27" s="2313"/>
      <c r="W27" s="2340"/>
      <c r="X27" s="2341"/>
      <c r="Y27" s="2349"/>
      <c r="Z27" s="2337"/>
      <c r="AA27" s="2337"/>
      <c r="AB27" s="2337"/>
      <c r="AC27" s="2337"/>
      <c r="AD27" s="2337"/>
      <c r="AE27" s="2337"/>
      <c r="AF27" s="2337"/>
      <c r="AG27" s="2337"/>
      <c r="AH27" s="2337"/>
      <c r="AI27" s="2337"/>
      <c r="AJ27" s="2337"/>
      <c r="AK27" s="2337"/>
      <c r="AL27" s="2337"/>
      <c r="AM27" s="2337"/>
      <c r="AN27" s="2338"/>
      <c r="AO27" s="2339"/>
      <c r="AP27" s="2339"/>
      <c r="AQ27" s="2298"/>
      <c r="AR27" s="211"/>
      <c r="AS27" s="211"/>
      <c r="AT27" s="211"/>
      <c r="AU27" s="211"/>
      <c r="AV27" s="211"/>
      <c r="AW27" s="211"/>
      <c r="AX27" s="211"/>
      <c r="AY27" s="211"/>
      <c r="AZ27" s="211"/>
      <c r="BA27" s="211"/>
      <c r="BB27" s="211"/>
      <c r="BC27" s="211"/>
      <c r="BD27" s="211"/>
      <c r="BE27" s="211"/>
      <c r="BF27" s="211"/>
      <c r="BG27" s="211"/>
      <c r="BH27" s="211"/>
      <c r="BI27" s="211"/>
      <c r="BJ27" s="211"/>
      <c r="BK27" s="211"/>
      <c r="BL27" s="211"/>
    </row>
    <row r="28" spans="1:64" s="220" customFormat="1" ht="27.75" customHeight="1" x14ac:dyDescent="0.2">
      <c r="A28" s="203"/>
      <c r="B28" s="204"/>
      <c r="C28" s="204"/>
      <c r="D28" s="205"/>
      <c r="E28" s="206"/>
      <c r="F28" s="206"/>
      <c r="G28" s="205"/>
      <c r="H28" s="2304"/>
      <c r="I28" s="2305"/>
      <c r="J28" s="2334">
        <v>10</v>
      </c>
      <c r="K28" s="2335" t="s">
        <v>126</v>
      </c>
      <c r="L28" s="2098" t="s">
        <v>127</v>
      </c>
      <c r="M28" s="2047">
        <v>5</v>
      </c>
      <c r="N28" s="2099" t="s">
        <v>128</v>
      </c>
      <c r="O28" s="2334" t="s">
        <v>129</v>
      </c>
      <c r="P28" s="2335" t="s">
        <v>130</v>
      </c>
      <c r="Q28" s="2342">
        <f>SUM(V28)/R28</f>
        <v>1</v>
      </c>
      <c r="R28" s="2343">
        <f>+V28</f>
        <v>80000000</v>
      </c>
      <c r="S28" s="2335" t="s">
        <v>131</v>
      </c>
      <c r="T28" s="2324" t="s">
        <v>132</v>
      </c>
      <c r="U28" s="2098" t="s">
        <v>133</v>
      </c>
      <c r="V28" s="2350">
        <v>80000000</v>
      </c>
      <c r="W28" s="2352">
        <v>27</v>
      </c>
      <c r="X28" s="2307" t="s">
        <v>134</v>
      </c>
      <c r="Y28" s="2299">
        <v>292684</v>
      </c>
      <c r="Z28" s="2299">
        <v>282326</v>
      </c>
      <c r="AA28" s="2299">
        <v>135912</v>
      </c>
      <c r="AB28" s="2299">
        <v>45122</v>
      </c>
      <c r="AC28" s="2299">
        <v>307101</v>
      </c>
      <c r="AD28" s="2299">
        <v>86875</v>
      </c>
      <c r="AE28" s="2299">
        <v>2145</v>
      </c>
      <c r="AF28" s="2299">
        <v>12718</v>
      </c>
      <c r="AG28" s="2299">
        <v>26</v>
      </c>
      <c r="AH28" s="2299">
        <v>37</v>
      </c>
      <c r="AI28" s="2299">
        <v>0</v>
      </c>
      <c r="AJ28" s="2299">
        <v>0</v>
      </c>
      <c r="AK28" s="2299">
        <v>53164</v>
      </c>
      <c r="AL28" s="2299">
        <v>16982</v>
      </c>
      <c r="AM28" s="2299">
        <v>60010</v>
      </c>
      <c r="AN28" s="2301">
        <f t="shared" ref="AN28" si="1">SUM(Y28:Z35)</f>
        <v>575010</v>
      </c>
      <c r="AO28" s="2318">
        <v>43101</v>
      </c>
      <c r="AP28" s="2318">
        <v>43465</v>
      </c>
      <c r="AQ28" s="2297" t="s">
        <v>107</v>
      </c>
      <c r="AR28" s="211"/>
      <c r="AS28" s="211"/>
      <c r="AT28" s="211"/>
      <c r="AU28" s="211"/>
      <c r="AV28" s="211"/>
      <c r="AW28" s="211"/>
      <c r="AX28" s="211"/>
      <c r="AY28" s="211"/>
      <c r="AZ28" s="211"/>
      <c r="BA28" s="211"/>
      <c r="BB28" s="211"/>
      <c r="BC28" s="211"/>
      <c r="BD28" s="211"/>
      <c r="BE28" s="211"/>
      <c r="BF28" s="211"/>
      <c r="BG28" s="211"/>
      <c r="BH28" s="211"/>
      <c r="BI28" s="211"/>
      <c r="BJ28" s="211"/>
      <c r="BK28" s="211"/>
      <c r="BL28" s="211"/>
    </row>
    <row r="29" spans="1:64" s="220" customFormat="1" ht="27.75" customHeight="1" x14ac:dyDescent="0.2">
      <c r="A29" s="203"/>
      <c r="B29" s="2303"/>
      <c r="C29" s="2303"/>
      <c r="D29" s="205"/>
      <c r="E29" s="2304"/>
      <c r="F29" s="2304"/>
      <c r="G29" s="205"/>
      <c r="H29" s="2304"/>
      <c r="I29" s="2305"/>
      <c r="J29" s="2334"/>
      <c r="K29" s="2335"/>
      <c r="L29" s="2327"/>
      <c r="M29" s="2047"/>
      <c r="N29" s="2048"/>
      <c r="O29" s="2334"/>
      <c r="P29" s="2335"/>
      <c r="Q29" s="2342"/>
      <c r="R29" s="2343"/>
      <c r="S29" s="2335"/>
      <c r="T29" s="2325"/>
      <c r="U29" s="2327"/>
      <c r="V29" s="2350"/>
      <c r="W29" s="2352"/>
      <c r="X29" s="2307"/>
      <c r="Y29" s="2300"/>
      <c r="Z29" s="2300"/>
      <c r="AA29" s="2300"/>
      <c r="AB29" s="2300"/>
      <c r="AC29" s="2300"/>
      <c r="AD29" s="2300"/>
      <c r="AE29" s="2300"/>
      <c r="AF29" s="2300"/>
      <c r="AG29" s="2300"/>
      <c r="AH29" s="2300"/>
      <c r="AI29" s="2300"/>
      <c r="AJ29" s="2300"/>
      <c r="AK29" s="2300"/>
      <c r="AL29" s="2300"/>
      <c r="AM29" s="2300"/>
      <c r="AN29" s="2302"/>
      <c r="AO29" s="2319"/>
      <c r="AP29" s="2319"/>
      <c r="AQ29" s="2298"/>
      <c r="AR29" s="211"/>
      <c r="AS29" s="211"/>
      <c r="AT29" s="211"/>
      <c r="AU29" s="211"/>
      <c r="AV29" s="211"/>
      <c r="AW29" s="211"/>
      <c r="AX29" s="211"/>
      <c r="AY29" s="211"/>
      <c r="AZ29" s="211"/>
      <c r="BA29" s="211"/>
      <c r="BB29" s="211"/>
      <c r="BC29" s="211"/>
      <c r="BD29" s="211"/>
      <c r="BE29" s="211"/>
      <c r="BF29" s="211"/>
      <c r="BG29" s="211"/>
      <c r="BH29" s="211"/>
      <c r="BI29" s="211"/>
      <c r="BJ29" s="211"/>
      <c r="BK29" s="211"/>
      <c r="BL29" s="211"/>
    </row>
    <row r="30" spans="1:64" s="220" customFormat="1" ht="27.75" customHeight="1" x14ac:dyDescent="0.2">
      <c r="A30" s="203"/>
      <c r="B30" s="204"/>
      <c r="C30" s="204"/>
      <c r="D30" s="205"/>
      <c r="E30" s="206"/>
      <c r="F30" s="206"/>
      <c r="G30" s="205"/>
      <c r="H30" s="206"/>
      <c r="I30" s="213"/>
      <c r="J30" s="2334"/>
      <c r="K30" s="2335"/>
      <c r="L30" s="2327"/>
      <c r="M30" s="2047"/>
      <c r="N30" s="2048"/>
      <c r="O30" s="2334"/>
      <c r="P30" s="2335"/>
      <c r="Q30" s="2342"/>
      <c r="R30" s="2343"/>
      <c r="S30" s="2335"/>
      <c r="T30" s="2325"/>
      <c r="U30" s="2327"/>
      <c r="V30" s="2350"/>
      <c r="W30" s="2352"/>
      <c r="X30" s="2307"/>
      <c r="Y30" s="2300"/>
      <c r="Z30" s="2300"/>
      <c r="AA30" s="2300"/>
      <c r="AB30" s="2300"/>
      <c r="AC30" s="2300"/>
      <c r="AD30" s="2300"/>
      <c r="AE30" s="2300"/>
      <c r="AF30" s="2300"/>
      <c r="AG30" s="2300"/>
      <c r="AH30" s="2300"/>
      <c r="AI30" s="2300"/>
      <c r="AJ30" s="2300"/>
      <c r="AK30" s="2300"/>
      <c r="AL30" s="2300"/>
      <c r="AM30" s="2300"/>
      <c r="AN30" s="2302"/>
      <c r="AO30" s="2319"/>
      <c r="AP30" s="2319"/>
      <c r="AQ30" s="2298"/>
      <c r="AR30" s="211"/>
      <c r="AS30" s="211"/>
      <c r="AT30" s="211"/>
      <c r="AU30" s="211"/>
      <c r="AV30" s="211"/>
      <c r="AW30" s="211"/>
      <c r="AX30" s="211"/>
      <c r="AY30" s="211"/>
      <c r="AZ30" s="211"/>
      <c r="BA30" s="211"/>
      <c r="BB30" s="211"/>
      <c r="BC30" s="211"/>
      <c r="BD30" s="211"/>
      <c r="BE30" s="211"/>
      <c r="BF30" s="211"/>
      <c r="BG30" s="211"/>
      <c r="BH30" s="211"/>
      <c r="BI30" s="211"/>
      <c r="BJ30" s="211"/>
      <c r="BK30" s="211"/>
      <c r="BL30" s="211"/>
    </row>
    <row r="31" spans="1:64" s="220" customFormat="1" ht="27.75" customHeight="1" x14ac:dyDescent="0.2">
      <c r="A31" s="203"/>
      <c r="B31" s="204"/>
      <c r="C31" s="204"/>
      <c r="D31" s="205"/>
      <c r="E31" s="206"/>
      <c r="F31" s="206"/>
      <c r="G31" s="205"/>
      <c r="H31" s="206"/>
      <c r="I31" s="213"/>
      <c r="J31" s="2334"/>
      <c r="K31" s="2335"/>
      <c r="L31" s="2327"/>
      <c r="M31" s="2047"/>
      <c r="N31" s="2048"/>
      <c r="O31" s="2334"/>
      <c r="P31" s="2335"/>
      <c r="Q31" s="2342"/>
      <c r="R31" s="2343"/>
      <c r="S31" s="2335"/>
      <c r="T31" s="2326"/>
      <c r="U31" s="2327"/>
      <c r="V31" s="2350"/>
      <c r="W31" s="2352"/>
      <c r="X31" s="2307"/>
      <c r="Y31" s="2300"/>
      <c r="Z31" s="2300"/>
      <c r="AA31" s="2300"/>
      <c r="AB31" s="2300"/>
      <c r="AC31" s="2300"/>
      <c r="AD31" s="2300"/>
      <c r="AE31" s="2300"/>
      <c r="AF31" s="2300"/>
      <c r="AG31" s="2300"/>
      <c r="AH31" s="2300"/>
      <c r="AI31" s="2300"/>
      <c r="AJ31" s="2300"/>
      <c r="AK31" s="2300"/>
      <c r="AL31" s="2300"/>
      <c r="AM31" s="2300"/>
      <c r="AN31" s="2302"/>
      <c r="AO31" s="2319"/>
      <c r="AP31" s="2319"/>
      <c r="AQ31" s="2298"/>
      <c r="AR31" s="211"/>
      <c r="AS31" s="211"/>
      <c r="AT31" s="211"/>
      <c r="AU31" s="211"/>
      <c r="AV31" s="211"/>
      <c r="AW31" s="211"/>
      <c r="AX31" s="211"/>
      <c r="AY31" s="211"/>
      <c r="AZ31" s="211"/>
      <c r="BA31" s="211"/>
      <c r="BB31" s="211"/>
      <c r="BC31" s="211"/>
      <c r="BD31" s="211"/>
      <c r="BE31" s="211"/>
      <c r="BF31" s="211"/>
      <c r="BG31" s="211"/>
      <c r="BH31" s="211"/>
      <c r="BI31" s="211"/>
      <c r="BJ31" s="211"/>
      <c r="BK31" s="211"/>
      <c r="BL31" s="211"/>
    </row>
    <row r="32" spans="1:64" s="220" customFormat="1" ht="27.75" customHeight="1" x14ac:dyDescent="0.2">
      <c r="A32" s="203"/>
      <c r="B32" s="204"/>
      <c r="C32" s="204"/>
      <c r="D32" s="205"/>
      <c r="E32" s="206"/>
      <c r="F32" s="206"/>
      <c r="G32" s="205"/>
      <c r="H32" s="206"/>
      <c r="I32" s="213"/>
      <c r="J32" s="2334"/>
      <c r="K32" s="2335"/>
      <c r="L32" s="2327"/>
      <c r="M32" s="2047"/>
      <c r="N32" s="2048"/>
      <c r="O32" s="2334"/>
      <c r="P32" s="2335"/>
      <c r="Q32" s="2342"/>
      <c r="R32" s="2343"/>
      <c r="S32" s="2335"/>
      <c r="T32" s="2335" t="s">
        <v>135</v>
      </c>
      <c r="U32" s="2327"/>
      <c r="V32" s="2350"/>
      <c r="W32" s="2352"/>
      <c r="X32" s="2307"/>
      <c r="Y32" s="2300"/>
      <c r="Z32" s="2300"/>
      <c r="AA32" s="2300"/>
      <c r="AB32" s="2300"/>
      <c r="AC32" s="2300"/>
      <c r="AD32" s="2300"/>
      <c r="AE32" s="2300"/>
      <c r="AF32" s="2300"/>
      <c r="AG32" s="2300"/>
      <c r="AH32" s="2300"/>
      <c r="AI32" s="2300"/>
      <c r="AJ32" s="2300"/>
      <c r="AK32" s="2300"/>
      <c r="AL32" s="2300"/>
      <c r="AM32" s="2300"/>
      <c r="AN32" s="2302"/>
      <c r="AO32" s="2319"/>
      <c r="AP32" s="2319"/>
      <c r="AQ32" s="2298"/>
      <c r="AR32" s="211"/>
      <c r="AS32" s="211"/>
      <c r="AT32" s="211"/>
      <c r="AU32" s="211"/>
      <c r="AV32" s="211"/>
      <c r="AW32" s="211"/>
      <c r="AX32" s="211"/>
      <c r="AY32" s="211"/>
      <c r="AZ32" s="211"/>
      <c r="BA32" s="211"/>
      <c r="BB32" s="211"/>
      <c r="BC32" s="211"/>
      <c r="BD32" s="211"/>
      <c r="BE32" s="211"/>
      <c r="BF32" s="211"/>
      <c r="BG32" s="211"/>
      <c r="BH32" s="211"/>
      <c r="BI32" s="211"/>
      <c r="BJ32" s="211"/>
      <c r="BK32" s="211"/>
      <c r="BL32" s="211"/>
    </row>
    <row r="33" spans="1:64" s="220" customFormat="1" ht="27.75" customHeight="1" x14ac:dyDescent="0.2">
      <c r="A33" s="203"/>
      <c r="B33" s="204"/>
      <c r="C33" s="204"/>
      <c r="D33" s="205"/>
      <c r="E33" s="206"/>
      <c r="F33" s="206"/>
      <c r="G33" s="205"/>
      <c r="H33" s="206"/>
      <c r="I33" s="213"/>
      <c r="J33" s="2334"/>
      <c r="K33" s="2335"/>
      <c r="L33" s="2327"/>
      <c r="M33" s="2047"/>
      <c r="N33" s="2048"/>
      <c r="O33" s="2334"/>
      <c r="P33" s="2335"/>
      <c r="Q33" s="2342"/>
      <c r="R33" s="2343"/>
      <c r="S33" s="2335"/>
      <c r="T33" s="2335"/>
      <c r="U33" s="2327"/>
      <c r="V33" s="2350"/>
      <c r="W33" s="2352"/>
      <c r="X33" s="2307"/>
      <c r="Y33" s="2300"/>
      <c r="Z33" s="2300"/>
      <c r="AA33" s="2300"/>
      <c r="AB33" s="2300"/>
      <c r="AC33" s="2300"/>
      <c r="AD33" s="2300"/>
      <c r="AE33" s="2300"/>
      <c r="AF33" s="2300"/>
      <c r="AG33" s="2300"/>
      <c r="AH33" s="2300"/>
      <c r="AI33" s="2300"/>
      <c r="AJ33" s="2300"/>
      <c r="AK33" s="2300"/>
      <c r="AL33" s="2300"/>
      <c r="AM33" s="2300"/>
      <c r="AN33" s="2302"/>
      <c r="AO33" s="2319"/>
      <c r="AP33" s="2319"/>
      <c r="AQ33" s="2298"/>
      <c r="AR33" s="211"/>
      <c r="AS33" s="211"/>
      <c r="AT33" s="211"/>
      <c r="AU33" s="211"/>
      <c r="AV33" s="211"/>
      <c r="AW33" s="211"/>
      <c r="AX33" s="211"/>
      <c r="AY33" s="211"/>
      <c r="AZ33" s="211"/>
      <c r="BA33" s="211"/>
      <c r="BB33" s="211"/>
      <c r="BC33" s="211"/>
      <c r="BD33" s="211"/>
      <c r="BE33" s="211"/>
      <c r="BF33" s="211"/>
      <c r="BG33" s="211"/>
      <c r="BH33" s="211"/>
      <c r="BI33" s="211"/>
      <c r="BJ33" s="211"/>
      <c r="BK33" s="211"/>
      <c r="BL33" s="211"/>
    </row>
    <row r="34" spans="1:64" s="220" customFormat="1" ht="27.75" customHeight="1" x14ac:dyDescent="0.2">
      <c r="A34" s="203"/>
      <c r="B34" s="2303"/>
      <c r="C34" s="2303"/>
      <c r="D34" s="205"/>
      <c r="E34" s="2304"/>
      <c r="F34" s="2304"/>
      <c r="G34" s="205"/>
      <c r="H34" s="2304"/>
      <c r="I34" s="2305"/>
      <c r="J34" s="2334"/>
      <c r="K34" s="2335"/>
      <c r="L34" s="2327"/>
      <c r="M34" s="2047"/>
      <c r="N34" s="2048"/>
      <c r="O34" s="2334"/>
      <c r="P34" s="2335"/>
      <c r="Q34" s="2342"/>
      <c r="R34" s="2343"/>
      <c r="S34" s="2335"/>
      <c r="T34" s="2335"/>
      <c r="U34" s="2327"/>
      <c r="V34" s="2350"/>
      <c r="W34" s="2352"/>
      <c r="X34" s="2307"/>
      <c r="Y34" s="2300"/>
      <c r="Z34" s="2300"/>
      <c r="AA34" s="2300"/>
      <c r="AB34" s="2300"/>
      <c r="AC34" s="2300"/>
      <c r="AD34" s="2300"/>
      <c r="AE34" s="2300"/>
      <c r="AF34" s="2300"/>
      <c r="AG34" s="2300"/>
      <c r="AH34" s="2300"/>
      <c r="AI34" s="2300"/>
      <c r="AJ34" s="2300"/>
      <c r="AK34" s="2300"/>
      <c r="AL34" s="2300"/>
      <c r="AM34" s="2300"/>
      <c r="AN34" s="2302"/>
      <c r="AO34" s="2319"/>
      <c r="AP34" s="2319"/>
      <c r="AQ34" s="2298"/>
      <c r="AR34" s="211"/>
      <c r="AS34" s="211"/>
      <c r="AT34" s="211"/>
      <c r="AU34" s="211"/>
      <c r="AV34" s="211"/>
      <c r="AW34" s="211"/>
      <c r="AX34" s="211"/>
      <c r="AY34" s="211"/>
      <c r="AZ34" s="211"/>
      <c r="BA34" s="211"/>
      <c r="BB34" s="211"/>
      <c r="BC34" s="211"/>
      <c r="BD34" s="211"/>
      <c r="BE34" s="211"/>
      <c r="BF34" s="211"/>
      <c r="BG34" s="211"/>
      <c r="BH34" s="211"/>
      <c r="BI34" s="211"/>
      <c r="BJ34" s="211"/>
      <c r="BK34" s="211"/>
      <c r="BL34" s="211"/>
    </row>
    <row r="35" spans="1:64" s="220" customFormat="1" ht="27.75" customHeight="1" x14ac:dyDescent="0.2">
      <c r="A35" s="203"/>
      <c r="B35" s="2303"/>
      <c r="C35" s="2303"/>
      <c r="D35" s="205"/>
      <c r="E35" s="2304"/>
      <c r="F35" s="2304"/>
      <c r="G35" s="205"/>
      <c r="H35" s="2304"/>
      <c r="I35" s="2305"/>
      <c r="J35" s="2334"/>
      <c r="K35" s="2335"/>
      <c r="L35" s="2099"/>
      <c r="M35" s="2047"/>
      <c r="N35" s="2048"/>
      <c r="O35" s="2334"/>
      <c r="P35" s="2335"/>
      <c r="Q35" s="2342"/>
      <c r="R35" s="2343"/>
      <c r="S35" s="2335"/>
      <c r="T35" s="2335"/>
      <c r="U35" s="2099"/>
      <c r="V35" s="2351"/>
      <c r="W35" s="2347"/>
      <c r="X35" s="2317"/>
      <c r="Y35" s="2337"/>
      <c r="Z35" s="2337"/>
      <c r="AA35" s="2337"/>
      <c r="AB35" s="2337"/>
      <c r="AC35" s="2337"/>
      <c r="AD35" s="2337"/>
      <c r="AE35" s="2337"/>
      <c r="AF35" s="2337"/>
      <c r="AG35" s="2337"/>
      <c r="AH35" s="2337"/>
      <c r="AI35" s="2337"/>
      <c r="AJ35" s="2337"/>
      <c r="AK35" s="2337"/>
      <c r="AL35" s="2337"/>
      <c r="AM35" s="2337"/>
      <c r="AN35" s="2338"/>
      <c r="AO35" s="2339"/>
      <c r="AP35" s="2339"/>
      <c r="AQ35" s="2298"/>
      <c r="AR35" s="211"/>
      <c r="AS35" s="211"/>
      <c r="AT35" s="211"/>
      <c r="AU35" s="211"/>
      <c r="AV35" s="211"/>
      <c r="AW35" s="211"/>
      <c r="AX35" s="211"/>
      <c r="AY35" s="211"/>
      <c r="AZ35" s="211"/>
      <c r="BA35" s="211"/>
      <c r="BB35" s="211"/>
      <c r="BC35" s="211"/>
      <c r="BD35" s="211"/>
      <c r="BE35" s="211"/>
      <c r="BF35" s="211"/>
      <c r="BG35" s="211"/>
      <c r="BH35" s="211"/>
      <c r="BI35" s="211"/>
      <c r="BJ35" s="211"/>
      <c r="BK35" s="211"/>
      <c r="BL35" s="211"/>
    </row>
    <row r="36" spans="1:64" s="220" customFormat="1" ht="35.1" customHeight="1" x14ac:dyDescent="0.2">
      <c r="A36" s="203"/>
      <c r="B36" s="204"/>
      <c r="C36" s="204"/>
      <c r="D36" s="205"/>
      <c r="E36" s="206"/>
      <c r="F36" s="206"/>
      <c r="G36" s="205"/>
      <c r="H36" s="2304"/>
      <c r="I36" s="2305"/>
      <c r="J36" s="2334">
        <v>11</v>
      </c>
      <c r="K36" s="2335" t="s">
        <v>136</v>
      </c>
      <c r="L36" s="2098" t="s">
        <v>137</v>
      </c>
      <c r="M36" s="2047">
        <v>1</v>
      </c>
      <c r="N36" s="2048" t="s">
        <v>138</v>
      </c>
      <c r="O36" s="2334" t="s">
        <v>139</v>
      </c>
      <c r="P36" s="2335" t="s">
        <v>140</v>
      </c>
      <c r="Q36" s="2342">
        <f>SUM(V36)/R36</f>
        <v>1</v>
      </c>
      <c r="R36" s="2343">
        <f>+V36</f>
        <v>312000000</v>
      </c>
      <c r="S36" s="2335" t="s">
        <v>141</v>
      </c>
      <c r="T36" s="2324" t="s">
        <v>142</v>
      </c>
      <c r="U36" s="2098" t="s">
        <v>143</v>
      </c>
      <c r="V36" s="2353">
        <v>312000000</v>
      </c>
      <c r="W36" s="2354">
        <v>27</v>
      </c>
      <c r="X36" s="2314" t="s">
        <v>134</v>
      </c>
      <c r="Y36" s="2299">
        <v>292684</v>
      </c>
      <c r="Z36" s="2299">
        <v>282326</v>
      </c>
      <c r="AA36" s="2299">
        <v>135912</v>
      </c>
      <c r="AB36" s="2299">
        <v>45122</v>
      </c>
      <c r="AC36" s="2299">
        <v>307101</v>
      </c>
      <c r="AD36" s="2299">
        <v>86875</v>
      </c>
      <c r="AE36" s="2299">
        <v>2145</v>
      </c>
      <c r="AF36" s="2299">
        <v>12718</v>
      </c>
      <c r="AG36" s="2299">
        <v>26</v>
      </c>
      <c r="AH36" s="2299">
        <v>37</v>
      </c>
      <c r="AI36" s="2299">
        <v>0</v>
      </c>
      <c r="AJ36" s="2299">
        <v>0</v>
      </c>
      <c r="AK36" s="2299">
        <v>53164</v>
      </c>
      <c r="AL36" s="2299">
        <v>16982</v>
      </c>
      <c r="AM36" s="2299">
        <v>60007</v>
      </c>
      <c r="AN36" s="2301">
        <f t="shared" ref="AN36" si="2">SUM(Y36:Z43)</f>
        <v>575010</v>
      </c>
      <c r="AO36" s="2318">
        <v>43101</v>
      </c>
      <c r="AP36" s="2318">
        <v>43465</v>
      </c>
      <c r="AQ36" s="2297" t="s">
        <v>107</v>
      </c>
      <c r="AR36" s="211"/>
      <c r="AS36" s="211"/>
      <c r="AT36" s="211"/>
      <c r="AU36" s="211"/>
      <c r="AV36" s="211"/>
      <c r="AW36" s="211"/>
      <c r="AX36" s="211"/>
      <c r="AY36" s="211"/>
      <c r="AZ36" s="211"/>
      <c r="BA36" s="211"/>
      <c r="BB36" s="211"/>
      <c r="BC36" s="211"/>
      <c r="BD36" s="211"/>
      <c r="BE36" s="211"/>
      <c r="BF36" s="211"/>
      <c r="BG36" s="211"/>
      <c r="BH36" s="211"/>
      <c r="BI36" s="211"/>
      <c r="BJ36" s="211"/>
      <c r="BK36" s="211"/>
      <c r="BL36" s="211"/>
    </row>
    <row r="37" spans="1:64" s="220" customFormat="1" ht="35.1" customHeight="1" x14ac:dyDescent="0.2">
      <c r="A37" s="203"/>
      <c r="B37" s="2303"/>
      <c r="C37" s="2303"/>
      <c r="D37" s="205"/>
      <c r="E37" s="2304"/>
      <c r="F37" s="2304"/>
      <c r="G37" s="205"/>
      <c r="H37" s="2304"/>
      <c r="I37" s="2305"/>
      <c r="J37" s="2334"/>
      <c r="K37" s="2335"/>
      <c r="L37" s="2327"/>
      <c r="M37" s="2047"/>
      <c r="N37" s="2048"/>
      <c r="O37" s="2334"/>
      <c r="P37" s="2335"/>
      <c r="Q37" s="2342"/>
      <c r="R37" s="2343"/>
      <c r="S37" s="2335"/>
      <c r="T37" s="2325"/>
      <c r="U37" s="2327"/>
      <c r="V37" s="2350"/>
      <c r="W37" s="2352"/>
      <c r="X37" s="2307"/>
      <c r="Y37" s="2300"/>
      <c r="Z37" s="2300"/>
      <c r="AA37" s="2300"/>
      <c r="AB37" s="2300"/>
      <c r="AC37" s="2300"/>
      <c r="AD37" s="2300"/>
      <c r="AE37" s="2300"/>
      <c r="AF37" s="2300"/>
      <c r="AG37" s="2300"/>
      <c r="AH37" s="2300"/>
      <c r="AI37" s="2300"/>
      <c r="AJ37" s="2300"/>
      <c r="AK37" s="2300"/>
      <c r="AL37" s="2300"/>
      <c r="AM37" s="2300"/>
      <c r="AN37" s="2302"/>
      <c r="AO37" s="2319"/>
      <c r="AP37" s="2319"/>
      <c r="AQ37" s="2298"/>
      <c r="AR37" s="211"/>
      <c r="AS37" s="211"/>
      <c r="AT37" s="211"/>
      <c r="AU37" s="211"/>
      <c r="AV37" s="211"/>
      <c r="AW37" s="211"/>
      <c r="AX37" s="211"/>
      <c r="AY37" s="211"/>
      <c r="AZ37" s="211"/>
      <c r="BA37" s="211"/>
      <c r="BB37" s="211"/>
      <c r="BC37" s="211"/>
      <c r="BD37" s="211"/>
      <c r="BE37" s="211"/>
      <c r="BF37" s="211"/>
      <c r="BG37" s="211"/>
      <c r="BH37" s="211"/>
      <c r="BI37" s="211"/>
      <c r="BJ37" s="211"/>
      <c r="BK37" s="211"/>
      <c r="BL37" s="211"/>
    </row>
    <row r="38" spans="1:64" s="220" customFormat="1" ht="35.1" customHeight="1" x14ac:dyDescent="0.2">
      <c r="A38" s="203"/>
      <c r="B38" s="204"/>
      <c r="C38" s="204"/>
      <c r="D38" s="205"/>
      <c r="E38" s="206"/>
      <c r="F38" s="206"/>
      <c r="G38" s="205"/>
      <c r="H38" s="206"/>
      <c r="I38" s="213"/>
      <c r="J38" s="2334"/>
      <c r="K38" s="2335"/>
      <c r="L38" s="2327"/>
      <c r="M38" s="2047"/>
      <c r="N38" s="2048"/>
      <c r="O38" s="2334"/>
      <c r="P38" s="2335"/>
      <c r="Q38" s="2342"/>
      <c r="R38" s="2343"/>
      <c r="S38" s="2335"/>
      <c r="T38" s="2325"/>
      <c r="U38" s="2327"/>
      <c r="V38" s="2350"/>
      <c r="W38" s="2352"/>
      <c r="X38" s="2307"/>
      <c r="Y38" s="2300"/>
      <c r="Z38" s="2300"/>
      <c r="AA38" s="2300"/>
      <c r="AB38" s="2300"/>
      <c r="AC38" s="2300"/>
      <c r="AD38" s="2300"/>
      <c r="AE38" s="2300"/>
      <c r="AF38" s="2300"/>
      <c r="AG38" s="2300"/>
      <c r="AH38" s="2300"/>
      <c r="AI38" s="2300"/>
      <c r="AJ38" s="2300"/>
      <c r="AK38" s="2300"/>
      <c r="AL38" s="2300"/>
      <c r="AM38" s="2300"/>
      <c r="AN38" s="2302"/>
      <c r="AO38" s="2319"/>
      <c r="AP38" s="2319"/>
      <c r="AQ38" s="2298"/>
      <c r="AR38" s="211"/>
      <c r="AS38" s="211"/>
      <c r="AT38" s="211"/>
      <c r="AU38" s="211"/>
      <c r="AV38" s="211"/>
      <c r="AW38" s="211"/>
      <c r="AX38" s="211"/>
      <c r="AY38" s="211"/>
      <c r="AZ38" s="211"/>
      <c r="BA38" s="211"/>
      <c r="BB38" s="211"/>
      <c r="BC38" s="211"/>
      <c r="BD38" s="211"/>
      <c r="BE38" s="211"/>
      <c r="BF38" s="211"/>
      <c r="BG38" s="211"/>
      <c r="BH38" s="211"/>
      <c r="BI38" s="211"/>
      <c r="BJ38" s="211"/>
      <c r="BK38" s="211"/>
      <c r="BL38" s="211"/>
    </row>
    <row r="39" spans="1:64" s="220" customFormat="1" ht="35.1" customHeight="1" x14ac:dyDescent="0.2">
      <c r="A39" s="203"/>
      <c r="B39" s="204"/>
      <c r="C39" s="204"/>
      <c r="D39" s="205"/>
      <c r="E39" s="206"/>
      <c r="F39" s="206"/>
      <c r="G39" s="205"/>
      <c r="H39" s="206"/>
      <c r="I39" s="213"/>
      <c r="J39" s="2334"/>
      <c r="K39" s="2335"/>
      <c r="L39" s="2327"/>
      <c r="M39" s="2047"/>
      <c r="N39" s="2048"/>
      <c r="O39" s="2334"/>
      <c r="P39" s="2335"/>
      <c r="Q39" s="2342"/>
      <c r="R39" s="2343"/>
      <c r="S39" s="2335"/>
      <c r="T39" s="2325"/>
      <c r="U39" s="2327"/>
      <c r="V39" s="2350"/>
      <c r="W39" s="2352"/>
      <c r="X39" s="2307"/>
      <c r="Y39" s="2300"/>
      <c r="Z39" s="2300"/>
      <c r="AA39" s="2300"/>
      <c r="AB39" s="2300"/>
      <c r="AC39" s="2300"/>
      <c r="AD39" s="2300"/>
      <c r="AE39" s="2300"/>
      <c r="AF39" s="2300"/>
      <c r="AG39" s="2300"/>
      <c r="AH39" s="2300"/>
      <c r="AI39" s="2300"/>
      <c r="AJ39" s="2300"/>
      <c r="AK39" s="2300"/>
      <c r="AL39" s="2300"/>
      <c r="AM39" s="2300"/>
      <c r="AN39" s="2302"/>
      <c r="AO39" s="2319"/>
      <c r="AP39" s="2319"/>
      <c r="AQ39" s="2298"/>
      <c r="AR39" s="223"/>
      <c r="AS39" s="223"/>
      <c r="AT39" s="223"/>
      <c r="AU39" s="223"/>
    </row>
    <row r="40" spans="1:64" s="220" customFormat="1" ht="35.1" customHeight="1" x14ac:dyDescent="0.2">
      <c r="A40" s="203"/>
      <c r="B40" s="204"/>
      <c r="C40" s="204"/>
      <c r="D40" s="205"/>
      <c r="E40" s="206"/>
      <c r="F40" s="206"/>
      <c r="G40" s="205"/>
      <c r="H40" s="206"/>
      <c r="I40" s="213"/>
      <c r="J40" s="2334"/>
      <c r="K40" s="2335"/>
      <c r="L40" s="2327"/>
      <c r="M40" s="2047"/>
      <c r="N40" s="2048"/>
      <c r="O40" s="2334"/>
      <c r="P40" s="2335"/>
      <c r="Q40" s="2342"/>
      <c r="R40" s="2343"/>
      <c r="S40" s="2335"/>
      <c r="T40" s="2325"/>
      <c r="U40" s="2327"/>
      <c r="V40" s="2350"/>
      <c r="W40" s="2352"/>
      <c r="X40" s="2307"/>
      <c r="Y40" s="2300"/>
      <c r="Z40" s="2300"/>
      <c r="AA40" s="2300"/>
      <c r="AB40" s="2300"/>
      <c r="AC40" s="2300"/>
      <c r="AD40" s="2300"/>
      <c r="AE40" s="2300"/>
      <c r="AF40" s="2300"/>
      <c r="AG40" s="2300"/>
      <c r="AH40" s="2300"/>
      <c r="AI40" s="2300"/>
      <c r="AJ40" s="2300"/>
      <c r="AK40" s="2300"/>
      <c r="AL40" s="2300"/>
      <c r="AM40" s="2300"/>
      <c r="AN40" s="2302"/>
      <c r="AO40" s="2319"/>
      <c r="AP40" s="2319"/>
      <c r="AQ40" s="2298"/>
      <c r="AR40" s="223"/>
      <c r="AS40" s="223"/>
      <c r="AT40" s="223"/>
      <c r="AU40" s="223"/>
    </row>
    <row r="41" spans="1:64" s="220" customFormat="1" ht="35.1" customHeight="1" x14ac:dyDescent="0.2">
      <c r="A41" s="203"/>
      <c r="B41" s="204"/>
      <c r="C41" s="204"/>
      <c r="D41" s="205"/>
      <c r="E41" s="206"/>
      <c r="F41" s="206"/>
      <c r="G41" s="205"/>
      <c r="H41" s="206"/>
      <c r="I41" s="213"/>
      <c r="J41" s="2334"/>
      <c r="K41" s="2335"/>
      <c r="L41" s="2327"/>
      <c r="M41" s="2047"/>
      <c r="N41" s="2048"/>
      <c r="O41" s="2334"/>
      <c r="P41" s="2335"/>
      <c r="Q41" s="2342"/>
      <c r="R41" s="2343"/>
      <c r="S41" s="2335"/>
      <c r="T41" s="2325"/>
      <c r="U41" s="2327"/>
      <c r="V41" s="2350"/>
      <c r="W41" s="2352"/>
      <c r="X41" s="2307"/>
      <c r="Y41" s="2300"/>
      <c r="Z41" s="2300"/>
      <c r="AA41" s="2300"/>
      <c r="AB41" s="2300"/>
      <c r="AC41" s="2300"/>
      <c r="AD41" s="2300"/>
      <c r="AE41" s="2300"/>
      <c r="AF41" s="2300"/>
      <c r="AG41" s="2300"/>
      <c r="AH41" s="2300"/>
      <c r="AI41" s="2300"/>
      <c r="AJ41" s="2300"/>
      <c r="AK41" s="2300"/>
      <c r="AL41" s="2300"/>
      <c r="AM41" s="2300"/>
      <c r="AN41" s="2302"/>
      <c r="AO41" s="2319"/>
      <c r="AP41" s="2319"/>
      <c r="AQ41" s="2298"/>
      <c r="AR41" s="223"/>
      <c r="AS41" s="223"/>
      <c r="AT41" s="223"/>
      <c r="AU41" s="223"/>
    </row>
    <row r="42" spans="1:64" s="220" customFormat="1" ht="35.1" customHeight="1" x14ac:dyDescent="0.2">
      <c r="A42" s="203"/>
      <c r="B42" s="2303"/>
      <c r="C42" s="2303"/>
      <c r="D42" s="205"/>
      <c r="E42" s="2304"/>
      <c r="F42" s="2304"/>
      <c r="G42" s="205"/>
      <c r="H42" s="2304"/>
      <c r="I42" s="2305"/>
      <c r="J42" s="2334"/>
      <c r="K42" s="2335"/>
      <c r="L42" s="2327"/>
      <c r="M42" s="2047"/>
      <c r="N42" s="2048"/>
      <c r="O42" s="2334"/>
      <c r="P42" s="2335"/>
      <c r="Q42" s="2342"/>
      <c r="R42" s="2343"/>
      <c r="S42" s="2335"/>
      <c r="T42" s="2325"/>
      <c r="U42" s="2327"/>
      <c r="V42" s="2350"/>
      <c r="W42" s="2352"/>
      <c r="X42" s="2307"/>
      <c r="Y42" s="2300"/>
      <c r="Z42" s="2300"/>
      <c r="AA42" s="2300"/>
      <c r="AB42" s="2300"/>
      <c r="AC42" s="2300"/>
      <c r="AD42" s="2300"/>
      <c r="AE42" s="2300"/>
      <c r="AF42" s="2300"/>
      <c r="AG42" s="2300"/>
      <c r="AH42" s="2300"/>
      <c r="AI42" s="2300"/>
      <c r="AJ42" s="2300"/>
      <c r="AK42" s="2300"/>
      <c r="AL42" s="2300"/>
      <c r="AM42" s="2300"/>
      <c r="AN42" s="2302"/>
      <c r="AO42" s="2319"/>
      <c r="AP42" s="2319"/>
      <c r="AQ42" s="2298"/>
      <c r="AR42" s="223"/>
      <c r="AS42" s="223"/>
      <c r="AT42" s="223"/>
      <c r="AU42" s="223"/>
    </row>
    <row r="43" spans="1:64" s="220" customFormat="1" ht="35.1" customHeight="1" x14ac:dyDescent="0.2">
      <c r="A43" s="203"/>
      <c r="B43" s="2303"/>
      <c r="C43" s="2303"/>
      <c r="D43" s="205"/>
      <c r="E43" s="2304"/>
      <c r="F43" s="2304"/>
      <c r="G43" s="205"/>
      <c r="H43" s="2304"/>
      <c r="I43" s="2305"/>
      <c r="J43" s="2334"/>
      <c r="K43" s="2335"/>
      <c r="L43" s="2099"/>
      <c r="M43" s="2047"/>
      <c r="N43" s="2048"/>
      <c r="O43" s="2334"/>
      <c r="P43" s="2335"/>
      <c r="Q43" s="2342"/>
      <c r="R43" s="2343"/>
      <c r="S43" s="2335"/>
      <c r="T43" s="2326"/>
      <c r="U43" s="2099"/>
      <c r="V43" s="2351"/>
      <c r="W43" s="2347"/>
      <c r="X43" s="2317"/>
      <c r="Y43" s="2337"/>
      <c r="Z43" s="2337"/>
      <c r="AA43" s="2337"/>
      <c r="AB43" s="2337"/>
      <c r="AC43" s="2337"/>
      <c r="AD43" s="2337"/>
      <c r="AE43" s="2337"/>
      <c r="AF43" s="2337"/>
      <c r="AG43" s="2337"/>
      <c r="AH43" s="2337"/>
      <c r="AI43" s="2337"/>
      <c r="AJ43" s="2337"/>
      <c r="AK43" s="2337"/>
      <c r="AL43" s="2337"/>
      <c r="AM43" s="2337"/>
      <c r="AN43" s="2338"/>
      <c r="AO43" s="2339"/>
      <c r="AP43" s="2339"/>
      <c r="AQ43" s="2298"/>
      <c r="AR43" s="223"/>
      <c r="AS43" s="223"/>
      <c r="AT43" s="223"/>
      <c r="AU43" s="223"/>
    </row>
    <row r="44" spans="1:64" s="220" customFormat="1" ht="33.75" customHeight="1" x14ac:dyDescent="0.2">
      <c r="A44" s="203"/>
      <c r="B44" s="204"/>
      <c r="C44" s="204"/>
      <c r="D44" s="205"/>
      <c r="E44" s="206"/>
      <c r="F44" s="206"/>
      <c r="G44" s="205"/>
      <c r="H44" s="2304"/>
      <c r="I44" s="2305"/>
      <c r="J44" s="2314">
        <v>12</v>
      </c>
      <c r="K44" s="2308" t="s">
        <v>144</v>
      </c>
      <c r="L44" s="2098" t="s">
        <v>145</v>
      </c>
      <c r="M44" s="2331">
        <v>3</v>
      </c>
      <c r="N44" s="2098" t="s">
        <v>146</v>
      </c>
      <c r="O44" s="2314" t="s">
        <v>147</v>
      </c>
      <c r="P44" s="2308" t="s">
        <v>148</v>
      </c>
      <c r="Q44" s="2051">
        <f>SUM(V44:V51)/R44</f>
        <v>1</v>
      </c>
      <c r="R44" s="2321">
        <f>+V44+V48</f>
        <v>1050000000</v>
      </c>
      <c r="S44" s="2308" t="s">
        <v>149</v>
      </c>
      <c r="T44" s="2324" t="s">
        <v>150</v>
      </c>
      <c r="U44" s="2098" t="s">
        <v>151</v>
      </c>
      <c r="V44" s="2353">
        <v>320000000</v>
      </c>
      <c r="W44" s="2354">
        <v>27</v>
      </c>
      <c r="X44" s="2314" t="str">
        <f>+X28</f>
        <v xml:space="preserve">SGP Agua Potable y Saneamineto Básico
</v>
      </c>
      <c r="Y44" s="2299">
        <v>292684</v>
      </c>
      <c r="Z44" s="2299">
        <v>282326</v>
      </c>
      <c r="AA44" s="2299">
        <v>135912</v>
      </c>
      <c r="AB44" s="2299">
        <v>45122</v>
      </c>
      <c r="AC44" s="2299">
        <v>307101</v>
      </c>
      <c r="AD44" s="2299">
        <v>86875</v>
      </c>
      <c r="AE44" s="2299">
        <v>2145</v>
      </c>
      <c r="AF44" s="2299">
        <v>12718</v>
      </c>
      <c r="AG44" s="2299">
        <v>26</v>
      </c>
      <c r="AH44" s="2299">
        <v>37</v>
      </c>
      <c r="AI44" s="2299">
        <v>0</v>
      </c>
      <c r="AJ44" s="2299">
        <v>0</v>
      </c>
      <c r="AK44" s="2299">
        <v>53164</v>
      </c>
      <c r="AL44" s="2299">
        <v>16982</v>
      </c>
      <c r="AM44" s="2299">
        <v>60004</v>
      </c>
      <c r="AN44" s="2301">
        <f t="shared" ref="AN44" si="3">SUM(Y44:Z51)</f>
        <v>575010</v>
      </c>
      <c r="AO44" s="2318">
        <v>43101</v>
      </c>
      <c r="AP44" s="2318">
        <v>43465</v>
      </c>
      <c r="AQ44" s="2297" t="s">
        <v>107</v>
      </c>
      <c r="AR44" s="223"/>
      <c r="AS44" s="223"/>
      <c r="AT44" s="223"/>
      <c r="AU44" s="223"/>
    </row>
    <row r="45" spans="1:64" s="220" customFormat="1" ht="33.75" customHeight="1" x14ac:dyDescent="0.2">
      <c r="A45" s="203"/>
      <c r="B45" s="2303"/>
      <c r="C45" s="2303"/>
      <c r="D45" s="205"/>
      <c r="E45" s="2304"/>
      <c r="F45" s="2304"/>
      <c r="G45" s="205"/>
      <c r="H45" s="2304"/>
      <c r="I45" s="2305"/>
      <c r="J45" s="2307"/>
      <c r="K45" s="2309"/>
      <c r="L45" s="2327"/>
      <c r="M45" s="2332"/>
      <c r="N45" s="2327"/>
      <c r="O45" s="2307"/>
      <c r="P45" s="2309"/>
      <c r="Q45" s="2320"/>
      <c r="R45" s="2322"/>
      <c r="S45" s="2309"/>
      <c r="T45" s="2325"/>
      <c r="U45" s="2327"/>
      <c r="V45" s="2350"/>
      <c r="W45" s="2352"/>
      <c r="X45" s="2307"/>
      <c r="Y45" s="2300"/>
      <c r="Z45" s="2300"/>
      <c r="AA45" s="2300"/>
      <c r="AB45" s="2300"/>
      <c r="AC45" s="2300"/>
      <c r="AD45" s="2300"/>
      <c r="AE45" s="2300"/>
      <c r="AF45" s="2300"/>
      <c r="AG45" s="2300"/>
      <c r="AH45" s="2300"/>
      <c r="AI45" s="2300"/>
      <c r="AJ45" s="2300"/>
      <c r="AK45" s="2300"/>
      <c r="AL45" s="2300"/>
      <c r="AM45" s="2300"/>
      <c r="AN45" s="2302"/>
      <c r="AO45" s="2319"/>
      <c r="AP45" s="2319"/>
      <c r="AQ45" s="2298"/>
      <c r="AR45" s="223"/>
      <c r="AS45" s="223"/>
      <c r="AT45" s="223"/>
      <c r="AU45" s="223"/>
    </row>
    <row r="46" spans="1:64" s="220" customFormat="1" ht="33.75" customHeight="1" x14ac:dyDescent="0.2">
      <c r="A46" s="203"/>
      <c r="B46" s="204"/>
      <c r="C46" s="204"/>
      <c r="D46" s="205"/>
      <c r="E46" s="206"/>
      <c r="F46" s="206"/>
      <c r="G46" s="205"/>
      <c r="H46" s="206"/>
      <c r="I46" s="213"/>
      <c r="J46" s="2307"/>
      <c r="K46" s="2309"/>
      <c r="L46" s="2327"/>
      <c r="M46" s="2332"/>
      <c r="N46" s="2327"/>
      <c r="O46" s="2307"/>
      <c r="P46" s="2309"/>
      <c r="Q46" s="2320"/>
      <c r="R46" s="2322"/>
      <c r="S46" s="2309"/>
      <c r="T46" s="2325"/>
      <c r="U46" s="2327"/>
      <c r="V46" s="2350"/>
      <c r="W46" s="2352"/>
      <c r="X46" s="2307"/>
      <c r="Y46" s="2300"/>
      <c r="Z46" s="2300"/>
      <c r="AA46" s="2300"/>
      <c r="AB46" s="2300"/>
      <c r="AC46" s="2300"/>
      <c r="AD46" s="2300"/>
      <c r="AE46" s="2300"/>
      <c r="AF46" s="2300"/>
      <c r="AG46" s="2300"/>
      <c r="AH46" s="2300"/>
      <c r="AI46" s="2300"/>
      <c r="AJ46" s="2300"/>
      <c r="AK46" s="2300"/>
      <c r="AL46" s="2300"/>
      <c r="AM46" s="2300"/>
      <c r="AN46" s="2302"/>
      <c r="AO46" s="2319"/>
      <c r="AP46" s="2319"/>
      <c r="AQ46" s="2298"/>
      <c r="AR46" s="223"/>
      <c r="AS46" s="223"/>
      <c r="AT46" s="223"/>
      <c r="AU46" s="223"/>
    </row>
    <row r="47" spans="1:64" s="220" customFormat="1" ht="33.75" customHeight="1" x14ac:dyDescent="0.2">
      <c r="A47" s="203"/>
      <c r="B47" s="204"/>
      <c r="C47" s="204"/>
      <c r="D47" s="205"/>
      <c r="E47" s="206"/>
      <c r="F47" s="206"/>
      <c r="G47" s="205"/>
      <c r="H47" s="206"/>
      <c r="I47" s="213"/>
      <c r="J47" s="2307"/>
      <c r="K47" s="2309"/>
      <c r="L47" s="2327"/>
      <c r="M47" s="2332"/>
      <c r="N47" s="2327"/>
      <c r="O47" s="2307"/>
      <c r="P47" s="2309"/>
      <c r="Q47" s="2320"/>
      <c r="R47" s="2322"/>
      <c r="S47" s="2309"/>
      <c r="T47" s="2326"/>
      <c r="U47" s="2099"/>
      <c r="V47" s="2351"/>
      <c r="W47" s="2352"/>
      <c r="X47" s="2307"/>
      <c r="Y47" s="2300"/>
      <c r="Z47" s="2300"/>
      <c r="AA47" s="2300"/>
      <c r="AB47" s="2300"/>
      <c r="AC47" s="2300"/>
      <c r="AD47" s="2300"/>
      <c r="AE47" s="2300"/>
      <c r="AF47" s="2300"/>
      <c r="AG47" s="2300"/>
      <c r="AH47" s="2300"/>
      <c r="AI47" s="2300"/>
      <c r="AJ47" s="2300"/>
      <c r="AK47" s="2300"/>
      <c r="AL47" s="2300"/>
      <c r="AM47" s="2300"/>
      <c r="AN47" s="2302"/>
      <c r="AO47" s="2319"/>
      <c r="AP47" s="2319"/>
      <c r="AQ47" s="2298"/>
      <c r="AR47" s="223"/>
      <c r="AS47" s="223"/>
      <c r="AT47" s="223"/>
      <c r="AU47" s="223"/>
    </row>
    <row r="48" spans="1:64" s="220" customFormat="1" ht="20.100000000000001" customHeight="1" x14ac:dyDescent="0.2">
      <c r="A48" s="203"/>
      <c r="B48" s="204"/>
      <c r="C48" s="204"/>
      <c r="D48" s="205"/>
      <c r="E48" s="206"/>
      <c r="F48" s="206"/>
      <c r="G48" s="205"/>
      <c r="H48" s="206"/>
      <c r="I48" s="213"/>
      <c r="J48" s="2307"/>
      <c r="K48" s="2309"/>
      <c r="L48" s="2327"/>
      <c r="M48" s="2332"/>
      <c r="N48" s="2327"/>
      <c r="O48" s="2307"/>
      <c r="P48" s="2309"/>
      <c r="Q48" s="2320"/>
      <c r="R48" s="2322"/>
      <c r="S48" s="2309"/>
      <c r="T48" s="2335" t="s">
        <v>152</v>
      </c>
      <c r="U48" s="2098" t="s">
        <v>153</v>
      </c>
      <c r="V48" s="2353">
        <v>730000000</v>
      </c>
      <c r="W48" s="2352"/>
      <c r="X48" s="2307"/>
      <c r="Y48" s="2300"/>
      <c r="Z48" s="2300"/>
      <c r="AA48" s="2300"/>
      <c r="AB48" s="2300"/>
      <c r="AC48" s="2300"/>
      <c r="AD48" s="2300"/>
      <c r="AE48" s="2300"/>
      <c r="AF48" s="2300"/>
      <c r="AG48" s="2300"/>
      <c r="AH48" s="2300"/>
      <c r="AI48" s="2300"/>
      <c r="AJ48" s="2300"/>
      <c r="AK48" s="2300"/>
      <c r="AL48" s="2300"/>
      <c r="AM48" s="2300"/>
      <c r="AN48" s="2302"/>
      <c r="AO48" s="2319"/>
      <c r="AP48" s="2319"/>
      <c r="AQ48" s="2298"/>
      <c r="AR48" s="223"/>
      <c r="AS48" s="223"/>
      <c r="AT48" s="223"/>
      <c r="AU48" s="223"/>
    </row>
    <row r="49" spans="1:47" s="220" customFormat="1" ht="20.100000000000001" customHeight="1" x14ac:dyDescent="0.2">
      <c r="A49" s="203"/>
      <c r="B49" s="204"/>
      <c r="C49" s="204"/>
      <c r="D49" s="205"/>
      <c r="E49" s="206"/>
      <c r="F49" s="206"/>
      <c r="G49" s="205"/>
      <c r="H49" s="206"/>
      <c r="I49" s="213"/>
      <c r="J49" s="2307"/>
      <c r="K49" s="2309"/>
      <c r="L49" s="2327"/>
      <c r="M49" s="2332"/>
      <c r="N49" s="2327"/>
      <c r="O49" s="2307"/>
      <c r="P49" s="2309"/>
      <c r="Q49" s="2320"/>
      <c r="R49" s="2322"/>
      <c r="S49" s="2309"/>
      <c r="T49" s="2335"/>
      <c r="U49" s="2327"/>
      <c r="V49" s="2350"/>
      <c r="W49" s="2352"/>
      <c r="X49" s="2307"/>
      <c r="Y49" s="2300"/>
      <c r="Z49" s="2300"/>
      <c r="AA49" s="2300"/>
      <c r="AB49" s="2300"/>
      <c r="AC49" s="2300"/>
      <c r="AD49" s="2300"/>
      <c r="AE49" s="2300"/>
      <c r="AF49" s="2300"/>
      <c r="AG49" s="2300"/>
      <c r="AH49" s="2300"/>
      <c r="AI49" s="2300"/>
      <c r="AJ49" s="2300"/>
      <c r="AK49" s="2300"/>
      <c r="AL49" s="2300"/>
      <c r="AM49" s="2300"/>
      <c r="AN49" s="2302"/>
      <c r="AO49" s="2319"/>
      <c r="AP49" s="2319"/>
      <c r="AQ49" s="2298"/>
      <c r="AR49" s="223"/>
      <c r="AS49" s="223"/>
      <c r="AT49" s="223"/>
      <c r="AU49" s="223"/>
    </row>
    <row r="50" spans="1:47" s="220" customFormat="1" ht="20.100000000000001" customHeight="1" x14ac:dyDescent="0.2">
      <c r="A50" s="203"/>
      <c r="B50" s="2303"/>
      <c r="C50" s="2303"/>
      <c r="D50" s="205"/>
      <c r="E50" s="2304"/>
      <c r="F50" s="2304"/>
      <c r="G50" s="205"/>
      <c r="H50" s="2304"/>
      <c r="I50" s="2305"/>
      <c r="J50" s="2307"/>
      <c r="K50" s="2309"/>
      <c r="L50" s="2327"/>
      <c r="M50" s="2332"/>
      <c r="N50" s="2327"/>
      <c r="O50" s="2307"/>
      <c r="P50" s="2309"/>
      <c r="Q50" s="2320"/>
      <c r="R50" s="2322"/>
      <c r="S50" s="2309"/>
      <c r="T50" s="2335"/>
      <c r="U50" s="2327"/>
      <c r="V50" s="2350"/>
      <c r="W50" s="2352"/>
      <c r="X50" s="2307"/>
      <c r="Y50" s="2300"/>
      <c r="Z50" s="2300"/>
      <c r="AA50" s="2300"/>
      <c r="AB50" s="2300"/>
      <c r="AC50" s="2300"/>
      <c r="AD50" s="2300"/>
      <c r="AE50" s="2300"/>
      <c r="AF50" s="2300"/>
      <c r="AG50" s="2300"/>
      <c r="AH50" s="2300"/>
      <c r="AI50" s="2300"/>
      <c r="AJ50" s="2300"/>
      <c r="AK50" s="2300"/>
      <c r="AL50" s="2300"/>
      <c r="AM50" s="2300"/>
      <c r="AN50" s="2302"/>
      <c r="AO50" s="2319"/>
      <c r="AP50" s="2319"/>
      <c r="AQ50" s="2298"/>
      <c r="AR50" s="223"/>
      <c r="AS50" s="223"/>
      <c r="AT50" s="223"/>
      <c r="AU50" s="223"/>
    </row>
    <row r="51" spans="1:47" s="220" customFormat="1" ht="20.100000000000001" customHeight="1" x14ac:dyDescent="0.2">
      <c r="A51" s="203"/>
      <c r="B51" s="2303"/>
      <c r="C51" s="2303"/>
      <c r="D51" s="205"/>
      <c r="E51" s="2304"/>
      <c r="F51" s="2304"/>
      <c r="G51" s="205"/>
      <c r="H51" s="2304"/>
      <c r="I51" s="2305"/>
      <c r="J51" s="2317"/>
      <c r="K51" s="2310"/>
      <c r="L51" s="2099"/>
      <c r="M51" s="2333"/>
      <c r="N51" s="2099"/>
      <c r="O51" s="2317"/>
      <c r="P51" s="2310"/>
      <c r="Q51" s="2052"/>
      <c r="R51" s="2323"/>
      <c r="S51" s="2310"/>
      <c r="T51" s="2335"/>
      <c r="U51" s="2099"/>
      <c r="V51" s="2351"/>
      <c r="W51" s="2347"/>
      <c r="X51" s="2317"/>
      <c r="Y51" s="2337"/>
      <c r="Z51" s="2337"/>
      <c r="AA51" s="2337"/>
      <c r="AB51" s="2337"/>
      <c r="AC51" s="2337"/>
      <c r="AD51" s="2337"/>
      <c r="AE51" s="2337"/>
      <c r="AF51" s="2337"/>
      <c r="AG51" s="2337"/>
      <c r="AH51" s="2337"/>
      <c r="AI51" s="2337"/>
      <c r="AJ51" s="2337"/>
      <c r="AK51" s="2337"/>
      <c r="AL51" s="2337"/>
      <c r="AM51" s="2337"/>
      <c r="AN51" s="2338"/>
      <c r="AO51" s="2339"/>
      <c r="AP51" s="2339"/>
      <c r="AQ51" s="2298"/>
      <c r="AR51" s="223"/>
      <c r="AS51" s="223"/>
      <c r="AT51" s="223"/>
      <c r="AU51" s="223"/>
    </row>
    <row r="52" spans="1:47" s="220" customFormat="1" ht="24.95" customHeight="1" x14ac:dyDescent="0.2">
      <c r="A52" s="203"/>
      <c r="B52" s="204"/>
      <c r="C52" s="204"/>
      <c r="D52" s="205"/>
      <c r="E52" s="206"/>
      <c r="F52" s="206"/>
      <c r="G52" s="205"/>
      <c r="H52" s="2304"/>
      <c r="I52" s="2305"/>
      <c r="J52" s="2314">
        <v>13</v>
      </c>
      <c r="K52" s="2308" t="s">
        <v>154</v>
      </c>
      <c r="L52" s="2098" t="s">
        <v>155</v>
      </c>
      <c r="M52" s="2331">
        <v>2</v>
      </c>
      <c r="N52" s="2098" t="s">
        <v>156</v>
      </c>
      <c r="O52" s="2314" t="s">
        <v>157</v>
      </c>
      <c r="P52" s="2308" t="s">
        <v>158</v>
      </c>
      <c r="Q52" s="2051">
        <f>SUM(V52:V59)/R52</f>
        <v>1</v>
      </c>
      <c r="R52" s="2321">
        <f>+V52+V55+V57</f>
        <v>300000000</v>
      </c>
      <c r="S52" s="2308" t="s">
        <v>159</v>
      </c>
      <c r="T52" s="2360" t="s">
        <v>160</v>
      </c>
      <c r="U52" s="2098" t="s">
        <v>161</v>
      </c>
      <c r="V52" s="2311">
        <v>100000000</v>
      </c>
      <c r="W52" s="2354">
        <v>27</v>
      </c>
      <c r="X52" s="2314" t="s">
        <v>134</v>
      </c>
      <c r="Y52" s="2356">
        <v>292684</v>
      </c>
      <c r="Z52" s="2299">
        <v>282326</v>
      </c>
      <c r="AA52" s="2299">
        <v>135912</v>
      </c>
      <c r="AB52" s="2299">
        <v>45122</v>
      </c>
      <c r="AC52" s="2299">
        <v>307101</v>
      </c>
      <c r="AD52" s="2299">
        <v>86875</v>
      </c>
      <c r="AE52" s="2299">
        <v>2145</v>
      </c>
      <c r="AF52" s="2299">
        <v>12718</v>
      </c>
      <c r="AG52" s="2299">
        <v>26</v>
      </c>
      <c r="AH52" s="2299">
        <v>37</v>
      </c>
      <c r="AI52" s="2299">
        <v>0</v>
      </c>
      <c r="AJ52" s="2299">
        <v>0</v>
      </c>
      <c r="AK52" s="2299">
        <v>53164</v>
      </c>
      <c r="AL52" s="2356">
        <v>16982</v>
      </c>
      <c r="AM52" s="2356">
        <v>60001</v>
      </c>
      <c r="AN52" s="2301">
        <f t="shared" ref="AN52" si="4">SUM(Y52:Z59)</f>
        <v>575010</v>
      </c>
      <c r="AO52" s="2318">
        <v>43101</v>
      </c>
      <c r="AP52" s="2318">
        <v>43465</v>
      </c>
      <c r="AQ52" s="2297" t="s">
        <v>107</v>
      </c>
      <c r="AR52" s="223"/>
      <c r="AS52" s="223"/>
      <c r="AT52" s="223"/>
      <c r="AU52" s="223"/>
    </row>
    <row r="53" spans="1:47" s="220" customFormat="1" ht="24.95" customHeight="1" x14ac:dyDescent="0.2">
      <c r="A53" s="203"/>
      <c r="B53" s="2303"/>
      <c r="C53" s="2303"/>
      <c r="D53" s="205"/>
      <c r="E53" s="2304"/>
      <c r="F53" s="2304"/>
      <c r="G53" s="205"/>
      <c r="H53" s="2304"/>
      <c r="I53" s="2305"/>
      <c r="J53" s="2307"/>
      <c r="K53" s="2309"/>
      <c r="L53" s="2327"/>
      <c r="M53" s="2332"/>
      <c r="N53" s="2327"/>
      <c r="O53" s="2307"/>
      <c r="P53" s="2309"/>
      <c r="Q53" s="2320"/>
      <c r="R53" s="2322"/>
      <c r="S53" s="2309"/>
      <c r="T53" s="2361"/>
      <c r="U53" s="2327"/>
      <c r="V53" s="2312"/>
      <c r="W53" s="2352"/>
      <c r="X53" s="2307"/>
      <c r="Y53" s="2356"/>
      <c r="Z53" s="2300"/>
      <c r="AA53" s="2300"/>
      <c r="AB53" s="2300"/>
      <c r="AC53" s="2300"/>
      <c r="AD53" s="2300"/>
      <c r="AE53" s="2300"/>
      <c r="AF53" s="2300"/>
      <c r="AG53" s="2300"/>
      <c r="AH53" s="2300"/>
      <c r="AI53" s="2300"/>
      <c r="AJ53" s="2300"/>
      <c r="AK53" s="2300"/>
      <c r="AL53" s="2356"/>
      <c r="AM53" s="2356"/>
      <c r="AN53" s="2302"/>
      <c r="AO53" s="2319"/>
      <c r="AP53" s="2319"/>
      <c r="AQ53" s="2298"/>
      <c r="AR53" s="223"/>
      <c r="AS53" s="223"/>
      <c r="AT53" s="223"/>
      <c r="AU53" s="223"/>
    </row>
    <row r="54" spans="1:47" s="220" customFormat="1" ht="99.75" customHeight="1" x14ac:dyDescent="0.2">
      <c r="A54" s="203"/>
      <c r="B54" s="204"/>
      <c r="C54" s="204"/>
      <c r="D54" s="205"/>
      <c r="E54" s="206"/>
      <c r="F54" s="206"/>
      <c r="G54" s="205"/>
      <c r="H54" s="206"/>
      <c r="I54" s="213"/>
      <c r="J54" s="2307"/>
      <c r="K54" s="2309"/>
      <c r="L54" s="2327"/>
      <c r="M54" s="2332"/>
      <c r="N54" s="2327"/>
      <c r="O54" s="2307"/>
      <c r="P54" s="2309"/>
      <c r="Q54" s="2320"/>
      <c r="R54" s="2322"/>
      <c r="S54" s="2309"/>
      <c r="T54" s="2361"/>
      <c r="U54" s="2099"/>
      <c r="V54" s="2313"/>
      <c r="W54" s="2352"/>
      <c r="X54" s="2307"/>
      <c r="Y54" s="2356"/>
      <c r="Z54" s="2300"/>
      <c r="AA54" s="2300"/>
      <c r="AB54" s="2300"/>
      <c r="AC54" s="2300"/>
      <c r="AD54" s="2300"/>
      <c r="AE54" s="2300"/>
      <c r="AF54" s="2300"/>
      <c r="AG54" s="2300"/>
      <c r="AH54" s="2300"/>
      <c r="AI54" s="2300"/>
      <c r="AJ54" s="2300"/>
      <c r="AK54" s="2300"/>
      <c r="AL54" s="2356"/>
      <c r="AM54" s="2356"/>
      <c r="AN54" s="2302"/>
      <c r="AO54" s="2319"/>
      <c r="AP54" s="2319"/>
      <c r="AQ54" s="2298"/>
      <c r="AR54" s="223"/>
      <c r="AS54" s="223"/>
      <c r="AT54" s="223"/>
      <c r="AU54" s="223"/>
    </row>
    <row r="55" spans="1:47" s="220" customFormat="1" ht="34.5" customHeight="1" x14ac:dyDescent="0.2">
      <c r="A55" s="203"/>
      <c r="B55" s="204"/>
      <c r="C55" s="204"/>
      <c r="D55" s="205"/>
      <c r="E55" s="206"/>
      <c r="F55" s="206"/>
      <c r="G55" s="205"/>
      <c r="H55" s="206"/>
      <c r="I55" s="213"/>
      <c r="J55" s="2307"/>
      <c r="K55" s="2309"/>
      <c r="L55" s="2327"/>
      <c r="M55" s="2332"/>
      <c r="N55" s="2327"/>
      <c r="O55" s="2307"/>
      <c r="P55" s="2309"/>
      <c r="Q55" s="2320"/>
      <c r="R55" s="2322"/>
      <c r="S55" s="2309"/>
      <c r="T55" s="2361"/>
      <c r="U55" s="2048" t="s">
        <v>162</v>
      </c>
      <c r="V55" s="2311">
        <v>100000000</v>
      </c>
      <c r="W55" s="2352"/>
      <c r="X55" s="2307"/>
      <c r="Y55" s="2356"/>
      <c r="Z55" s="2300"/>
      <c r="AA55" s="2300"/>
      <c r="AB55" s="2300"/>
      <c r="AC55" s="2300"/>
      <c r="AD55" s="2300"/>
      <c r="AE55" s="2300"/>
      <c r="AF55" s="2300"/>
      <c r="AG55" s="2300"/>
      <c r="AH55" s="2300"/>
      <c r="AI55" s="2300"/>
      <c r="AJ55" s="2300"/>
      <c r="AK55" s="2300"/>
      <c r="AL55" s="2356"/>
      <c r="AM55" s="2356"/>
      <c r="AN55" s="2302"/>
      <c r="AO55" s="2319"/>
      <c r="AP55" s="2319"/>
      <c r="AQ55" s="2298"/>
      <c r="AR55" s="223"/>
      <c r="AS55" s="223"/>
      <c r="AT55" s="223"/>
      <c r="AU55" s="223"/>
    </row>
    <row r="56" spans="1:47" s="220" customFormat="1" ht="24.95" customHeight="1" x14ac:dyDescent="0.2">
      <c r="A56" s="203"/>
      <c r="B56" s="204"/>
      <c r="C56" s="204"/>
      <c r="D56" s="205"/>
      <c r="E56" s="206"/>
      <c r="F56" s="206"/>
      <c r="G56" s="205"/>
      <c r="H56" s="206"/>
      <c r="I56" s="213"/>
      <c r="J56" s="2307"/>
      <c r="K56" s="2309"/>
      <c r="L56" s="2327"/>
      <c r="M56" s="2332"/>
      <c r="N56" s="2327"/>
      <c r="O56" s="2307"/>
      <c r="P56" s="2309"/>
      <c r="Q56" s="2320"/>
      <c r="R56" s="2322"/>
      <c r="S56" s="2309"/>
      <c r="T56" s="2362"/>
      <c r="U56" s="2048"/>
      <c r="V56" s="2313"/>
      <c r="W56" s="2352"/>
      <c r="X56" s="2307"/>
      <c r="Y56" s="2356"/>
      <c r="Z56" s="2300"/>
      <c r="AA56" s="2300"/>
      <c r="AB56" s="2300"/>
      <c r="AC56" s="2300"/>
      <c r="AD56" s="2300"/>
      <c r="AE56" s="2300"/>
      <c r="AF56" s="2300"/>
      <c r="AG56" s="2300"/>
      <c r="AH56" s="2300"/>
      <c r="AI56" s="2300"/>
      <c r="AJ56" s="2300"/>
      <c r="AK56" s="2300"/>
      <c r="AL56" s="2356"/>
      <c r="AM56" s="2356"/>
      <c r="AN56" s="2302"/>
      <c r="AO56" s="2319"/>
      <c r="AP56" s="2319"/>
      <c r="AQ56" s="2298"/>
      <c r="AR56" s="223"/>
      <c r="AS56" s="223"/>
      <c r="AT56" s="223"/>
      <c r="AU56" s="223"/>
    </row>
    <row r="57" spans="1:47" s="220" customFormat="1" ht="12" customHeight="1" x14ac:dyDescent="0.2">
      <c r="A57" s="203"/>
      <c r="B57" s="204"/>
      <c r="C57" s="204"/>
      <c r="D57" s="205"/>
      <c r="E57" s="206"/>
      <c r="F57" s="206"/>
      <c r="G57" s="205"/>
      <c r="H57" s="206"/>
      <c r="I57" s="213"/>
      <c r="J57" s="2307"/>
      <c r="K57" s="2309"/>
      <c r="L57" s="2327"/>
      <c r="M57" s="2332"/>
      <c r="N57" s="2327"/>
      <c r="O57" s="2307"/>
      <c r="P57" s="2309"/>
      <c r="Q57" s="2320"/>
      <c r="R57" s="2322"/>
      <c r="S57" s="2309"/>
      <c r="T57" s="2363" t="s">
        <v>163</v>
      </c>
      <c r="U57" s="2098" t="s">
        <v>164</v>
      </c>
      <c r="V57" s="2311">
        <v>100000000</v>
      </c>
      <c r="W57" s="2352"/>
      <c r="X57" s="2307"/>
      <c r="Y57" s="2356"/>
      <c r="Z57" s="2300"/>
      <c r="AA57" s="2300"/>
      <c r="AB57" s="2300"/>
      <c r="AC57" s="2300"/>
      <c r="AD57" s="2300"/>
      <c r="AE57" s="2300"/>
      <c r="AF57" s="2300"/>
      <c r="AG57" s="2300"/>
      <c r="AH57" s="2300"/>
      <c r="AI57" s="2300"/>
      <c r="AJ57" s="2300"/>
      <c r="AK57" s="2300"/>
      <c r="AL57" s="2356"/>
      <c r="AM57" s="2356"/>
      <c r="AN57" s="2302"/>
      <c r="AO57" s="2319"/>
      <c r="AP57" s="2319"/>
      <c r="AQ57" s="2298"/>
      <c r="AR57" s="223"/>
      <c r="AS57" s="223"/>
      <c r="AT57" s="223"/>
      <c r="AU57" s="223"/>
    </row>
    <row r="58" spans="1:47" s="220" customFormat="1" ht="24.95" customHeight="1" x14ac:dyDescent="0.2">
      <c r="A58" s="203"/>
      <c r="B58" s="2303"/>
      <c r="C58" s="2303"/>
      <c r="D58" s="205"/>
      <c r="E58" s="2304"/>
      <c r="F58" s="2304"/>
      <c r="G58" s="205"/>
      <c r="H58" s="2304"/>
      <c r="I58" s="2305"/>
      <c r="J58" s="2307"/>
      <c r="K58" s="2309"/>
      <c r="L58" s="2327"/>
      <c r="M58" s="2332"/>
      <c r="N58" s="2327"/>
      <c r="O58" s="2307"/>
      <c r="P58" s="2309"/>
      <c r="Q58" s="2320"/>
      <c r="R58" s="2322"/>
      <c r="S58" s="2309"/>
      <c r="T58" s="2364"/>
      <c r="U58" s="2327"/>
      <c r="V58" s="2312"/>
      <c r="W58" s="2352"/>
      <c r="X58" s="2307"/>
      <c r="Y58" s="2356"/>
      <c r="Z58" s="2300"/>
      <c r="AA58" s="2300"/>
      <c r="AB58" s="2300"/>
      <c r="AC58" s="2300"/>
      <c r="AD58" s="2300"/>
      <c r="AE58" s="2300"/>
      <c r="AF58" s="2300"/>
      <c r="AG58" s="2300"/>
      <c r="AH58" s="2300"/>
      <c r="AI58" s="2300"/>
      <c r="AJ58" s="2300"/>
      <c r="AK58" s="2300"/>
      <c r="AL58" s="2356"/>
      <c r="AM58" s="2356"/>
      <c r="AN58" s="2302"/>
      <c r="AO58" s="2319"/>
      <c r="AP58" s="2319"/>
      <c r="AQ58" s="2298"/>
      <c r="AR58" s="223"/>
      <c r="AS58" s="223"/>
      <c r="AT58" s="223"/>
      <c r="AU58" s="223"/>
    </row>
    <row r="59" spans="1:47" s="220" customFormat="1" ht="98.25" customHeight="1" x14ac:dyDescent="0.2">
      <c r="A59" s="224"/>
      <c r="B59" s="2357"/>
      <c r="C59" s="2357"/>
      <c r="D59" s="225"/>
      <c r="E59" s="2358"/>
      <c r="F59" s="2358"/>
      <c r="G59" s="225"/>
      <c r="H59" s="2358"/>
      <c r="I59" s="2359"/>
      <c r="J59" s="2317"/>
      <c r="K59" s="2310"/>
      <c r="L59" s="2099"/>
      <c r="M59" s="2333"/>
      <c r="N59" s="2099"/>
      <c r="O59" s="2317"/>
      <c r="P59" s="2310"/>
      <c r="Q59" s="2052"/>
      <c r="R59" s="2323"/>
      <c r="S59" s="2310"/>
      <c r="T59" s="2365"/>
      <c r="U59" s="2099"/>
      <c r="V59" s="2313"/>
      <c r="W59" s="2347"/>
      <c r="X59" s="2317"/>
      <c r="Y59" s="2356"/>
      <c r="Z59" s="2337"/>
      <c r="AA59" s="2337"/>
      <c r="AB59" s="2337"/>
      <c r="AC59" s="2337"/>
      <c r="AD59" s="2337"/>
      <c r="AE59" s="2337"/>
      <c r="AF59" s="2337"/>
      <c r="AG59" s="2337"/>
      <c r="AH59" s="2337"/>
      <c r="AI59" s="2337"/>
      <c r="AJ59" s="2337"/>
      <c r="AK59" s="2337"/>
      <c r="AL59" s="2356"/>
      <c r="AM59" s="2356"/>
      <c r="AN59" s="2338"/>
      <c r="AO59" s="2339"/>
      <c r="AP59" s="2339"/>
      <c r="AQ59" s="2355"/>
      <c r="AR59" s="223"/>
      <c r="AS59" s="223"/>
      <c r="AT59" s="223"/>
      <c r="AU59" s="223"/>
    </row>
    <row r="60" spans="1:47" ht="27" customHeight="1" x14ac:dyDescent="0.2">
      <c r="A60" s="226" t="s">
        <v>165</v>
      </c>
      <c r="B60" s="227" t="s">
        <v>166</v>
      </c>
      <c r="C60" s="227"/>
      <c r="D60" s="228"/>
      <c r="E60" s="228"/>
      <c r="F60" s="228"/>
      <c r="G60" s="229"/>
      <c r="H60" s="229"/>
      <c r="I60" s="229"/>
      <c r="J60" s="230"/>
      <c r="K60" s="229"/>
      <c r="L60" s="229"/>
      <c r="M60" s="229"/>
      <c r="N60" s="229"/>
      <c r="O60" s="231"/>
      <c r="P60" s="229"/>
      <c r="Q60" s="229"/>
      <c r="R60" s="232"/>
      <c r="S60" s="229"/>
      <c r="T60" s="229"/>
      <c r="U60" s="229"/>
      <c r="V60" s="233"/>
      <c r="W60" s="234"/>
      <c r="X60" s="235"/>
      <c r="Y60" s="236"/>
      <c r="Z60" s="237"/>
      <c r="AA60" s="237"/>
      <c r="AB60" s="237"/>
      <c r="AC60" s="237"/>
      <c r="AD60" s="237"/>
      <c r="AE60" s="237"/>
      <c r="AF60" s="237"/>
      <c r="AG60" s="237"/>
      <c r="AH60" s="237"/>
      <c r="AI60" s="237"/>
      <c r="AJ60" s="237"/>
      <c r="AK60" s="237"/>
      <c r="AL60" s="238"/>
      <c r="AM60" s="238"/>
      <c r="AN60" s="239"/>
      <c r="AO60" s="240"/>
      <c r="AP60" s="240"/>
      <c r="AQ60" s="241"/>
      <c r="AR60" s="242"/>
      <c r="AS60" s="242"/>
      <c r="AT60" s="242"/>
      <c r="AU60" s="242"/>
    </row>
    <row r="61" spans="1:47" ht="27" customHeight="1" x14ac:dyDescent="0.2">
      <c r="A61" s="2366" t="s">
        <v>167</v>
      </c>
      <c r="B61" s="2367"/>
      <c r="C61" s="2367"/>
      <c r="D61" s="243" t="s">
        <v>168</v>
      </c>
      <c r="E61" s="2368" t="s">
        <v>169</v>
      </c>
      <c r="F61" s="2368"/>
      <c r="G61" s="2368"/>
      <c r="H61" s="2368"/>
      <c r="I61" s="2368"/>
      <c r="J61" s="2368"/>
      <c r="K61" s="2368"/>
      <c r="L61" s="2368"/>
      <c r="M61" s="177"/>
      <c r="N61" s="177"/>
      <c r="O61" s="178"/>
      <c r="P61" s="177"/>
      <c r="Q61" s="177"/>
      <c r="R61" s="244"/>
      <c r="S61" s="177"/>
      <c r="T61" s="177"/>
      <c r="U61" s="177"/>
      <c r="V61" s="181"/>
      <c r="W61" s="245"/>
      <c r="X61" s="246"/>
      <c r="Y61" s="247"/>
      <c r="Z61" s="175"/>
      <c r="AA61" s="175"/>
      <c r="AB61" s="175"/>
      <c r="AC61" s="175"/>
      <c r="AD61" s="175"/>
      <c r="AE61" s="175"/>
      <c r="AF61" s="175"/>
      <c r="AG61" s="175"/>
      <c r="AH61" s="175"/>
      <c r="AI61" s="175"/>
      <c r="AJ61" s="175"/>
      <c r="AK61" s="175"/>
      <c r="AL61" s="183"/>
      <c r="AM61" s="183"/>
      <c r="AN61" s="248"/>
      <c r="AO61" s="249"/>
      <c r="AP61" s="249"/>
      <c r="AQ61" s="250"/>
      <c r="AR61" s="242"/>
      <c r="AS61" s="242"/>
      <c r="AT61" s="242"/>
      <c r="AU61" s="242"/>
    </row>
    <row r="62" spans="1:47" ht="27" customHeight="1" x14ac:dyDescent="0.2">
      <c r="A62" s="2366"/>
      <c r="B62" s="2367"/>
      <c r="C62" s="2367"/>
      <c r="D62" s="2335" t="s">
        <v>167</v>
      </c>
      <c r="E62" s="2335"/>
      <c r="F62" s="2335"/>
      <c r="G62" s="251" t="s">
        <v>170</v>
      </c>
      <c r="H62" s="2369" t="s">
        <v>171</v>
      </c>
      <c r="I62" s="2369"/>
      <c r="J62" s="2369"/>
      <c r="K62" s="2369"/>
      <c r="L62" s="2369"/>
      <c r="M62" s="2369"/>
      <c r="N62" s="2369"/>
      <c r="O62" s="194"/>
      <c r="P62" s="193"/>
      <c r="Q62" s="193"/>
      <c r="R62" s="252"/>
      <c r="S62" s="193"/>
      <c r="T62" s="193"/>
      <c r="U62" s="193"/>
      <c r="V62" s="197"/>
      <c r="W62" s="253"/>
      <c r="X62" s="254"/>
      <c r="Y62" s="255"/>
      <c r="Z62" s="200"/>
      <c r="AA62" s="200"/>
      <c r="AB62" s="200"/>
      <c r="AC62" s="200"/>
      <c r="AD62" s="200"/>
      <c r="AE62" s="200"/>
      <c r="AF62" s="200"/>
      <c r="AG62" s="200"/>
      <c r="AH62" s="200"/>
      <c r="AI62" s="200"/>
      <c r="AJ62" s="200"/>
      <c r="AK62" s="200"/>
      <c r="AL62" s="201"/>
      <c r="AM62" s="201"/>
      <c r="AN62" s="256"/>
      <c r="AO62" s="257"/>
      <c r="AP62" s="257"/>
      <c r="AQ62" s="258"/>
      <c r="AR62" s="242"/>
      <c r="AS62" s="242"/>
      <c r="AT62" s="242"/>
      <c r="AU62" s="242"/>
    </row>
    <row r="63" spans="1:47" ht="27" customHeight="1" x14ac:dyDescent="0.2">
      <c r="A63" s="2366"/>
      <c r="B63" s="2367"/>
      <c r="C63" s="2367"/>
      <c r="D63" s="2335"/>
      <c r="E63" s="2335"/>
      <c r="F63" s="2335"/>
      <c r="G63" s="2370" t="s">
        <v>167</v>
      </c>
      <c r="H63" s="2328"/>
      <c r="I63" s="2329"/>
      <c r="J63" s="2373">
        <v>54</v>
      </c>
      <c r="K63" s="2308" t="s">
        <v>172</v>
      </c>
      <c r="L63" s="2308" t="s">
        <v>173</v>
      </c>
      <c r="M63" s="2314">
        <v>130</v>
      </c>
      <c r="N63" s="259"/>
      <c r="O63" s="2314" t="s">
        <v>174</v>
      </c>
      <c r="P63" s="2308" t="s">
        <v>175</v>
      </c>
      <c r="Q63" s="2051">
        <f>SUM(V63:V66)/R63</f>
        <v>0.58730199399427818</v>
      </c>
      <c r="R63" s="2321">
        <f>SUM(V63:V72)</f>
        <v>6803780055</v>
      </c>
      <c r="S63" s="2335" t="s">
        <v>176</v>
      </c>
      <c r="T63" s="2308" t="s">
        <v>177</v>
      </c>
      <c r="U63" s="260" t="s">
        <v>178</v>
      </c>
      <c r="V63" s="261">
        <f>460916462+137083538</f>
        <v>598000000</v>
      </c>
      <c r="W63" s="2390">
        <v>23</v>
      </c>
      <c r="X63" s="2391" t="s">
        <v>179</v>
      </c>
      <c r="Y63" s="2376">
        <v>292684</v>
      </c>
      <c r="Z63" s="2376">
        <v>282326</v>
      </c>
      <c r="AA63" s="2379">
        <v>135912</v>
      </c>
      <c r="AB63" s="2379">
        <v>45122</v>
      </c>
      <c r="AC63" s="2379">
        <v>307101</v>
      </c>
      <c r="AD63" s="2379">
        <v>86875</v>
      </c>
      <c r="AE63" s="2379">
        <v>2145</v>
      </c>
      <c r="AF63" s="2379">
        <v>12718</v>
      </c>
      <c r="AG63" s="2379">
        <v>26</v>
      </c>
      <c r="AH63" s="2379">
        <v>37</v>
      </c>
      <c r="AI63" s="2379">
        <v>0</v>
      </c>
      <c r="AJ63" s="2379">
        <v>0</v>
      </c>
      <c r="AK63" s="2379">
        <v>53164</v>
      </c>
      <c r="AL63" s="2379">
        <v>16982</v>
      </c>
      <c r="AM63" s="2379">
        <v>60013</v>
      </c>
      <c r="AN63" s="2379">
        <f>SUM(Y63:Z72)</f>
        <v>575010</v>
      </c>
      <c r="AO63" s="2387">
        <v>43102</v>
      </c>
      <c r="AP63" s="2387">
        <v>43465</v>
      </c>
      <c r="AQ63" s="2297" t="s">
        <v>180</v>
      </c>
      <c r="AR63" s="242"/>
      <c r="AS63" s="242"/>
      <c r="AT63" s="242"/>
      <c r="AU63" s="242"/>
    </row>
    <row r="64" spans="1:47" ht="27" customHeight="1" x14ac:dyDescent="0.2">
      <c r="A64" s="2366"/>
      <c r="B64" s="2367"/>
      <c r="C64" s="2367"/>
      <c r="D64" s="2335"/>
      <c r="E64" s="2335"/>
      <c r="F64" s="2335"/>
      <c r="G64" s="2371"/>
      <c r="H64" s="2304"/>
      <c r="I64" s="2305"/>
      <c r="J64" s="2374"/>
      <c r="K64" s="2309"/>
      <c r="L64" s="2309"/>
      <c r="M64" s="2307"/>
      <c r="N64" s="262"/>
      <c r="O64" s="2307"/>
      <c r="P64" s="2309"/>
      <c r="Q64" s="2320"/>
      <c r="R64" s="2322"/>
      <c r="S64" s="2335"/>
      <c r="T64" s="2309"/>
      <c r="U64" s="260" t="s">
        <v>181</v>
      </c>
      <c r="V64" s="261">
        <f>107570000+18010000</f>
        <v>125580000</v>
      </c>
      <c r="W64" s="2383"/>
      <c r="X64" s="2382"/>
      <c r="Y64" s="2377"/>
      <c r="Z64" s="2377"/>
      <c r="AA64" s="2380"/>
      <c r="AB64" s="2380"/>
      <c r="AC64" s="2380"/>
      <c r="AD64" s="2380"/>
      <c r="AE64" s="2380"/>
      <c r="AF64" s="2380"/>
      <c r="AG64" s="2380"/>
      <c r="AH64" s="2380"/>
      <c r="AI64" s="2380"/>
      <c r="AJ64" s="2380"/>
      <c r="AK64" s="2380"/>
      <c r="AL64" s="2380"/>
      <c r="AM64" s="2380"/>
      <c r="AN64" s="2380"/>
      <c r="AO64" s="2388"/>
      <c r="AP64" s="2388"/>
      <c r="AQ64" s="2298"/>
      <c r="AR64" s="242"/>
      <c r="AS64" s="242"/>
      <c r="AT64" s="242"/>
      <c r="AU64" s="242"/>
    </row>
    <row r="65" spans="1:47" ht="40.5" customHeight="1" x14ac:dyDescent="0.2">
      <c r="A65" s="2366"/>
      <c r="B65" s="2367"/>
      <c r="C65" s="2367"/>
      <c r="D65" s="2335"/>
      <c r="E65" s="2335"/>
      <c r="F65" s="2335"/>
      <c r="G65" s="2371"/>
      <c r="H65" s="2304"/>
      <c r="I65" s="2305"/>
      <c r="J65" s="2374"/>
      <c r="K65" s="2309"/>
      <c r="L65" s="2309"/>
      <c r="M65" s="2307"/>
      <c r="N65" s="262" t="s">
        <v>182</v>
      </c>
      <c r="O65" s="2307"/>
      <c r="P65" s="2309"/>
      <c r="Q65" s="2320"/>
      <c r="R65" s="2322"/>
      <c r="S65" s="2335"/>
      <c r="T65" s="2309"/>
      <c r="U65" s="260" t="s">
        <v>183</v>
      </c>
      <c r="V65" s="261">
        <v>300000000</v>
      </c>
      <c r="W65" s="2383"/>
      <c r="X65" s="2382"/>
      <c r="Y65" s="2377"/>
      <c r="Z65" s="2377"/>
      <c r="AA65" s="2380"/>
      <c r="AB65" s="2380"/>
      <c r="AC65" s="2380"/>
      <c r="AD65" s="2380"/>
      <c r="AE65" s="2380"/>
      <c r="AF65" s="2380"/>
      <c r="AG65" s="2380"/>
      <c r="AH65" s="2380"/>
      <c r="AI65" s="2380"/>
      <c r="AJ65" s="2380"/>
      <c r="AK65" s="2380"/>
      <c r="AL65" s="2380"/>
      <c r="AM65" s="2380"/>
      <c r="AN65" s="2380"/>
      <c r="AO65" s="2388"/>
      <c r="AP65" s="2388"/>
      <c r="AQ65" s="2298"/>
      <c r="AR65" s="242"/>
      <c r="AS65" s="242"/>
      <c r="AT65" s="242"/>
      <c r="AU65" s="242"/>
    </row>
    <row r="66" spans="1:47" ht="36.75" customHeight="1" x14ac:dyDescent="0.2">
      <c r="A66" s="2366"/>
      <c r="B66" s="2367"/>
      <c r="C66" s="2367"/>
      <c r="D66" s="2335"/>
      <c r="E66" s="2335"/>
      <c r="F66" s="2335"/>
      <c r="G66" s="2371"/>
      <c r="H66" s="2304"/>
      <c r="I66" s="2305"/>
      <c r="J66" s="2374"/>
      <c r="K66" s="2309"/>
      <c r="L66" s="2309"/>
      <c r="M66" s="2307"/>
      <c r="N66" s="262"/>
      <c r="O66" s="2307"/>
      <c r="P66" s="2309"/>
      <c r="Q66" s="2320"/>
      <c r="R66" s="2322"/>
      <c r="S66" s="2335"/>
      <c r="T66" s="2309"/>
      <c r="U66" s="260" t="s">
        <v>184</v>
      </c>
      <c r="V66" s="261">
        <f>2400000000+72293593+500000000</f>
        <v>2972293593</v>
      </c>
      <c r="W66" s="2383"/>
      <c r="X66" s="2382"/>
      <c r="Y66" s="2377"/>
      <c r="Z66" s="2377"/>
      <c r="AA66" s="2380"/>
      <c r="AB66" s="2380"/>
      <c r="AC66" s="2380"/>
      <c r="AD66" s="2380"/>
      <c r="AE66" s="2380"/>
      <c r="AF66" s="2380"/>
      <c r="AG66" s="2380"/>
      <c r="AH66" s="2380"/>
      <c r="AI66" s="2380"/>
      <c r="AJ66" s="2380"/>
      <c r="AK66" s="2380"/>
      <c r="AL66" s="2380"/>
      <c r="AM66" s="2380"/>
      <c r="AN66" s="2380"/>
      <c r="AO66" s="2388"/>
      <c r="AP66" s="2388"/>
      <c r="AQ66" s="2298"/>
      <c r="AR66" s="242"/>
      <c r="AS66" s="242"/>
      <c r="AT66" s="242"/>
      <c r="AU66" s="242"/>
    </row>
    <row r="67" spans="1:47" ht="27" customHeight="1" x14ac:dyDescent="0.2">
      <c r="A67" s="2366"/>
      <c r="B67" s="2367"/>
      <c r="C67" s="2367"/>
      <c r="D67" s="2335"/>
      <c r="E67" s="2335"/>
      <c r="F67" s="2335"/>
      <c r="G67" s="2371"/>
      <c r="H67" s="2304"/>
      <c r="I67" s="2305"/>
      <c r="J67" s="2373">
        <v>55</v>
      </c>
      <c r="K67" s="2308" t="s">
        <v>185</v>
      </c>
      <c r="L67" s="2308" t="s">
        <v>186</v>
      </c>
      <c r="M67" s="2331">
        <v>12</v>
      </c>
      <c r="N67" s="262" t="s">
        <v>187</v>
      </c>
      <c r="O67" s="2307"/>
      <c r="P67" s="2309"/>
      <c r="Q67" s="2051">
        <f>SUM(V67:V70)/R63</f>
        <v>0.26983624502247378</v>
      </c>
      <c r="R67" s="2322"/>
      <c r="S67" s="2335"/>
      <c r="T67" s="2308" t="s">
        <v>188</v>
      </c>
      <c r="U67" s="260" t="s">
        <v>178</v>
      </c>
      <c r="V67" s="261">
        <f>410000000+20400000</f>
        <v>430400000</v>
      </c>
      <c r="W67" s="2383">
        <v>46</v>
      </c>
      <c r="X67" s="2382" t="s">
        <v>189</v>
      </c>
      <c r="Y67" s="2377"/>
      <c r="Z67" s="2377"/>
      <c r="AA67" s="2380"/>
      <c r="AB67" s="2380"/>
      <c r="AC67" s="2380"/>
      <c r="AD67" s="2380"/>
      <c r="AE67" s="2380"/>
      <c r="AF67" s="2380"/>
      <c r="AG67" s="2380"/>
      <c r="AH67" s="2380"/>
      <c r="AI67" s="2380"/>
      <c r="AJ67" s="2380"/>
      <c r="AK67" s="2380"/>
      <c r="AL67" s="2380"/>
      <c r="AM67" s="2380"/>
      <c r="AN67" s="2380"/>
      <c r="AO67" s="2388"/>
      <c r="AP67" s="2388"/>
      <c r="AQ67" s="2298"/>
      <c r="AR67" s="242"/>
      <c r="AS67" s="242"/>
      <c r="AT67" s="242"/>
      <c r="AU67" s="242"/>
    </row>
    <row r="68" spans="1:47" ht="27" customHeight="1" x14ac:dyDescent="0.2">
      <c r="A68" s="2366"/>
      <c r="B68" s="2367"/>
      <c r="C68" s="2367"/>
      <c r="D68" s="2335"/>
      <c r="E68" s="2335"/>
      <c r="F68" s="2335"/>
      <c r="G68" s="2371"/>
      <c r="H68" s="2304"/>
      <c r="I68" s="2305"/>
      <c r="J68" s="2374"/>
      <c r="K68" s="2309"/>
      <c r="L68" s="2309"/>
      <c r="M68" s="2332"/>
      <c r="N68" s="262"/>
      <c r="O68" s="2307"/>
      <c r="P68" s="2309"/>
      <c r="Q68" s="2320"/>
      <c r="R68" s="2322"/>
      <c r="S68" s="2335"/>
      <c r="T68" s="2309"/>
      <c r="U68" s="260" t="s">
        <v>190</v>
      </c>
      <c r="V68" s="261">
        <f>100023000-27783000</f>
        <v>72240000</v>
      </c>
      <c r="W68" s="2383"/>
      <c r="X68" s="2382"/>
      <c r="Y68" s="2377"/>
      <c r="Z68" s="2377"/>
      <c r="AA68" s="2380"/>
      <c r="AB68" s="2380"/>
      <c r="AC68" s="2380"/>
      <c r="AD68" s="2380"/>
      <c r="AE68" s="2380"/>
      <c r="AF68" s="2380"/>
      <c r="AG68" s="2380"/>
      <c r="AH68" s="2380"/>
      <c r="AI68" s="2380"/>
      <c r="AJ68" s="2380"/>
      <c r="AK68" s="2380"/>
      <c r="AL68" s="2380"/>
      <c r="AM68" s="2380"/>
      <c r="AN68" s="2380"/>
      <c r="AO68" s="2388"/>
      <c r="AP68" s="2388"/>
      <c r="AQ68" s="2298"/>
      <c r="AR68" s="242"/>
      <c r="AS68" s="242"/>
      <c r="AT68" s="242"/>
      <c r="AU68" s="242"/>
    </row>
    <row r="69" spans="1:47" ht="27" customHeight="1" x14ac:dyDescent="0.2">
      <c r="A69" s="2366"/>
      <c r="B69" s="2367"/>
      <c r="C69" s="2367"/>
      <c r="D69" s="2335"/>
      <c r="E69" s="2335"/>
      <c r="F69" s="2335"/>
      <c r="G69" s="2371"/>
      <c r="H69" s="2304"/>
      <c r="I69" s="2305"/>
      <c r="J69" s="2374"/>
      <c r="K69" s="2309"/>
      <c r="L69" s="2309"/>
      <c r="M69" s="2332"/>
      <c r="N69" s="262"/>
      <c r="O69" s="2307"/>
      <c r="P69" s="2309"/>
      <c r="Q69" s="2320"/>
      <c r="R69" s="2322"/>
      <c r="S69" s="2335"/>
      <c r="T69" s="2309"/>
      <c r="U69" s="260" t="s">
        <v>181</v>
      </c>
      <c r="V69" s="261">
        <f>646973000-52505000</f>
        <v>594468000</v>
      </c>
      <c r="W69" s="2383">
        <v>88</v>
      </c>
      <c r="X69" s="2382" t="s">
        <v>191</v>
      </c>
      <c r="Y69" s="2377"/>
      <c r="Z69" s="2377"/>
      <c r="AA69" s="2380"/>
      <c r="AB69" s="2380"/>
      <c r="AC69" s="2380"/>
      <c r="AD69" s="2380"/>
      <c r="AE69" s="2380"/>
      <c r="AF69" s="2380"/>
      <c r="AG69" s="2380"/>
      <c r="AH69" s="2380"/>
      <c r="AI69" s="2380"/>
      <c r="AJ69" s="2380"/>
      <c r="AK69" s="2380"/>
      <c r="AL69" s="2380"/>
      <c r="AM69" s="2380"/>
      <c r="AN69" s="2380"/>
      <c r="AO69" s="2388"/>
      <c r="AP69" s="2388"/>
      <c r="AQ69" s="2298"/>
      <c r="AR69" s="242"/>
      <c r="AS69" s="242"/>
      <c r="AT69" s="242"/>
      <c r="AU69" s="242"/>
    </row>
    <row r="70" spans="1:47" ht="27" customHeight="1" x14ac:dyDescent="0.2">
      <c r="A70" s="2366"/>
      <c r="B70" s="2367"/>
      <c r="C70" s="2367"/>
      <c r="D70" s="2335"/>
      <c r="E70" s="2335"/>
      <c r="F70" s="2335"/>
      <c r="G70" s="2371"/>
      <c r="H70" s="2304"/>
      <c r="I70" s="2305"/>
      <c r="J70" s="2375"/>
      <c r="K70" s="2309"/>
      <c r="L70" s="2309"/>
      <c r="M70" s="2332"/>
      <c r="N70" s="262" t="s">
        <v>192</v>
      </c>
      <c r="O70" s="2307"/>
      <c r="P70" s="2309"/>
      <c r="Q70" s="2320"/>
      <c r="R70" s="2322"/>
      <c r="S70" s="2335"/>
      <c r="T70" s="2309"/>
      <c r="U70" s="263" t="s">
        <v>184</v>
      </c>
      <c r="V70" s="264">
        <f>354004000+384794462</f>
        <v>738798462</v>
      </c>
      <c r="W70" s="2383"/>
      <c r="X70" s="2382"/>
      <c r="Y70" s="2377"/>
      <c r="Z70" s="2377"/>
      <c r="AA70" s="2380"/>
      <c r="AB70" s="2380"/>
      <c r="AC70" s="2380"/>
      <c r="AD70" s="2380"/>
      <c r="AE70" s="2380"/>
      <c r="AF70" s="2380"/>
      <c r="AG70" s="2380"/>
      <c r="AH70" s="2380"/>
      <c r="AI70" s="2380"/>
      <c r="AJ70" s="2380"/>
      <c r="AK70" s="2380"/>
      <c r="AL70" s="2380"/>
      <c r="AM70" s="2380"/>
      <c r="AN70" s="2380"/>
      <c r="AO70" s="2388"/>
      <c r="AP70" s="2388"/>
      <c r="AQ70" s="2298"/>
      <c r="AR70" s="242"/>
      <c r="AS70" s="242"/>
      <c r="AT70" s="242"/>
      <c r="AU70" s="242"/>
    </row>
    <row r="71" spans="1:47" ht="63" customHeight="1" x14ac:dyDescent="0.2">
      <c r="A71" s="2366"/>
      <c r="B71" s="2367"/>
      <c r="C71" s="2367"/>
      <c r="D71" s="2335"/>
      <c r="E71" s="2335"/>
      <c r="F71" s="2335"/>
      <c r="G71" s="2371"/>
      <c r="H71" s="2304"/>
      <c r="I71" s="2305"/>
      <c r="J71" s="2374">
        <v>56</v>
      </c>
      <c r="K71" s="2308" t="s">
        <v>193</v>
      </c>
      <c r="L71" s="2308" t="s">
        <v>194</v>
      </c>
      <c r="M71" s="2331">
        <v>2</v>
      </c>
      <c r="N71" s="262" t="s">
        <v>195</v>
      </c>
      <c r="O71" s="2307"/>
      <c r="P71" s="2309"/>
      <c r="Q71" s="2051">
        <f>SUM(V71:V72)/R63</f>
        <v>0.14286176098324802</v>
      </c>
      <c r="R71" s="2322"/>
      <c r="S71" s="2335"/>
      <c r="T71" s="2308" t="s">
        <v>196</v>
      </c>
      <c r="U71" s="260" t="s">
        <v>197</v>
      </c>
      <c r="V71" s="261">
        <f>750000000+49839592+22160408</f>
        <v>822000000</v>
      </c>
      <c r="W71" s="2383">
        <v>89</v>
      </c>
      <c r="X71" s="2384" t="s">
        <v>198</v>
      </c>
      <c r="Y71" s="2377"/>
      <c r="Z71" s="2377"/>
      <c r="AA71" s="2380"/>
      <c r="AB71" s="2380"/>
      <c r="AC71" s="2380"/>
      <c r="AD71" s="2380"/>
      <c r="AE71" s="2380"/>
      <c r="AF71" s="2380"/>
      <c r="AG71" s="2380"/>
      <c r="AH71" s="2380"/>
      <c r="AI71" s="2380"/>
      <c r="AJ71" s="2380"/>
      <c r="AK71" s="2380"/>
      <c r="AL71" s="2380"/>
      <c r="AM71" s="2380"/>
      <c r="AN71" s="2380"/>
      <c r="AO71" s="2388"/>
      <c r="AP71" s="2388"/>
      <c r="AQ71" s="2298"/>
      <c r="AR71" s="242"/>
      <c r="AS71" s="242"/>
      <c r="AT71" s="242"/>
      <c r="AU71" s="242"/>
    </row>
    <row r="72" spans="1:47" ht="57" customHeight="1" x14ac:dyDescent="0.2">
      <c r="A72" s="2366"/>
      <c r="B72" s="2367"/>
      <c r="C72" s="2367"/>
      <c r="D72" s="2335"/>
      <c r="E72" s="2335"/>
      <c r="F72" s="2335"/>
      <c r="G72" s="2372"/>
      <c r="H72" s="2358"/>
      <c r="I72" s="2359"/>
      <c r="J72" s="2375"/>
      <c r="K72" s="2310"/>
      <c r="L72" s="2310"/>
      <c r="M72" s="2333"/>
      <c r="N72" s="262"/>
      <c r="O72" s="2307"/>
      <c r="P72" s="2309"/>
      <c r="Q72" s="2052"/>
      <c r="R72" s="2323"/>
      <c r="S72" s="2335"/>
      <c r="T72" s="2310"/>
      <c r="U72" s="260" t="s">
        <v>199</v>
      </c>
      <c r="V72" s="265">
        <v>150000000</v>
      </c>
      <c r="W72" s="2386"/>
      <c r="X72" s="2385"/>
      <c r="Y72" s="2378"/>
      <c r="Z72" s="2378"/>
      <c r="AA72" s="2381"/>
      <c r="AB72" s="2381"/>
      <c r="AC72" s="2381"/>
      <c r="AD72" s="2381"/>
      <c r="AE72" s="2381"/>
      <c r="AF72" s="2381"/>
      <c r="AG72" s="2381"/>
      <c r="AH72" s="2381"/>
      <c r="AI72" s="2381"/>
      <c r="AJ72" s="2381"/>
      <c r="AK72" s="2381"/>
      <c r="AL72" s="2381"/>
      <c r="AM72" s="2381"/>
      <c r="AN72" s="2381"/>
      <c r="AO72" s="2389"/>
      <c r="AP72" s="2388"/>
      <c r="AQ72" s="2355"/>
      <c r="AR72" s="242"/>
      <c r="AS72" s="242"/>
      <c r="AT72" s="242"/>
      <c r="AU72" s="242"/>
    </row>
    <row r="73" spans="1:47" ht="27" customHeight="1" x14ac:dyDescent="0.2">
      <c r="A73" s="266"/>
      <c r="B73" s="267"/>
      <c r="C73" s="268"/>
      <c r="D73" s="2370"/>
      <c r="E73" s="2328"/>
      <c r="F73" s="2329"/>
      <c r="G73" s="269" t="s">
        <v>200</v>
      </c>
      <c r="H73" s="270" t="s">
        <v>201</v>
      </c>
      <c r="I73" s="200"/>
      <c r="J73" s="200"/>
      <c r="K73" s="200"/>
      <c r="L73" s="200"/>
      <c r="M73" s="194"/>
      <c r="N73" s="193"/>
      <c r="O73" s="194"/>
      <c r="P73" s="193"/>
      <c r="Q73" s="193"/>
      <c r="R73" s="252"/>
      <c r="S73" s="193"/>
      <c r="T73" s="193"/>
      <c r="U73" s="199"/>
      <c r="V73" s="271"/>
      <c r="W73" s="272"/>
      <c r="X73" s="273"/>
      <c r="Y73" s="272"/>
      <c r="Z73" s="191"/>
      <c r="AA73" s="191"/>
      <c r="AB73" s="191"/>
      <c r="AC73" s="191"/>
      <c r="AD73" s="191"/>
      <c r="AE73" s="191"/>
      <c r="AF73" s="191"/>
      <c r="AG73" s="191"/>
      <c r="AH73" s="191"/>
      <c r="AI73" s="191"/>
      <c r="AJ73" s="191"/>
      <c r="AK73" s="191"/>
      <c r="AL73" s="191"/>
      <c r="AM73" s="191"/>
      <c r="AN73" s="191"/>
      <c r="AO73" s="191"/>
      <c r="AP73" s="191"/>
      <c r="AQ73" s="274"/>
      <c r="AR73" s="242"/>
      <c r="AS73" s="242"/>
      <c r="AT73" s="242"/>
      <c r="AU73" s="242"/>
    </row>
    <row r="74" spans="1:47" ht="30" x14ac:dyDescent="0.2">
      <c r="A74" s="266"/>
      <c r="B74" s="275"/>
      <c r="C74" s="276"/>
      <c r="D74" s="2371"/>
      <c r="E74" s="2304"/>
      <c r="F74" s="2305"/>
      <c r="G74" s="2370"/>
      <c r="H74" s="2328"/>
      <c r="I74" s="2329"/>
      <c r="J74" s="2331">
        <v>57</v>
      </c>
      <c r="K74" s="2308" t="s">
        <v>202</v>
      </c>
      <c r="L74" s="2308" t="s">
        <v>203</v>
      </c>
      <c r="M74" s="2314">
        <v>12</v>
      </c>
      <c r="N74" s="259"/>
      <c r="O74" s="2314" t="s">
        <v>204</v>
      </c>
      <c r="P74" s="2308" t="s">
        <v>205</v>
      </c>
      <c r="Q74" s="2395">
        <f>SUM(V74:V79)/R74</f>
        <v>0.27087261091742804</v>
      </c>
      <c r="R74" s="2321">
        <f>SUM(V74:V103)</f>
        <v>24146757861</v>
      </c>
      <c r="S74" s="2308" t="s">
        <v>206</v>
      </c>
      <c r="T74" s="2308" t="s">
        <v>207</v>
      </c>
      <c r="U74" s="260" t="s">
        <v>178</v>
      </c>
      <c r="V74" s="261">
        <f>70000000+205000000</f>
        <v>275000000</v>
      </c>
      <c r="W74" s="277"/>
      <c r="X74" s="278"/>
      <c r="Y74" s="2401">
        <v>292684</v>
      </c>
      <c r="Z74" s="2394">
        <v>282326</v>
      </c>
      <c r="AA74" s="2392">
        <v>135912</v>
      </c>
      <c r="AB74" s="2394">
        <v>45122</v>
      </c>
      <c r="AC74" s="2394">
        <v>307101</v>
      </c>
      <c r="AD74" s="2394">
        <v>86875</v>
      </c>
      <c r="AE74" s="2404">
        <v>2145</v>
      </c>
      <c r="AF74" s="2394">
        <v>12718</v>
      </c>
      <c r="AG74" s="2407">
        <v>26</v>
      </c>
      <c r="AH74" s="2394">
        <v>37</v>
      </c>
      <c r="AI74" s="2394">
        <v>0</v>
      </c>
      <c r="AJ74" s="2394">
        <v>0</v>
      </c>
      <c r="AK74" s="2401">
        <v>53164</v>
      </c>
      <c r="AL74" s="2401">
        <v>16982</v>
      </c>
      <c r="AM74" s="2340">
        <v>60013</v>
      </c>
      <c r="AN74" s="2340">
        <f>SUM(Y74:Z103)</f>
        <v>575010</v>
      </c>
      <c r="AO74" s="2403">
        <v>43102</v>
      </c>
      <c r="AP74" s="2403">
        <v>43465</v>
      </c>
      <c r="AQ74" s="2399" t="s">
        <v>180</v>
      </c>
      <c r="AR74" s="242"/>
      <c r="AS74" s="242"/>
      <c r="AT74" s="242"/>
      <c r="AU74" s="242"/>
    </row>
    <row r="75" spans="1:47" ht="27" customHeight="1" x14ac:dyDescent="0.2">
      <c r="A75" s="266"/>
      <c r="B75" s="275"/>
      <c r="C75" s="276"/>
      <c r="D75" s="2371"/>
      <c r="E75" s="2304"/>
      <c r="F75" s="2305"/>
      <c r="G75" s="2371"/>
      <c r="H75" s="2304"/>
      <c r="I75" s="2305"/>
      <c r="J75" s="2332"/>
      <c r="K75" s="2309"/>
      <c r="L75" s="2309"/>
      <c r="M75" s="2307"/>
      <c r="N75" s="262"/>
      <c r="O75" s="2307"/>
      <c r="P75" s="2309"/>
      <c r="Q75" s="2396"/>
      <c r="R75" s="2322"/>
      <c r="S75" s="2309"/>
      <c r="T75" s="2309"/>
      <c r="U75" s="260" t="s">
        <v>190</v>
      </c>
      <c r="V75" s="261">
        <f>126420000-27720000</f>
        <v>98700000</v>
      </c>
      <c r="W75" s="279"/>
      <c r="X75" s="280"/>
      <c r="Y75" s="2401"/>
      <c r="Z75" s="2394"/>
      <c r="AA75" s="2392"/>
      <c r="AB75" s="2394"/>
      <c r="AC75" s="2394"/>
      <c r="AD75" s="2394"/>
      <c r="AE75" s="2404"/>
      <c r="AF75" s="2394"/>
      <c r="AG75" s="2407"/>
      <c r="AH75" s="2394"/>
      <c r="AI75" s="2394"/>
      <c r="AJ75" s="2394"/>
      <c r="AK75" s="2401"/>
      <c r="AL75" s="2401"/>
      <c r="AM75" s="2340"/>
      <c r="AN75" s="2340"/>
      <c r="AO75" s="2403"/>
      <c r="AP75" s="2403"/>
      <c r="AQ75" s="2399"/>
      <c r="AR75" s="242"/>
      <c r="AS75" s="242"/>
      <c r="AT75" s="242"/>
      <c r="AU75" s="242"/>
    </row>
    <row r="76" spans="1:47" ht="27" customHeight="1" x14ac:dyDescent="0.2">
      <c r="A76" s="266"/>
      <c r="B76" s="275"/>
      <c r="C76" s="276"/>
      <c r="D76" s="2371"/>
      <c r="E76" s="2304"/>
      <c r="F76" s="2305"/>
      <c r="G76" s="2371"/>
      <c r="H76" s="2304"/>
      <c r="I76" s="2305"/>
      <c r="J76" s="2332"/>
      <c r="K76" s="2309"/>
      <c r="L76" s="2309"/>
      <c r="M76" s="2307"/>
      <c r="N76" s="262"/>
      <c r="O76" s="2307"/>
      <c r="P76" s="2309"/>
      <c r="Q76" s="2396"/>
      <c r="R76" s="2322"/>
      <c r="S76" s="2309"/>
      <c r="T76" s="2309"/>
      <c r="U76" s="260" t="s">
        <v>181</v>
      </c>
      <c r="V76" s="261">
        <f>474800000+450060000</f>
        <v>924860000</v>
      </c>
      <c r="W76" s="279"/>
      <c r="X76" s="280"/>
      <c r="Y76" s="2401"/>
      <c r="Z76" s="2394"/>
      <c r="AA76" s="2392"/>
      <c r="AB76" s="2394"/>
      <c r="AC76" s="2394"/>
      <c r="AD76" s="2394"/>
      <c r="AE76" s="2404"/>
      <c r="AF76" s="2394"/>
      <c r="AG76" s="2407"/>
      <c r="AH76" s="2394"/>
      <c r="AI76" s="2394"/>
      <c r="AJ76" s="2394"/>
      <c r="AK76" s="2401"/>
      <c r="AL76" s="2401"/>
      <c r="AM76" s="2340"/>
      <c r="AN76" s="2340"/>
      <c r="AO76" s="2403"/>
      <c r="AP76" s="2403"/>
      <c r="AQ76" s="2399"/>
      <c r="AR76" s="242"/>
      <c r="AS76" s="242"/>
      <c r="AT76" s="242"/>
      <c r="AU76" s="242"/>
    </row>
    <row r="77" spans="1:47" ht="27" customHeight="1" x14ac:dyDescent="0.2">
      <c r="A77" s="266"/>
      <c r="B77" s="275"/>
      <c r="C77" s="276"/>
      <c r="D77" s="2371"/>
      <c r="E77" s="2304"/>
      <c r="F77" s="2305"/>
      <c r="G77" s="2371"/>
      <c r="H77" s="2304"/>
      <c r="I77" s="2305"/>
      <c r="J77" s="2332"/>
      <c r="K77" s="2309"/>
      <c r="L77" s="2309"/>
      <c r="M77" s="2307"/>
      <c r="N77" s="262"/>
      <c r="O77" s="2307"/>
      <c r="P77" s="2309"/>
      <c r="Q77" s="2396"/>
      <c r="R77" s="2322"/>
      <c r="S77" s="2309"/>
      <c r="T77" s="2309"/>
      <c r="U77" s="260" t="s">
        <v>208</v>
      </c>
      <c r="V77" s="261">
        <f>500000000+999624065-500000000</f>
        <v>999624065</v>
      </c>
      <c r="W77" s="279"/>
      <c r="X77" s="280"/>
      <c r="Y77" s="2401"/>
      <c r="Z77" s="2394"/>
      <c r="AA77" s="2392"/>
      <c r="AB77" s="2394"/>
      <c r="AC77" s="2394"/>
      <c r="AD77" s="2394"/>
      <c r="AE77" s="2404"/>
      <c r="AF77" s="2394"/>
      <c r="AG77" s="2407"/>
      <c r="AH77" s="2394"/>
      <c r="AI77" s="2394"/>
      <c r="AJ77" s="2394"/>
      <c r="AK77" s="2401"/>
      <c r="AL77" s="2401"/>
      <c r="AM77" s="2340"/>
      <c r="AN77" s="2340"/>
      <c r="AO77" s="2403"/>
      <c r="AP77" s="2403"/>
      <c r="AQ77" s="2399"/>
      <c r="AR77" s="242"/>
      <c r="AS77" s="242"/>
      <c r="AT77" s="242"/>
      <c r="AU77" s="242"/>
    </row>
    <row r="78" spans="1:47" ht="27" customHeight="1" x14ac:dyDescent="0.2">
      <c r="A78" s="266"/>
      <c r="B78" s="275"/>
      <c r="C78" s="276"/>
      <c r="D78" s="2371"/>
      <c r="E78" s="2304"/>
      <c r="F78" s="2305"/>
      <c r="G78" s="2371"/>
      <c r="H78" s="2304"/>
      <c r="I78" s="2305"/>
      <c r="J78" s="2332"/>
      <c r="K78" s="2309"/>
      <c r="L78" s="2309"/>
      <c r="M78" s="2307"/>
      <c r="N78" s="262"/>
      <c r="O78" s="2307"/>
      <c r="P78" s="2309"/>
      <c r="Q78" s="2396"/>
      <c r="R78" s="2322"/>
      <c r="S78" s="2309"/>
      <c r="T78" s="2309"/>
      <c r="U78" s="260" t="s">
        <v>199</v>
      </c>
      <c r="V78" s="261">
        <f>100000000+84912000-100000000</f>
        <v>84912000</v>
      </c>
      <c r="W78" s="279"/>
      <c r="X78" s="280"/>
      <c r="Y78" s="2401"/>
      <c r="Z78" s="2394"/>
      <c r="AA78" s="2392"/>
      <c r="AB78" s="2394"/>
      <c r="AC78" s="2394"/>
      <c r="AD78" s="2394"/>
      <c r="AE78" s="2404"/>
      <c r="AF78" s="2394"/>
      <c r="AG78" s="2407"/>
      <c r="AH78" s="2394"/>
      <c r="AI78" s="2394"/>
      <c r="AJ78" s="2394"/>
      <c r="AK78" s="2401"/>
      <c r="AL78" s="2401"/>
      <c r="AM78" s="2340"/>
      <c r="AN78" s="2340"/>
      <c r="AO78" s="2403"/>
      <c r="AP78" s="2403"/>
      <c r="AQ78" s="2399"/>
      <c r="AR78" s="242"/>
      <c r="AS78" s="242"/>
      <c r="AT78" s="242"/>
      <c r="AU78" s="242"/>
    </row>
    <row r="79" spans="1:47" ht="27" customHeight="1" x14ac:dyDescent="0.2">
      <c r="A79" s="266"/>
      <c r="B79" s="275"/>
      <c r="C79" s="276"/>
      <c r="D79" s="2371"/>
      <c r="E79" s="2304"/>
      <c r="F79" s="2305"/>
      <c r="G79" s="2371"/>
      <c r="H79" s="2304"/>
      <c r="I79" s="2305"/>
      <c r="J79" s="2333"/>
      <c r="K79" s="2310"/>
      <c r="L79" s="2310"/>
      <c r="M79" s="2317"/>
      <c r="N79" s="262"/>
      <c r="O79" s="2307"/>
      <c r="P79" s="2309"/>
      <c r="Q79" s="2397"/>
      <c r="R79" s="2322"/>
      <c r="S79" s="2309"/>
      <c r="T79" s="2309"/>
      <c r="U79" s="260" t="s">
        <v>184</v>
      </c>
      <c r="V79" s="261">
        <f>2878780000+1306159282-27340000</f>
        <v>4157599282</v>
      </c>
      <c r="W79" s="279"/>
      <c r="X79" s="280"/>
      <c r="Y79" s="2401"/>
      <c r="Z79" s="2394"/>
      <c r="AA79" s="2392"/>
      <c r="AB79" s="2394"/>
      <c r="AC79" s="2394"/>
      <c r="AD79" s="2394"/>
      <c r="AE79" s="2404"/>
      <c r="AF79" s="2394"/>
      <c r="AG79" s="2407"/>
      <c r="AH79" s="2394"/>
      <c r="AI79" s="2394"/>
      <c r="AJ79" s="2394"/>
      <c r="AK79" s="2401"/>
      <c r="AL79" s="2401"/>
      <c r="AM79" s="2340"/>
      <c r="AN79" s="2340"/>
      <c r="AO79" s="2403"/>
      <c r="AP79" s="2403"/>
      <c r="AQ79" s="2399"/>
      <c r="AR79" s="242"/>
      <c r="AS79" s="242"/>
      <c r="AT79" s="242"/>
      <c r="AU79" s="242"/>
    </row>
    <row r="80" spans="1:47" ht="22.5" customHeight="1" x14ac:dyDescent="0.2">
      <c r="A80" s="266"/>
      <c r="B80" s="275"/>
      <c r="C80" s="276"/>
      <c r="D80" s="2371"/>
      <c r="E80" s="2304"/>
      <c r="F80" s="2305"/>
      <c r="G80" s="2371"/>
      <c r="H80" s="2304"/>
      <c r="I80" s="2305"/>
      <c r="J80" s="2331">
        <v>58</v>
      </c>
      <c r="K80" s="2098" t="s">
        <v>209</v>
      </c>
      <c r="L80" s="2098" t="s">
        <v>210</v>
      </c>
      <c r="M80" s="2331">
        <v>2</v>
      </c>
      <c r="N80" s="262"/>
      <c r="O80" s="2307"/>
      <c r="P80" s="2309"/>
      <c r="Q80" s="2395">
        <f>SUM(V80:V83)/R74</f>
        <v>0.22363250715002481</v>
      </c>
      <c r="R80" s="2322"/>
      <c r="S80" s="2309"/>
      <c r="T80" s="2309"/>
      <c r="U80" s="260" t="s">
        <v>197</v>
      </c>
      <c r="V80" s="261">
        <v>540000000</v>
      </c>
      <c r="W80" s="281"/>
      <c r="X80" s="280"/>
      <c r="Y80" s="2401"/>
      <c r="Z80" s="2394"/>
      <c r="AA80" s="2392"/>
      <c r="AB80" s="2394"/>
      <c r="AC80" s="2394"/>
      <c r="AD80" s="2394"/>
      <c r="AE80" s="2404"/>
      <c r="AF80" s="2394"/>
      <c r="AG80" s="2407"/>
      <c r="AH80" s="2394"/>
      <c r="AI80" s="2394"/>
      <c r="AJ80" s="2394"/>
      <c r="AK80" s="2401"/>
      <c r="AL80" s="2401"/>
      <c r="AM80" s="2340"/>
      <c r="AN80" s="2340"/>
      <c r="AO80" s="2403"/>
      <c r="AP80" s="2403"/>
      <c r="AQ80" s="2399"/>
      <c r="AR80" s="242"/>
      <c r="AS80" s="242"/>
      <c r="AT80" s="242"/>
      <c r="AU80" s="242"/>
    </row>
    <row r="81" spans="1:47" ht="24.75" customHeight="1" x14ac:dyDescent="0.2">
      <c r="A81" s="266"/>
      <c r="B81" s="275"/>
      <c r="C81" s="276"/>
      <c r="D81" s="2371"/>
      <c r="E81" s="2304"/>
      <c r="F81" s="2305"/>
      <c r="G81" s="2371"/>
      <c r="H81" s="2304"/>
      <c r="I81" s="2305"/>
      <c r="J81" s="2332"/>
      <c r="K81" s="2327"/>
      <c r="L81" s="2327"/>
      <c r="M81" s="2332"/>
      <c r="N81" s="262"/>
      <c r="O81" s="2307"/>
      <c r="P81" s="2309"/>
      <c r="Q81" s="2396"/>
      <c r="R81" s="2322"/>
      <c r="S81" s="2309"/>
      <c r="T81" s="2309"/>
      <c r="U81" s="260" t="s">
        <v>199</v>
      </c>
      <c r="V81" s="261">
        <f>940000000-60000000</f>
        <v>880000000</v>
      </c>
      <c r="W81" s="281"/>
      <c r="X81" s="280"/>
      <c r="Y81" s="2401"/>
      <c r="Z81" s="2394"/>
      <c r="AA81" s="2392"/>
      <c r="AB81" s="2394"/>
      <c r="AC81" s="2394"/>
      <c r="AD81" s="2394"/>
      <c r="AE81" s="2404"/>
      <c r="AF81" s="2394"/>
      <c r="AG81" s="2407"/>
      <c r="AH81" s="2394"/>
      <c r="AI81" s="2394"/>
      <c r="AJ81" s="2394"/>
      <c r="AK81" s="2401"/>
      <c r="AL81" s="2401"/>
      <c r="AM81" s="2340"/>
      <c r="AN81" s="2340"/>
      <c r="AO81" s="2403"/>
      <c r="AP81" s="2403"/>
      <c r="AQ81" s="2399"/>
      <c r="AR81" s="242"/>
      <c r="AS81" s="242"/>
      <c r="AT81" s="242"/>
      <c r="AU81" s="242"/>
    </row>
    <row r="82" spans="1:47" ht="27" customHeight="1" x14ac:dyDescent="0.2">
      <c r="A82" s="266"/>
      <c r="B82" s="275"/>
      <c r="C82" s="276"/>
      <c r="D82" s="2371"/>
      <c r="E82" s="2304"/>
      <c r="F82" s="2305"/>
      <c r="G82" s="2371"/>
      <c r="H82" s="2304"/>
      <c r="I82" s="2305"/>
      <c r="J82" s="2332"/>
      <c r="K82" s="2327"/>
      <c r="L82" s="2327"/>
      <c r="M82" s="2332"/>
      <c r="N82" s="262"/>
      <c r="O82" s="2307"/>
      <c r="P82" s="2309"/>
      <c r="Q82" s="2396"/>
      <c r="R82" s="2322"/>
      <c r="S82" s="2309"/>
      <c r="T82" s="2309"/>
      <c r="U82" s="260" t="s">
        <v>211</v>
      </c>
      <c r="V82" s="261">
        <v>400000000</v>
      </c>
      <c r="W82" s="281"/>
      <c r="X82" s="280"/>
      <c r="Y82" s="2401"/>
      <c r="Z82" s="2394"/>
      <c r="AA82" s="2392"/>
      <c r="AB82" s="2394"/>
      <c r="AC82" s="2394"/>
      <c r="AD82" s="2394"/>
      <c r="AE82" s="2404"/>
      <c r="AF82" s="2394"/>
      <c r="AG82" s="2407"/>
      <c r="AH82" s="2394"/>
      <c r="AI82" s="2394"/>
      <c r="AJ82" s="2394"/>
      <c r="AK82" s="2401"/>
      <c r="AL82" s="2401"/>
      <c r="AM82" s="2340"/>
      <c r="AN82" s="2340"/>
      <c r="AO82" s="2403"/>
      <c r="AP82" s="2403"/>
      <c r="AQ82" s="2399"/>
      <c r="AR82" s="242"/>
      <c r="AS82" s="242"/>
      <c r="AT82" s="242"/>
      <c r="AU82" s="242"/>
    </row>
    <row r="83" spans="1:47" ht="18.75" customHeight="1" x14ac:dyDescent="0.2">
      <c r="A83" s="266"/>
      <c r="B83" s="275"/>
      <c r="C83" s="276"/>
      <c r="D83" s="2371"/>
      <c r="E83" s="2304"/>
      <c r="F83" s="2305"/>
      <c r="G83" s="2371"/>
      <c r="H83" s="2304"/>
      <c r="I83" s="2305"/>
      <c r="J83" s="2333"/>
      <c r="K83" s="2099"/>
      <c r="L83" s="2099"/>
      <c r="M83" s="2333"/>
      <c r="N83" s="262"/>
      <c r="O83" s="2307"/>
      <c r="P83" s="2309"/>
      <c r="Q83" s="2397"/>
      <c r="R83" s="2322"/>
      <c r="S83" s="2309"/>
      <c r="T83" s="2309"/>
      <c r="U83" s="260" t="s">
        <v>184</v>
      </c>
      <c r="V83" s="261">
        <f>3520000000+60000000</f>
        <v>3580000000</v>
      </c>
      <c r="W83" s="281"/>
      <c r="X83" s="280"/>
      <c r="Y83" s="2401"/>
      <c r="Z83" s="2394"/>
      <c r="AA83" s="2392"/>
      <c r="AB83" s="2394"/>
      <c r="AC83" s="2394"/>
      <c r="AD83" s="2394"/>
      <c r="AE83" s="2404"/>
      <c r="AF83" s="2394"/>
      <c r="AG83" s="2407"/>
      <c r="AH83" s="2394"/>
      <c r="AI83" s="2394"/>
      <c r="AJ83" s="2394"/>
      <c r="AK83" s="2401"/>
      <c r="AL83" s="2401"/>
      <c r="AM83" s="2340"/>
      <c r="AN83" s="2340"/>
      <c r="AO83" s="2403"/>
      <c r="AP83" s="2403"/>
      <c r="AQ83" s="2399"/>
      <c r="AR83" s="242"/>
      <c r="AS83" s="242"/>
      <c r="AT83" s="242"/>
      <c r="AU83" s="242"/>
    </row>
    <row r="84" spans="1:47" ht="27" customHeight="1" x14ac:dyDescent="0.2">
      <c r="A84" s="266"/>
      <c r="B84" s="275"/>
      <c r="C84" s="276"/>
      <c r="D84" s="2371"/>
      <c r="E84" s="2304"/>
      <c r="F84" s="2305"/>
      <c r="G84" s="2371"/>
      <c r="H84" s="2304"/>
      <c r="I84" s="2305"/>
      <c r="J84" s="2373">
        <v>59</v>
      </c>
      <c r="K84" s="2098" t="s">
        <v>212</v>
      </c>
      <c r="L84" s="282" t="s">
        <v>213</v>
      </c>
      <c r="M84" s="2331">
        <v>12</v>
      </c>
      <c r="N84" s="262" t="s">
        <v>214</v>
      </c>
      <c r="O84" s="2307"/>
      <c r="P84" s="2309"/>
      <c r="Q84" s="2395">
        <f>SUM(V84:V89)/R74</f>
        <v>0.14536371856650723</v>
      </c>
      <c r="R84" s="2322"/>
      <c r="S84" s="2309"/>
      <c r="T84" s="2309"/>
      <c r="U84" s="260" t="s">
        <v>178</v>
      </c>
      <c r="V84" s="261">
        <f>60000000+165000000</f>
        <v>225000000</v>
      </c>
      <c r="W84" s="280">
        <v>4</v>
      </c>
      <c r="X84" s="280" t="s">
        <v>112</v>
      </c>
      <c r="Y84" s="2401"/>
      <c r="Z84" s="2394"/>
      <c r="AA84" s="2392"/>
      <c r="AB84" s="2394"/>
      <c r="AC84" s="2394"/>
      <c r="AD84" s="2394"/>
      <c r="AE84" s="2404"/>
      <c r="AF84" s="2394"/>
      <c r="AG84" s="2407"/>
      <c r="AH84" s="2394"/>
      <c r="AI84" s="2394"/>
      <c r="AJ84" s="2394"/>
      <c r="AK84" s="2401"/>
      <c r="AL84" s="2401"/>
      <c r="AM84" s="2340"/>
      <c r="AN84" s="2340"/>
      <c r="AO84" s="2403"/>
      <c r="AP84" s="2403"/>
      <c r="AQ84" s="2399"/>
      <c r="AR84" s="242"/>
      <c r="AS84" s="242"/>
      <c r="AT84" s="242"/>
      <c r="AU84" s="242"/>
    </row>
    <row r="85" spans="1:47" ht="27" customHeight="1" x14ac:dyDescent="0.2">
      <c r="A85" s="266"/>
      <c r="B85" s="275"/>
      <c r="C85" s="276"/>
      <c r="D85" s="2371"/>
      <c r="E85" s="2304"/>
      <c r="F85" s="2305"/>
      <c r="G85" s="2371"/>
      <c r="H85" s="2304"/>
      <c r="I85" s="2305"/>
      <c r="J85" s="2374"/>
      <c r="K85" s="2327"/>
      <c r="L85" s="283"/>
      <c r="M85" s="2332"/>
      <c r="N85" s="262"/>
      <c r="O85" s="2307"/>
      <c r="P85" s="2309"/>
      <c r="Q85" s="2396"/>
      <c r="R85" s="2322"/>
      <c r="S85" s="2309"/>
      <c r="T85" s="2309"/>
      <c r="U85" s="260" t="s">
        <v>215</v>
      </c>
      <c r="V85" s="261">
        <f>27720000+27720000</f>
        <v>55440000</v>
      </c>
      <c r="W85" s="281"/>
      <c r="X85" s="280"/>
      <c r="Y85" s="2401"/>
      <c r="Z85" s="2394"/>
      <c r="AA85" s="2392"/>
      <c r="AB85" s="2394"/>
      <c r="AC85" s="2394"/>
      <c r="AD85" s="2394"/>
      <c r="AE85" s="2404"/>
      <c r="AF85" s="2394"/>
      <c r="AG85" s="2407"/>
      <c r="AH85" s="2394"/>
      <c r="AI85" s="2394"/>
      <c r="AJ85" s="2394"/>
      <c r="AK85" s="2401"/>
      <c r="AL85" s="2401"/>
      <c r="AM85" s="2340"/>
      <c r="AN85" s="2340"/>
      <c r="AO85" s="2403"/>
      <c r="AP85" s="2403"/>
      <c r="AQ85" s="2399"/>
      <c r="AR85" s="242"/>
      <c r="AS85" s="242"/>
      <c r="AT85" s="242"/>
      <c r="AU85" s="242"/>
    </row>
    <row r="86" spans="1:47" ht="27.75" customHeight="1" x14ac:dyDescent="0.2">
      <c r="A86" s="266"/>
      <c r="B86" s="275"/>
      <c r="C86" s="276"/>
      <c r="D86" s="2371"/>
      <c r="E86" s="2304"/>
      <c r="F86" s="2305"/>
      <c r="G86" s="2371"/>
      <c r="H86" s="2304"/>
      <c r="I86" s="2305"/>
      <c r="J86" s="2374"/>
      <c r="K86" s="2327"/>
      <c r="L86" s="283"/>
      <c r="M86" s="2332"/>
      <c r="N86" s="262" t="s">
        <v>216</v>
      </c>
      <c r="O86" s="2307"/>
      <c r="P86" s="2309"/>
      <c r="Q86" s="2396"/>
      <c r="R86" s="2322"/>
      <c r="S86" s="2309"/>
      <c r="T86" s="2309"/>
      <c r="U86" s="260" t="s">
        <v>181</v>
      </c>
      <c r="V86" s="261">
        <f>141960000+192040000+8420000</f>
        <v>342420000</v>
      </c>
      <c r="W86" s="280">
        <v>20</v>
      </c>
      <c r="X86" s="280" t="s">
        <v>61</v>
      </c>
      <c r="Y86" s="2401"/>
      <c r="Z86" s="2394"/>
      <c r="AA86" s="2392"/>
      <c r="AB86" s="2394"/>
      <c r="AC86" s="2394"/>
      <c r="AD86" s="2394"/>
      <c r="AE86" s="2404"/>
      <c r="AF86" s="2394"/>
      <c r="AG86" s="2407"/>
      <c r="AH86" s="2394"/>
      <c r="AI86" s="2394"/>
      <c r="AJ86" s="2394"/>
      <c r="AK86" s="2401"/>
      <c r="AL86" s="2401"/>
      <c r="AM86" s="2340"/>
      <c r="AN86" s="2340"/>
      <c r="AO86" s="2403"/>
      <c r="AP86" s="2403"/>
      <c r="AQ86" s="2399"/>
      <c r="AR86" s="242"/>
      <c r="AS86" s="242"/>
      <c r="AT86" s="242"/>
      <c r="AU86" s="242"/>
    </row>
    <row r="87" spans="1:47" ht="27.75" customHeight="1" x14ac:dyDescent="0.2">
      <c r="A87" s="266"/>
      <c r="B87" s="275"/>
      <c r="C87" s="276"/>
      <c r="D87" s="2371"/>
      <c r="E87" s="2304"/>
      <c r="F87" s="2305"/>
      <c r="G87" s="2371"/>
      <c r="H87" s="2304"/>
      <c r="I87" s="2305"/>
      <c r="J87" s="2374"/>
      <c r="K87" s="2327"/>
      <c r="L87" s="283"/>
      <c r="M87" s="2332"/>
      <c r="N87" s="262"/>
      <c r="O87" s="2307"/>
      <c r="P87" s="2309"/>
      <c r="Q87" s="2396"/>
      <c r="R87" s="2322"/>
      <c r="S87" s="2309"/>
      <c r="T87" s="2309"/>
      <c r="U87" s="260" t="s">
        <v>208</v>
      </c>
      <c r="V87" s="261">
        <v>135000000</v>
      </c>
      <c r="W87" s="280"/>
      <c r="X87" s="280"/>
      <c r="Y87" s="2401"/>
      <c r="Z87" s="2394"/>
      <c r="AA87" s="2392"/>
      <c r="AB87" s="2394"/>
      <c r="AC87" s="2394"/>
      <c r="AD87" s="2394"/>
      <c r="AE87" s="2404"/>
      <c r="AF87" s="2394"/>
      <c r="AG87" s="2407"/>
      <c r="AH87" s="2394"/>
      <c r="AI87" s="2394"/>
      <c r="AJ87" s="2394"/>
      <c r="AK87" s="2401"/>
      <c r="AL87" s="2401"/>
      <c r="AM87" s="2340"/>
      <c r="AN87" s="2340"/>
      <c r="AO87" s="2403"/>
      <c r="AP87" s="2403"/>
      <c r="AQ87" s="2399"/>
      <c r="AR87" s="242"/>
      <c r="AS87" s="242"/>
      <c r="AT87" s="242"/>
      <c r="AU87" s="242"/>
    </row>
    <row r="88" spans="1:47" ht="27.75" customHeight="1" x14ac:dyDescent="0.2">
      <c r="A88" s="266"/>
      <c r="B88" s="275"/>
      <c r="C88" s="276"/>
      <c r="D88" s="2371"/>
      <c r="E88" s="2304"/>
      <c r="F88" s="2305"/>
      <c r="G88" s="2371"/>
      <c r="H88" s="2304"/>
      <c r="I88" s="2305"/>
      <c r="J88" s="2374"/>
      <c r="K88" s="2327"/>
      <c r="L88" s="283"/>
      <c r="M88" s="2332"/>
      <c r="N88" s="262"/>
      <c r="O88" s="2307"/>
      <c r="P88" s="2309"/>
      <c r="Q88" s="2396"/>
      <c r="R88" s="2322"/>
      <c r="S88" s="2309"/>
      <c r="T88" s="2309"/>
      <c r="U88" s="260" t="s">
        <v>184</v>
      </c>
      <c r="V88" s="261">
        <f>1492796000-30656000+1110062514</f>
        <v>2572202514</v>
      </c>
      <c r="W88" s="281"/>
      <c r="X88" s="280"/>
      <c r="Y88" s="2401"/>
      <c r="Z88" s="2394"/>
      <c r="AA88" s="2392"/>
      <c r="AB88" s="2394"/>
      <c r="AC88" s="2394"/>
      <c r="AD88" s="2394"/>
      <c r="AE88" s="2404"/>
      <c r="AF88" s="2394"/>
      <c r="AG88" s="2407"/>
      <c r="AH88" s="2394"/>
      <c r="AI88" s="2394"/>
      <c r="AJ88" s="2394"/>
      <c r="AK88" s="2401"/>
      <c r="AL88" s="2401"/>
      <c r="AM88" s="2340"/>
      <c r="AN88" s="2340"/>
      <c r="AO88" s="2403"/>
      <c r="AP88" s="2403"/>
      <c r="AQ88" s="2399"/>
      <c r="AR88" s="242"/>
      <c r="AS88" s="242"/>
      <c r="AT88" s="242"/>
      <c r="AU88" s="242"/>
    </row>
    <row r="89" spans="1:47" ht="27.75" customHeight="1" x14ac:dyDescent="0.2">
      <c r="A89" s="266"/>
      <c r="B89" s="275"/>
      <c r="C89" s="276"/>
      <c r="D89" s="2371"/>
      <c r="E89" s="2304"/>
      <c r="F89" s="2305"/>
      <c r="G89" s="2371"/>
      <c r="H89" s="2304"/>
      <c r="I89" s="2305"/>
      <c r="J89" s="2375"/>
      <c r="K89" s="2099"/>
      <c r="L89" s="284"/>
      <c r="M89" s="2333"/>
      <c r="N89" s="262"/>
      <c r="O89" s="2307"/>
      <c r="P89" s="2309"/>
      <c r="Q89" s="2397"/>
      <c r="R89" s="2322"/>
      <c r="S89" s="2309"/>
      <c r="T89" s="2309"/>
      <c r="U89" s="285" t="s">
        <v>199</v>
      </c>
      <c r="V89" s="261">
        <f>365484000-185484000</f>
        <v>180000000</v>
      </c>
      <c r="W89" s="281"/>
      <c r="X89" s="280"/>
      <c r="Y89" s="2401"/>
      <c r="Z89" s="2394"/>
      <c r="AA89" s="2392"/>
      <c r="AB89" s="2394"/>
      <c r="AC89" s="2394"/>
      <c r="AD89" s="2394"/>
      <c r="AE89" s="2404"/>
      <c r="AF89" s="2394"/>
      <c r="AG89" s="2407"/>
      <c r="AH89" s="2394"/>
      <c r="AI89" s="2394"/>
      <c r="AJ89" s="2394"/>
      <c r="AK89" s="2401"/>
      <c r="AL89" s="2401"/>
      <c r="AM89" s="2340"/>
      <c r="AN89" s="2340"/>
      <c r="AO89" s="2403"/>
      <c r="AP89" s="2403"/>
      <c r="AQ89" s="2399"/>
    </row>
    <row r="90" spans="1:47" ht="27.75" customHeight="1" x14ac:dyDescent="0.2">
      <c r="A90" s="266"/>
      <c r="B90" s="275"/>
      <c r="C90" s="276"/>
      <c r="D90" s="2371"/>
      <c r="E90" s="2304"/>
      <c r="F90" s="2305"/>
      <c r="G90" s="2371"/>
      <c r="H90" s="2304"/>
      <c r="I90" s="2305"/>
      <c r="J90" s="2373">
        <v>60</v>
      </c>
      <c r="K90" s="2331" t="s">
        <v>217</v>
      </c>
      <c r="L90" s="2314" t="s">
        <v>218</v>
      </c>
      <c r="M90" s="2331">
        <v>12</v>
      </c>
      <c r="N90" s="262" t="s">
        <v>219</v>
      </c>
      <c r="O90" s="2307"/>
      <c r="P90" s="2309"/>
      <c r="Q90" s="2395">
        <f>SUM(V90:V93)/R74</f>
        <v>0.11289300268351252</v>
      </c>
      <c r="R90" s="2322"/>
      <c r="S90" s="2309"/>
      <c r="T90" s="2371"/>
      <c r="U90" s="2398" t="s">
        <v>220</v>
      </c>
      <c r="V90" s="2311">
        <v>2200000000</v>
      </c>
      <c r="W90" s="280">
        <v>46</v>
      </c>
      <c r="X90" s="280" t="s">
        <v>189</v>
      </c>
      <c r="Y90" s="2401"/>
      <c r="Z90" s="2394"/>
      <c r="AA90" s="2392"/>
      <c r="AB90" s="2394"/>
      <c r="AC90" s="2394"/>
      <c r="AD90" s="2394"/>
      <c r="AE90" s="2404"/>
      <c r="AF90" s="2394"/>
      <c r="AG90" s="2407"/>
      <c r="AH90" s="2394"/>
      <c r="AI90" s="2394"/>
      <c r="AJ90" s="2394"/>
      <c r="AK90" s="2401"/>
      <c r="AL90" s="2401"/>
      <c r="AM90" s="2340"/>
      <c r="AN90" s="2340"/>
      <c r="AO90" s="2403"/>
      <c r="AP90" s="2403"/>
      <c r="AQ90" s="2399"/>
    </row>
    <row r="91" spans="1:47" ht="27.75" customHeight="1" x14ac:dyDescent="0.2">
      <c r="A91" s="266"/>
      <c r="B91" s="275"/>
      <c r="C91" s="276"/>
      <c r="D91" s="2371"/>
      <c r="E91" s="2304"/>
      <c r="F91" s="2305"/>
      <c r="G91" s="2371"/>
      <c r="H91" s="2304"/>
      <c r="I91" s="2305"/>
      <c r="J91" s="2374"/>
      <c r="K91" s="2332"/>
      <c r="L91" s="2307"/>
      <c r="M91" s="2332"/>
      <c r="N91" s="262"/>
      <c r="O91" s="2307"/>
      <c r="P91" s="2309"/>
      <c r="Q91" s="2396"/>
      <c r="R91" s="2322"/>
      <c r="S91" s="2309"/>
      <c r="T91" s="2371"/>
      <c r="U91" s="2398"/>
      <c r="V91" s="2313"/>
      <c r="W91" s="280"/>
      <c r="X91" s="280"/>
      <c r="Y91" s="2401"/>
      <c r="Z91" s="2394"/>
      <c r="AA91" s="2392"/>
      <c r="AB91" s="2394"/>
      <c r="AC91" s="2394"/>
      <c r="AD91" s="2394"/>
      <c r="AE91" s="2404"/>
      <c r="AF91" s="2394"/>
      <c r="AG91" s="2407"/>
      <c r="AH91" s="2394"/>
      <c r="AI91" s="2394"/>
      <c r="AJ91" s="2394"/>
      <c r="AK91" s="2401"/>
      <c r="AL91" s="2401"/>
      <c r="AM91" s="2340"/>
      <c r="AN91" s="2340"/>
      <c r="AO91" s="2403"/>
      <c r="AP91" s="2403"/>
      <c r="AQ91" s="2399"/>
    </row>
    <row r="92" spans="1:47" ht="36" customHeight="1" x14ac:dyDescent="0.2">
      <c r="A92" s="266"/>
      <c r="B92" s="275"/>
      <c r="C92" s="276"/>
      <c r="D92" s="2371"/>
      <c r="E92" s="2304"/>
      <c r="F92" s="2305"/>
      <c r="G92" s="2371"/>
      <c r="H92" s="2304"/>
      <c r="I92" s="2305"/>
      <c r="J92" s="2374"/>
      <c r="K92" s="2332"/>
      <c r="L92" s="2307"/>
      <c r="M92" s="2332"/>
      <c r="N92" s="262"/>
      <c r="O92" s="2307"/>
      <c r="P92" s="2309"/>
      <c r="Q92" s="2396"/>
      <c r="R92" s="2322"/>
      <c r="S92" s="2309"/>
      <c r="T92" s="2371"/>
      <c r="U92" s="286" t="s">
        <v>178</v>
      </c>
      <c r="V92" s="287">
        <v>226000000</v>
      </c>
      <c r="W92" s="288"/>
      <c r="X92" s="280"/>
      <c r="Y92" s="2401"/>
      <c r="Z92" s="2394"/>
      <c r="AA92" s="2392"/>
      <c r="AB92" s="2394"/>
      <c r="AC92" s="2394"/>
      <c r="AD92" s="2394"/>
      <c r="AE92" s="2404"/>
      <c r="AF92" s="2394"/>
      <c r="AG92" s="2407"/>
      <c r="AH92" s="2394"/>
      <c r="AI92" s="2394"/>
      <c r="AJ92" s="2394"/>
      <c r="AK92" s="2401"/>
      <c r="AL92" s="2401"/>
      <c r="AM92" s="2340"/>
      <c r="AN92" s="2340"/>
      <c r="AO92" s="2403"/>
      <c r="AP92" s="2403"/>
      <c r="AQ92" s="2399"/>
    </row>
    <row r="93" spans="1:47" ht="34.5" customHeight="1" x14ac:dyDescent="0.2">
      <c r="A93" s="266"/>
      <c r="B93" s="275"/>
      <c r="C93" s="276"/>
      <c r="D93" s="2371"/>
      <c r="E93" s="2304"/>
      <c r="F93" s="2305"/>
      <c r="G93" s="2371"/>
      <c r="H93" s="2304"/>
      <c r="I93" s="2305"/>
      <c r="J93" s="2375"/>
      <c r="K93" s="2333"/>
      <c r="L93" s="2317"/>
      <c r="M93" s="2333"/>
      <c r="N93" s="262"/>
      <c r="O93" s="2307"/>
      <c r="P93" s="2309"/>
      <c r="Q93" s="2397"/>
      <c r="R93" s="2322"/>
      <c r="S93" s="2309"/>
      <c r="T93" s="2371"/>
      <c r="U93" s="289" t="s">
        <v>199</v>
      </c>
      <c r="V93" s="290">
        <v>300000000</v>
      </c>
      <c r="W93" s="291"/>
      <c r="X93" s="280"/>
      <c r="Y93" s="2401"/>
      <c r="Z93" s="2394"/>
      <c r="AA93" s="2392"/>
      <c r="AB93" s="2394"/>
      <c r="AC93" s="2394"/>
      <c r="AD93" s="2394"/>
      <c r="AE93" s="2404"/>
      <c r="AF93" s="2394"/>
      <c r="AG93" s="2407"/>
      <c r="AH93" s="2394"/>
      <c r="AI93" s="2394"/>
      <c r="AJ93" s="2394"/>
      <c r="AK93" s="2401"/>
      <c r="AL93" s="2401"/>
      <c r="AM93" s="2340"/>
      <c r="AN93" s="2340"/>
      <c r="AO93" s="2403"/>
      <c r="AP93" s="2403"/>
      <c r="AQ93" s="2399"/>
    </row>
    <row r="94" spans="1:47" ht="20.25" customHeight="1" x14ac:dyDescent="0.2">
      <c r="A94" s="266"/>
      <c r="B94" s="275"/>
      <c r="C94" s="276"/>
      <c r="D94" s="2371"/>
      <c r="E94" s="2304"/>
      <c r="F94" s="2305"/>
      <c r="G94" s="2371"/>
      <c r="H94" s="2304"/>
      <c r="I94" s="2305"/>
      <c r="J94" s="2413">
        <v>61</v>
      </c>
      <c r="K94" s="2328" t="s">
        <v>221</v>
      </c>
      <c r="L94" s="2335" t="s">
        <v>222</v>
      </c>
      <c r="M94" s="2414">
        <v>1</v>
      </c>
      <c r="N94" s="2309" t="s">
        <v>223</v>
      </c>
      <c r="O94" s="2307"/>
      <c r="P94" s="2309"/>
      <c r="Q94" s="2395">
        <f>SUM(V94)/R74</f>
        <v>7.2059363415007988E-2</v>
      </c>
      <c r="R94" s="2322"/>
      <c r="S94" s="2309"/>
      <c r="T94" s="2371"/>
      <c r="U94" s="2048" t="s">
        <v>184</v>
      </c>
      <c r="V94" s="2311">
        <f>1340000000+280000000+120000000</f>
        <v>1740000000</v>
      </c>
      <c r="W94" s="2409">
        <v>82</v>
      </c>
      <c r="X94" s="2409" t="s">
        <v>125</v>
      </c>
      <c r="Y94" s="2401"/>
      <c r="Z94" s="2394"/>
      <c r="AA94" s="2392"/>
      <c r="AB94" s="2394"/>
      <c r="AC94" s="2394"/>
      <c r="AD94" s="2394"/>
      <c r="AE94" s="2404"/>
      <c r="AF94" s="2394"/>
      <c r="AG94" s="2407"/>
      <c r="AH94" s="2394"/>
      <c r="AI94" s="2394"/>
      <c r="AJ94" s="2394"/>
      <c r="AK94" s="2401"/>
      <c r="AL94" s="2401"/>
      <c r="AM94" s="2340"/>
      <c r="AN94" s="2340"/>
      <c r="AO94" s="2403"/>
      <c r="AP94" s="2403"/>
      <c r="AQ94" s="2399"/>
    </row>
    <row r="95" spans="1:47" ht="20.25" customHeight="1" x14ac:dyDescent="0.2">
      <c r="A95" s="266"/>
      <c r="B95" s="275"/>
      <c r="C95" s="276"/>
      <c r="D95" s="2371"/>
      <c r="E95" s="2304"/>
      <c r="F95" s="2305"/>
      <c r="G95" s="2371"/>
      <c r="H95" s="2304"/>
      <c r="I95" s="2305"/>
      <c r="J95" s="2413"/>
      <c r="K95" s="2304"/>
      <c r="L95" s="2335"/>
      <c r="M95" s="2415"/>
      <c r="N95" s="2309"/>
      <c r="O95" s="2307"/>
      <c r="P95" s="2309"/>
      <c r="Q95" s="2396"/>
      <c r="R95" s="2322"/>
      <c r="S95" s="2309"/>
      <c r="T95" s="2371"/>
      <c r="U95" s="2048"/>
      <c r="V95" s="2312"/>
      <c r="W95" s="2409"/>
      <c r="X95" s="2409"/>
      <c r="Y95" s="2401"/>
      <c r="Z95" s="2394"/>
      <c r="AA95" s="2392"/>
      <c r="AB95" s="2394"/>
      <c r="AC95" s="2394"/>
      <c r="AD95" s="2394"/>
      <c r="AE95" s="2404"/>
      <c r="AF95" s="2394"/>
      <c r="AG95" s="2407"/>
      <c r="AH95" s="2394"/>
      <c r="AI95" s="2394"/>
      <c r="AJ95" s="2394"/>
      <c r="AK95" s="2401"/>
      <c r="AL95" s="2401"/>
      <c r="AM95" s="2340"/>
      <c r="AN95" s="2340"/>
      <c r="AO95" s="2403"/>
      <c r="AP95" s="2403"/>
      <c r="AQ95" s="2399"/>
    </row>
    <row r="96" spans="1:47" ht="30" customHeight="1" x14ac:dyDescent="0.2">
      <c r="A96" s="266"/>
      <c r="B96" s="275"/>
      <c r="C96" s="276"/>
      <c r="D96" s="2371"/>
      <c r="E96" s="2304"/>
      <c r="F96" s="2305"/>
      <c r="G96" s="2371"/>
      <c r="H96" s="2304"/>
      <c r="I96" s="2305"/>
      <c r="J96" s="2413"/>
      <c r="K96" s="2358"/>
      <c r="L96" s="2335"/>
      <c r="M96" s="2416"/>
      <c r="N96" s="262" t="s">
        <v>224</v>
      </c>
      <c r="O96" s="2307"/>
      <c r="P96" s="2309"/>
      <c r="Q96" s="2397"/>
      <c r="R96" s="2322"/>
      <c r="S96" s="2309"/>
      <c r="T96" s="2371"/>
      <c r="U96" s="2048"/>
      <c r="V96" s="2313"/>
      <c r="W96" s="280">
        <v>88</v>
      </c>
      <c r="X96" s="2409" t="s">
        <v>191</v>
      </c>
      <c r="Y96" s="2401"/>
      <c r="Z96" s="2394"/>
      <c r="AA96" s="2392"/>
      <c r="AB96" s="2394"/>
      <c r="AC96" s="2394"/>
      <c r="AD96" s="2394"/>
      <c r="AE96" s="2404"/>
      <c r="AF96" s="2394"/>
      <c r="AG96" s="2407"/>
      <c r="AH96" s="2394"/>
      <c r="AI96" s="2394"/>
      <c r="AJ96" s="2394"/>
      <c r="AK96" s="2401"/>
      <c r="AL96" s="2401"/>
      <c r="AM96" s="2340"/>
      <c r="AN96" s="2340"/>
      <c r="AO96" s="2403"/>
      <c r="AP96" s="2403"/>
      <c r="AQ96" s="2399"/>
    </row>
    <row r="97" spans="1:76" ht="30.75" customHeight="1" x14ac:dyDescent="0.2">
      <c r="A97" s="266"/>
      <c r="B97" s="275"/>
      <c r="C97" s="276"/>
      <c r="D97" s="2371"/>
      <c r="E97" s="2304"/>
      <c r="F97" s="2305"/>
      <c r="G97" s="2371"/>
      <c r="H97" s="2304"/>
      <c r="I97" s="2305"/>
      <c r="J97" s="2410">
        <v>62</v>
      </c>
      <c r="K97" s="2308" t="s">
        <v>225</v>
      </c>
      <c r="L97" s="2308" t="s">
        <v>226</v>
      </c>
      <c r="M97" s="2314">
        <v>2</v>
      </c>
      <c r="N97" s="262"/>
      <c r="O97" s="2307"/>
      <c r="P97" s="2309"/>
      <c r="Q97" s="2395">
        <f>SUM(V97:V99)/R74</f>
        <v>6.2120140875006891E-2</v>
      </c>
      <c r="R97" s="2322"/>
      <c r="S97" s="2309"/>
      <c r="T97" s="2309"/>
      <c r="U97" s="292" t="s">
        <v>220</v>
      </c>
      <c r="V97" s="261">
        <f>1200000000+44000000</f>
        <v>1244000000</v>
      </c>
      <c r="W97" s="281"/>
      <c r="X97" s="2409"/>
      <c r="Y97" s="2401"/>
      <c r="Z97" s="2394"/>
      <c r="AA97" s="2392"/>
      <c r="AB97" s="2394"/>
      <c r="AC97" s="2394"/>
      <c r="AD97" s="2394"/>
      <c r="AE97" s="2404"/>
      <c r="AF97" s="2394"/>
      <c r="AG97" s="2407"/>
      <c r="AH97" s="2394"/>
      <c r="AI97" s="2394"/>
      <c r="AJ97" s="2394"/>
      <c r="AK97" s="2401"/>
      <c r="AL97" s="2401"/>
      <c r="AM97" s="2340"/>
      <c r="AN97" s="2340"/>
      <c r="AO97" s="2403"/>
      <c r="AP97" s="2403"/>
      <c r="AQ97" s="2399"/>
    </row>
    <row r="98" spans="1:76" ht="31.5" customHeight="1" x14ac:dyDescent="0.2">
      <c r="A98" s="266"/>
      <c r="B98" s="275"/>
      <c r="C98" s="276"/>
      <c r="D98" s="2371"/>
      <c r="E98" s="2304"/>
      <c r="F98" s="2305"/>
      <c r="G98" s="2371"/>
      <c r="H98" s="2304"/>
      <c r="I98" s="2305"/>
      <c r="J98" s="2411"/>
      <c r="K98" s="2309"/>
      <c r="L98" s="2309"/>
      <c r="M98" s="2307"/>
      <c r="N98" s="262"/>
      <c r="O98" s="2307"/>
      <c r="P98" s="2309"/>
      <c r="Q98" s="2396"/>
      <c r="R98" s="2322"/>
      <c r="S98" s="2309"/>
      <c r="T98" s="2309"/>
      <c r="U98" s="260" t="s">
        <v>199</v>
      </c>
      <c r="V98" s="261">
        <f>300000000-144000000</f>
        <v>156000000</v>
      </c>
      <c r="W98" s="281"/>
      <c r="X98" s="280"/>
      <c r="Y98" s="2401"/>
      <c r="Z98" s="2394"/>
      <c r="AA98" s="2392"/>
      <c r="AB98" s="2394"/>
      <c r="AC98" s="2394"/>
      <c r="AD98" s="2394"/>
      <c r="AE98" s="2404"/>
      <c r="AF98" s="2394"/>
      <c r="AG98" s="2407"/>
      <c r="AH98" s="2394"/>
      <c r="AI98" s="2394"/>
      <c r="AJ98" s="2394"/>
      <c r="AK98" s="2401"/>
      <c r="AL98" s="2401"/>
      <c r="AM98" s="2340"/>
      <c r="AN98" s="2340"/>
      <c r="AO98" s="2403"/>
      <c r="AP98" s="2403"/>
      <c r="AQ98" s="2399"/>
    </row>
    <row r="99" spans="1:76" ht="43.5" customHeight="1" x14ac:dyDescent="0.2">
      <c r="A99" s="266"/>
      <c r="B99" s="275"/>
      <c r="C99" s="276"/>
      <c r="D99" s="2371"/>
      <c r="E99" s="2304"/>
      <c r="F99" s="2305"/>
      <c r="G99" s="2371"/>
      <c r="H99" s="2304"/>
      <c r="I99" s="2305"/>
      <c r="J99" s="2412"/>
      <c r="K99" s="2310"/>
      <c r="L99" s="2310"/>
      <c r="M99" s="2317"/>
      <c r="N99" s="262"/>
      <c r="O99" s="2307"/>
      <c r="P99" s="2309"/>
      <c r="Q99" s="2397"/>
      <c r="R99" s="2322"/>
      <c r="S99" s="2309"/>
      <c r="T99" s="2309"/>
      <c r="U99" s="260" t="s">
        <v>178</v>
      </c>
      <c r="V99" s="261">
        <v>100000000</v>
      </c>
      <c r="W99" s="281"/>
      <c r="X99" s="280"/>
      <c r="Y99" s="2401"/>
      <c r="Z99" s="2394"/>
      <c r="AA99" s="2392"/>
      <c r="AB99" s="2394"/>
      <c r="AC99" s="2394"/>
      <c r="AD99" s="2394"/>
      <c r="AE99" s="2404"/>
      <c r="AF99" s="2394"/>
      <c r="AG99" s="2407"/>
      <c r="AH99" s="2394"/>
      <c r="AI99" s="2394"/>
      <c r="AJ99" s="2394"/>
      <c r="AK99" s="2401"/>
      <c r="AL99" s="2401"/>
      <c r="AM99" s="2340"/>
      <c r="AN99" s="2340"/>
      <c r="AO99" s="2403"/>
      <c r="AP99" s="2403"/>
      <c r="AQ99" s="2399"/>
    </row>
    <row r="100" spans="1:76" ht="39.75" customHeight="1" x14ac:dyDescent="0.2">
      <c r="A100" s="266"/>
      <c r="B100" s="275"/>
      <c r="C100" s="276"/>
      <c r="D100" s="2371"/>
      <c r="E100" s="2304"/>
      <c r="F100" s="2305"/>
      <c r="G100" s="2371"/>
      <c r="H100" s="2304"/>
      <c r="I100" s="2305"/>
      <c r="J100" s="2410">
        <v>63</v>
      </c>
      <c r="K100" s="2098" t="s">
        <v>227</v>
      </c>
      <c r="L100" s="2098" t="s">
        <v>228</v>
      </c>
      <c r="M100" s="2331">
        <v>250</v>
      </c>
      <c r="N100" s="262"/>
      <c r="O100" s="2307"/>
      <c r="P100" s="2309"/>
      <c r="Q100" s="2395">
        <f>SUM(V100:V101)/R74</f>
        <v>0.1118162535750124</v>
      </c>
      <c r="R100" s="2322"/>
      <c r="S100" s="2309"/>
      <c r="T100" s="2309"/>
      <c r="U100" s="260" t="s">
        <v>184</v>
      </c>
      <c r="V100" s="261">
        <f>1760000000+400000000</f>
        <v>2160000000</v>
      </c>
      <c r="W100" s="293"/>
      <c r="X100" s="294"/>
      <c r="Y100" s="2401"/>
      <c r="Z100" s="2394"/>
      <c r="AA100" s="2392"/>
      <c r="AB100" s="2394"/>
      <c r="AC100" s="2394"/>
      <c r="AD100" s="2394"/>
      <c r="AE100" s="2404"/>
      <c r="AF100" s="2394"/>
      <c r="AG100" s="2407"/>
      <c r="AH100" s="2394"/>
      <c r="AI100" s="2394"/>
      <c r="AJ100" s="2394"/>
      <c r="AK100" s="2401"/>
      <c r="AL100" s="2401"/>
      <c r="AM100" s="2340"/>
      <c r="AN100" s="2340"/>
      <c r="AO100" s="2403"/>
      <c r="AP100" s="2403">
        <v>43100</v>
      </c>
      <c r="AQ100" s="2399"/>
    </row>
    <row r="101" spans="1:76" ht="30.75" customHeight="1" x14ac:dyDescent="0.2">
      <c r="A101" s="266"/>
      <c r="B101" s="275"/>
      <c r="C101" s="276"/>
      <c r="D101" s="2371"/>
      <c r="E101" s="2304"/>
      <c r="F101" s="2305"/>
      <c r="G101" s="2371"/>
      <c r="H101" s="2304"/>
      <c r="I101" s="2305"/>
      <c r="J101" s="2412"/>
      <c r="K101" s="2099"/>
      <c r="L101" s="2099"/>
      <c r="M101" s="2333"/>
      <c r="N101" s="262"/>
      <c r="O101" s="2307"/>
      <c r="P101" s="2309"/>
      <c r="Q101" s="2397"/>
      <c r="R101" s="2322"/>
      <c r="S101" s="2309"/>
      <c r="T101" s="2309"/>
      <c r="U101" s="260" t="s">
        <v>199</v>
      </c>
      <c r="V101" s="261">
        <f>440000000+100000000</f>
        <v>540000000</v>
      </c>
      <c r="W101" s="293"/>
      <c r="X101" s="294"/>
      <c r="Y101" s="2401"/>
      <c r="Z101" s="2394"/>
      <c r="AA101" s="2392"/>
      <c r="AB101" s="2394"/>
      <c r="AC101" s="2394"/>
      <c r="AD101" s="2394"/>
      <c r="AE101" s="2404"/>
      <c r="AF101" s="2394"/>
      <c r="AG101" s="2407"/>
      <c r="AH101" s="2394"/>
      <c r="AI101" s="2394"/>
      <c r="AJ101" s="2394"/>
      <c r="AK101" s="2401"/>
      <c r="AL101" s="2401"/>
      <c r="AM101" s="2340"/>
      <c r="AN101" s="2340"/>
      <c r="AO101" s="2403"/>
      <c r="AP101" s="2403"/>
      <c r="AQ101" s="2399"/>
    </row>
    <row r="102" spans="1:76" ht="45" customHeight="1" x14ac:dyDescent="0.2">
      <c r="A102" s="266"/>
      <c r="B102" s="275"/>
      <c r="C102" s="276"/>
      <c r="D102" s="2371"/>
      <c r="E102" s="2304"/>
      <c r="F102" s="2305"/>
      <c r="G102" s="2371"/>
      <c r="H102" s="2304"/>
      <c r="I102" s="2305"/>
      <c r="J102" s="2411">
        <v>64</v>
      </c>
      <c r="K102" s="2098" t="s">
        <v>229</v>
      </c>
      <c r="L102" s="2308" t="s">
        <v>230</v>
      </c>
      <c r="M102" s="2314">
        <v>1</v>
      </c>
      <c r="N102" s="262"/>
      <c r="O102" s="2307"/>
      <c r="P102" s="2309"/>
      <c r="Q102" s="2395">
        <f>SUM(V102:V103)/R74</f>
        <v>1.2424028175001378E-3</v>
      </c>
      <c r="R102" s="2322"/>
      <c r="S102" s="2309"/>
      <c r="T102" s="2309"/>
      <c r="U102" s="260" t="s">
        <v>178</v>
      </c>
      <c r="V102" s="261">
        <f>14361000+15639000</f>
        <v>30000000</v>
      </c>
      <c r="W102" s="281"/>
      <c r="X102" s="280"/>
      <c r="Y102" s="2401"/>
      <c r="Z102" s="2394"/>
      <c r="AA102" s="2392"/>
      <c r="AB102" s="2394"/>
      <c r="AC102" s="2394"/>
      <c r="AD102" s="2394"/>
      <c r="AE102" s="2404"/>
      <c r="AF102" s="2394"/>
      <c r="AG102" s="2407"/>
      <c r="AH102" s="2394"/>
      <c r="AI102" s="2394"/>
      <c r="AJ102" s="2394"/>
      <c r="AK102" s="2401"/>
      <c r="AL102" s="2401"/>
      <c r="AM102" s="2340"/>
      <c r="AN102" s="2340"/>
      <c r="AO102" s="2403"/>
      <c r="AP102" s="2403" t="s">
        <v>231</v>
      </c>
      <c r="AQ102" s="2399"/>
    </row>
    <row r="103" spans="1:76" ht="56.25" customHeight="1" x14ac:dyDescent="0.2">
      <c r="A103" s="266"/>
      <c r="B103" s="275"/>
      <c r="C103" s="276"/>
      <c r="D103" s="2371"/>
      <c r="E103" s="2304"/>
      <c r="F103" s="2305"/>
      <c r="G103" s="2371"/>
      <c r="H103" s="2304"/>
      <c r="I103" s="2305"/>
      <c r="J103" s="2411"/>
      <c r="K103" s="2327"/>
      <c r="L103" s="2309"/>
      <c r="M103" s="2307"/>
      <c r="N103" s="262"/>
      <c r="O103" s="2307"/>
      <c r="P103" s="2309"/>
      <c r="Q103" s="2396"/>
      <c r="R103" s="2322"/>
      <c r="S103" s="2309"/>
      <c r="T103" s="2309"/>
      <c r="U103" s="285" t="s">
        <v>181</v>
      </c>
      <c r="V103" s="295">
        <f>15639000-15639000</f>
        <v>0</v>
      </c>
      <c r="W103" s="296"/>
      <c r="X103" s="297"/>
      <c r="Y103" s="2402"/>
      <c r="Z103" s="2406"/>
      <c r="AA103" s="2393"/>
      <c r="AB103" s="2394"/>
      <c r="AC103" s="2394"/>
      <c r="AD103" s="2394"/>
      <c r="AE103" s="2405"/>
      <c r="AF103" s="2406"/>
      <c r="AG103" s="2408"/>
      <c r="AH103" s="2406"/>
      <c r="AI103" s="2406"/>
      <c r="AJ103" s="2406"/>
      <c r="AK103" s="2402"/>
      <c r="AL103" s="2402"/>
      <c r="AM103" s="2354"/>
      <c r="AN103" s="2354"/>
      <c r="AO103" s="2387"/>
      <c r="AP103" s="2387"/>
      <c r="AQ103" s="2400"/>
    </row>
    <row r="104" spans="1:76" ht="56.25" customHeight="1" x14ac:dyDescent="0.2">
      <c r="A104" s="2366"/>
      <c r="B104" s="2367"/>
      <c r="C104" s="2367"/>
      <c r="D104" s="2334"/>
      <c r="E104" s="2334"/>
      <c r="F104" s="2334"/>
      <c r="G104" s="2334"/>
      <c r="H104" s="2334"/>
      <c r="I104" s="2334"/>
      <c r="J104" s="2334">
        <v>59</v>
      </c>
      <c r="K104" s="2098" t="s">
        <v>232</v>
      </c>
      <c r="L104" s="2308" t="s">
        <v>233</v>
      </c>
      <c r="M104" s="2314" t="s">
        <v>234</v>
      </c>
      <c r="N104" s="2314" t="s">
        <v>235</v>
      </c>
      <c r="O104" s="2314" t="s">
        <v>236</v>
      </c>
      <c r="P104" s="2308" t="s">
        <v>237</v>
      </c>
      <c r="Q104" s="2418">
        <v>1</v>
      </c>
      <c r="R104" s="2353">
        <v>611890318</v>
      </c>
      <c r="S104" s="2308" t="s">
        <v>238</v>
      </c>
      <c r="T104" s="2308" t="s">
        <v>239</v>
      </c>
      <c r="U104" s="2098" t="s">
        <v>237</v>
      </c>
      <c r="V104" s="2311">
        <v>611890318</v>
      </c>
      <c r="W104" s="2409">
        <v>149</v>
      </c>
      <c r="X104" s="2409" t="s">
        <v>240</v>
      </c>
      <c r="Y104" s="2402">
        <v>12668</v>
      </c>
      <c r="Z104" s="2406">
        <v>12704</v>
      </c>
      <c r="AA104" s="2406">
        <v>7596</v>
      </c>
      <c r="AB104" s="2421">
        <v>1582</v>
      </c>
      <c r="AC104" s="2421">
        <v>13190</v>
      </c>
      <c r="AD104" s="2421">
        <v>1890</v>
      </c>
      <c r="AE104" s="2406">
        <v>142</v>
      </c>
      <c r="AF104" s="2406">
        <v>64</v>
      </c>
      <c r="AG104" s="2406">
        <v>0</v>
      </c>
      <c r="AH104" s="2406">
        <v>0</v>
      </c>
      <c r="AI104" s="2406">
        <v>0</v>
      </c>
      <c r="AJ104" s="2406">
        <v>0</v>
      </c>
      <c r="AK104" s="2402">
        <v>908</v>
      </c>
      <c r="AL104" s="2402">
        <v>0</v>
      </c>
      <c r="AM104" s="2354">
        <v>0</v>
      </c>
      <c r="AN104" s="2354">
        <v>25372</v>
      </c>
      <c r="AO104" s="2403">
        <v>43102</v>
      </c>
      <c r="AP104" s="2403">
        <v>43465</v>
      </c>
      <c r="AQ104" s="2400" t="s">
        <v>180</v>
      </c>
    </row>
    <row r="105" spans="1:76" ht="56.25" customHeight="1" x14ac:dyDescent="0.2">
      <c r="A105" s="2366"/>
      <c r="B105" s="2367"/>
      <c r="C105" s="2367"/>
      <c r="D105" s="2334"/>
      <c r="E105" s="2334"/>
      <c r="F105" s="2334"/>
      <c r="G105" s="2334"/>
      <c r="H105" s="2334"/>
      <c r="I105" s="2334"/>
      <c r="J105" s="2334"/>
      <c r="K105" s="2327"/>
      <c r="L105" s="2309"/>
      <c r="M105" s="2307"/>
      <c r="N105" s="2307"/>
      <c r="O105" s="2307"/>
      <c r="P105" s="2309"/>
      <c r="Q105" s="2419"/>
      <c r="R105" s="2350"/>
      <c r="S105" s="2309"/>
      <c r="T105" s="2309"/>
      <c r="U105" s="2327"/>
      <c r="V105" s="2312"/>
      <c r="W105" s="2409"/>
      <c r="X105" s="2409"/>
      <c r="Y105" s="2423"/>
      <c r="Z105" s="2421"/>
      <c r="AA105" s="2421"/>
      <c r="AB105" s="2421"/>
      <c r="AC105" s="2421"/>
      <c r="AD105" s="2421"/>
      <c r="AE105" s="2421"/>
      <c r="AF105" s="2421"/>
      <c r="AG105" s="2421"/>
      <c r="AH105" s="2421"/>
      <c r="AI105" s="2421"/>
      <c r="AJ105" s="2421"/>
      <c r="AK105" s="2423"/>
      <c r="AL105" s="2423"/>
      <c r="AM105" s="2352"/>
      <c r="AN105" s="2352"/>
      <c r="AO105" s="2403"/>
      <c r="AP105" s="2403"/>
      <c r="AQ105" s="2429"/>
    </row>
    <row r="106" spans="1:76" ht="56.25" customHeight="1" x14ac:dyDescent="0.2">
      <c r="A106" s="2366"/>
      <c r="B106" s="2367"/>
      <c r="C106" s="2367"/>
      <c r="D106" s="2334"/>
      <c r="E106" s="2334"/>
      <c r="F106" s="2334"/>
      <c r="G106" s="2334"/>
      <c r="H106" s="2334"/>
      <c r="I106" s="2334"/>
      <c r="J106" s="2334"/>
      <c r="K106" s="2327"/>
      <c r="L106" s="2309"/>
      <c r="M106" s="2307"/>
      <c r="N106" s="2307"/>
      <c r="O106" s="2307"/>
      <c r="P106" s="2309"/>
      <c r="Q106" s="2419"/>
      <c r="R106" s="2350"/>
      <c r="S106" s="2309"/>
      <c r="T106" s="2309"/>
      <c r="U106" s="2327"/>
      <c r="V106" s="2312"/>
      <c r="W106" s="2409"/>
      <c r="X106" s="2409"/>
      <c r="Y106" s="2423"/>
      <c r="Z106" s="2421"/>
      <c r="AA106" s="2421"/>
      <c r="AB106" s="2421"/>
      <c r="AC106" s="2421"/>
      <c r="AD106" s="2421"/>
      <c r="AE106" s="2421"/>
      <c r="AF106" s="2421"/>
      <c r="AG106" s="2421"/>
      <c r="AH106" s="2421"/>
      <c r="AI106" s="2421"/>
      <c r="AJ106" s="2421"/>
      <c r="AK106" s="2423"/>
      <c r="AL106" s="2423"/>
      <c r="AM106" s="2352"/>
      <c r="AN106" s="2352"/>
      <c r="AO106" s="2403"/>
      <c r="AP106" s="2403"/>
      <c r="AQ106" s="2429"/>
    </row>
    <row r="107" spans="1:76" ht="84.75" customHeight="1" x14ac:dyDescent="0.2">
      <c r="A107" s="2366"/>
      <c r="B107" s="2367"/>
      <c r="C107" s="2367"/>
      <c r="D107" s="2334"/>
      <c r="E107" s="2334"/>
      <c r="F107" s="2334"/>
      <c r="G107" s="2334"/>
      <c r="H107" s="2334"/>
      <c r="I107" s="2334"/>
      <c r="J107" s="2334">
        <v>59</v>
      </c>
      <c r="K107" s="2099"/>
      <c r="L107" s="2310"/>
      <c r="M107" s="2317"/>
      <c r="N107" s="2317"/>
      <c r="O107" s="2317"/>
      <c r="P107" s="2310"/>
      <c r="Q107" s="2420"/>
      <c r="R107" s="2351"/>
      <c r="S107" s="2310"/>
      <c r="T107" s="2310"/>
      <c r="U107" s="2099"/>
      <c r="V107" s="2313"/>
      <c r="W107" s="2417"/>
      <c r="X107" s="2417"/>
      <c r="Y107" s="2424"/>
      <c r="Z107" s="2422"/>
      <c r="AA107" s="2422"/>
      <c r="AB107" s="2422"/>
      <c r="AC107" s="2422"/>
      <c r="AD107" s="2422"/>
      <c r="AE107" s="2422"/>
      <c r="AF107" s="2422"/>
      <c r="AG107" s="2422"/>
      <c r="AH107" s="2422"/>
      <c r="AI107" s="2422"/>
      <c r="AJ107" s="2422"/>
      <c r="AK107" s="2424"/>
      <c r="AL107" s="2424"/>
      <c r="AM107" s="2347"/>
      <c r="AN107" s="2347"/>
      <c r="AO107" s="2403"/>
      <c r="AP107" s="2403"/>
      <c r="AQ107" s="2430"/>
    </row>
    <row r="108" spans="1:76" s="169" customFormat="1" ht="27" customHeight="1" x14ac:dyDescent="0.2">
      <c r="A108" s="298">
        <v>4</v>
      </c>
      <c r="B108" s="227" t="s">
        <v>241</v>
      </c>
      <c r="C108" s="227"/>
      <c r="D108" s="299"/>
      <c r="E108" s="299"/>
      <c r="F108" s="299"/>
      <c r="G108" s="299"/>
      <c r="H108" s="299"/>
      <c r="I108" s="299"/>
      <c r="J108" s="300"/>
      <c r="K108" s="228"/>
      <c r="L108" s="299"/>
      <c r="M108" s="299"/>
      <c r="N108" s="299"/>
      <c r="O108" s="301"/>
      <c r="P108" s="228"/>
      <c r="Q108" s="302"/>
      <c r="R108" s="303"/>
      <c r="S108" s="228"/>
      <c r="T108" s="228"/>
      <c r="U108" s="228"/>
      <c r="V108" s="304"/>
      <c r="W108" s="305"/>
      <c r="X108" s="228"/>
      <c r="Y108" s="299"/>
      <c r="Z108" s="299"/>
      <c r="AA108" s="299"/>
      <c r="AB108" s="299"/>
      <c r="AC108" s="299"/>
      <c r="AD108" s="299"/>
      <c r="AE108" s="299"/>
      <c r="AF108" s="299"/>
      <c r="AG108" s="299"/>
      <c r="AH108" s="299"/>
      <c r="AI108" s="299"/>
      <c r="AJ108" s="299"/>
      <c r="AK108" s="299"/>
      <c r="AL108" s="299"/>
      <c r="AM108" s="299"/>
      <c r="AN108" s="299"/>
      <c r="AO108" s="306"/>
      <c r="AP108" s="306"/>
      <c r="AQ108" s="307"/>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row>
    <row r="109" spans="1:76" ht="26.25" customHeight="1" x14ac:dyDescent="0.2">
      <c r="A109" s="2431"/>
      <c r="B109" s="2432"/>
      <c r="C109" s="2433"/>
      <c r="D109" s="308">
        <v>23</v>
      </c>
      <c r="E109" s="2436" t="s">
        <v>242</v>
      </c>
      <c r="F109" s="2368"/>
      <c r="G109" s="2368"/>
      <c r="H109" s="2368"/>
      <c r="I109" s="2368"/>
      <c r="J109" s="2368"/>
      <c r="K109" s="2368"/>
      <c r="L109" s="2368"/>
      <c r="M109" s="243"/>
      <c r="N109" s="243"/>
      <c r="O109" s="309"/>
      <c r="P109" s="243"/>
      <c r="Q109" s="243"/>
      <c r="R109" s="243"/>
      <c r="S109" s="243"/>
      <c r="T109" s="243"/>
      <c r="U109" s="243"/>
      <c r="V109" s="310"/>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311"/>
    </row>
    <row r="110" spans="1:76" ht="21.75" customHeight="1" x14ac:dyDescent="0.2">
      <c r="A110" s="2434"/>
      <c r="B110" s="2303"/>
      <c r="C110" s="2435"/>
      <c r="D110" s="2437"/>
      <c r="E110" s="2438"/>
      <c r="F110" s="2439"/>
      <c r="G110" s="269">
        <v>77</v>
      </c>
      <c r="H110" s="312" t="s">
        <v>243</v>
      </c>
      <c r="I110" s="312"/>
      <c r="J110" s="313"/>
      <c r="K110" s="313"/>
      <c r="L110" s="27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2"/>
    </row>
    <row r="111" spans="1:76" ht="58.5" customHeight="1" x14ac:dyDescent="0.2">
      <c r="A111" s="2434"/>
      <c r="B111" s="2303"/>
      <c r="C111" s="2435"/>
      <c r="D111" s="2440"/>
      <c r="E111" s="2441"/>
      <c r="F111" s="2442"/>
      <c r="G111" s="2443"/>
      <c r="H111" s="2444"/>
      <c r="I111" s="2445"/>
      <c r="J111" s="2443">
        <v>223</v>
      </c>
      <c r="K111" s="2098" t="s">
        <v>244</v>
      </c>
      <c r="L111" s="2098" t="s">
        <v>245</v>
      </c>
      <c r="M111" s="2449">
        <v>1</v>
      </c>
      <c r="N111" s="2331" t="s">
        <v>246</v>
      </c>
      <c r="O111" s="2331" t="s">
        <v>247</v>
      </c>
      <c r="P111" s="2098" t="s">
        <v>248</v>
      </c>
      <c r="Q111" s="2425">
        <v>1</v>
      </c>
      <c r="R111" s="2427">
        <v>500000000</v>
      </c>
      <c r="S111" s="2098" t="s">
        <v>249</v>
      </c>
      <c r="T111" s="2344" t="s">
        <v>250</v>
      </c>
      <c r="U111" s="260" t="s">
        <v>251</v>
      </c>
      <c r="V111" s="314">
        <v>200000000</v>
      </c>
      <c r="W111" s="2451">
        <v>150</v>
      </c>
      <c r="X111" s="2453" t="s">
        <v>240</v>
      </c>
      <c r="Y111" s="2427">
        <v>152555</v>
      </c>
      <c r="Z111" s="2427">
        <v>147157</v>
      </c>
      <c r="AA111" s="2427">
        <v>70841</v>
      </c>
      <c r="AB111" s="2427">
        <v>23518</v>
      </c>
      <c r="AC111" s="2427">
        <v>160070</v>
      </c>
      <c r="AD111" s="2427">
        <v>45282</v>
      </c>
      <c r="AE111" s="2427">
        <v>1118</v>
      </c>
      <c r="AF111" s="2427">
        <v>6629</v>
      </c>
      <c r="AG111" s="2451">
        <v>14</v>
      </c>
      <c r="AH111" s="2451">
        <v>19</v>
      </c>
      <c r="AI111" s="2449"/>
      <c r="AJ111" s="2449"/>
      <c r="AK111" s="2427">
        <v>27711</v>
      </c>
      <c r="AL111" s="2427">
        <v>8852</v>
      </c>
      <c r="AM111" s="2427">
        <v>31281</v>
      </c>
      <c r="AN111" s="2427">
        <v>299712</v>
      </c>
      <c r="AO111" s="2403">
        <v>43102</v>
      </c>
      <c r="AP111" s="2403">
        <v>43465</v>
      </c>
      <c r="AQ111" s="2455" t="s">
        <v>180</v>
      </c>
    </row>
    <row r="112" spans="1:76" ht="91.5" customHeight="1" x14ac:dyDescent="0.2">
      <c r="A112" s="2434"/>
      <c r="B112" s="2303"/>
      <c r="C112" s="2435"/>
      <c r="D112" s="2440"/>
      <c r="E112" s="2441"/>
      <c r="F112" s="2442"/>
      <c r="G112" s="2446"/>
      <c r="H112" s="2447"/>
      <c r="I112" s="2448"/>
      <c r="J112" s="2446"/>
      <c r="K112" s="2327"/>
      <c r="L112" s="2327"/>
      <c r="M112" s="2450"/>
      <c r="N112" s="2332"/>
      <c r="O112" s="2332"/>
      <c r="P112" s="2327"/>
      <c r="Q112" s="2426"/>
      <c r="R112" s="2428"/>
      <c r="S112" s="2327"/>
      <c r="T112" s="2345"/>
      <c r="U112" s="260" t="s">
        <v>252</v>
      </c>
      <c r="V112" s="314">
        <v>120000000</v>
      </c>
      <c r="W112" s="2452"/>
      <c r="X112" s="2454"/>
      <c r="Y112" s="2428"/>
      <c r="Z112" s="2428"/>
      <c r="AA112" s="2428"/>
      <c r="AB112" s="2428"/>
      <c r="AC112" s="2428"/>
      <c r="AD112" s="2428"/>
      <c r="AE112" s="2428"/>
      <c r="AF112" s="2428"/>
      <c r="AG112" s="2452"/>
      <c r="AH112" s="2452"/>
      <c r="AI112" s="2450"/>
      <c r="AJ112" s="2450"/>
      <c r="AK112" s="2428"/>
      <c r="AL112" s="2428"/>
      <c r="AM112" s="2428"/>
      <c r="AN112" s="2428"/>
      <c r="AO112" s="2403"/>
      <c r="AP112" s="2403"/>
      <c r="AQ112" s="2456"/>
    </row>
    <row r="113" spans="1:43" s="316" customFormat="1" ht="86.25" customHeight="1" thickBot="1" x14ac:dyDescent="0.25">
      <c r="A113" s="2434"/>
      <c r="B113" s="2303"/>
      <c r="C113" s="2435"/>
      <c r="D113" s="2440"/>
      <c r="E113" s="2441"/>
      <c r="F113" s="2442"/>
      <c r="G113" s="2446"/>
      <c r="H113" s="2447"/>
      <c r="I113" s="2448"/>
      <c r="J113" s="2446">
        <v>223</v>
      </c>
      <c r="K113" s="2327"/>
      <c r="L113" s="2327"/>
      <c r="M113" s="2450"/>
      <c r="N113" s="2332"/>
      <c r="O113" s="2332"/>
      <c r="P113" s="2327"/>
      <c r="Q113" s="2426"/>
      <c r="R113" s="2428"/>
      <c r="S113" s="2327"/>
      <c r="T113" s="2345"/>
      <c r="U113" s="285" t="s">
        <v>253</v>
      </c>
      <c r="V113" s="315">
        <v>180000000</v>
      </c>
      <c r="W113" s="2452"/>
      <c r="X113" s="2454"/>
      <c r="Y113" s="2428"/>
      <c r="Z113" s="2428"/>
      <c r="AA113" s="2428"/>
      <c r="AB113" s="2428"/>
      <c r="AC113" s="2428"/>
      <c r="AD113" s="2428"/>
      <c r="AE113" s="2428"/>
      <c r="AF113" s="2428"/>
      <c r="AG113" s="2452"/>
      <c r="AH113" s="2452"/>
      <c r="AI113" s="2450"/>
      <c r="AJ113" s="2450"/>
      <c r="AK113" s="2428"/>
      <c r="AL113" s="2428"/>
      <c r="AM113" s="2428"/>
      <c r="AN113" s="2428"/>
      <c r="AO113" s="2403"/>
      <c r="AP113" s="2403"/>
      <c r="AQ113" s="2456"/>
    </row>
    <row r="114" spans="1:43" s="330" customFormat="1" ht="27" customHeight="1" thickBot="1" x14ac:dyDescent="0.25">
      <c r="A114" s="317"/>
      <c r="B114" s="318"/>
      <c r="C114" s="318"/>
      <c r="D114" s="318"/>
      <c r="E114" s="318"/>
      <c r="F114" s="318"/>
      <c r="G114" s="318"/>
      <c r="H114" s="318"/>
      <c r="I114" s="318"/>
      <c r="J114" s="318"/>
      <c r="K114" s="319"/>
      <c r="L114" s="320"/>
      <c r="M114" s="321"/>
      <c r="N114" s="320"/>
      <c r="O114" s="321"/>
      <c r="P114" s="320"/>
      <c r="Q114" s="322"/>
      <c r="R114" s="323">
        <f>SUM(R12:R113)</f>
        <v>35771983967</v>
      </c>
      <c r="S114" s="324"/>
      <c r="T114" s="320"/>
      <c r="U114" s="320"/>
      <c r="V114" s="323">
        <f>SUM(V12:V113)</f>
        <v>35771983967</v>
      </c>
      <c r="W114" s="325"/>
      <c r="X114" s="320"/>
      <c r="Y114" s="326"/>
      <c r="Z114" s="327"/>
      <c r="AA114" s="327"/>
      <c r="AB114" s="327"/>
      <c r="AC114" s="327"/>
      <c r="AD114" s="327"/>
      <c r="AE114" s="327"/>
      <c r="AF114" s="327"/>
      <c r="AG114" s="327"/>
      <c r="AH114" s="327"/>
      <c r="AI114" s="327"/>
      <c r="AJ114" s="327"/>
      <c r="AK114" s="327"/>
      <c r="AL114" s="327"/>
      <c r="AM114" s="327"/>
      <c r="AN114" s="328"/>
      <c r="AO114" s="328"/>
      <c r="AP114" s="328"/>
      <c r="AQ114" s="329"/>
    </row>
    <row r="115" spans="1:43" s="330" customFormat="1" ht="27" customHeight="1" x14ac:dyDescent="0.2">
      <c r="A115" s="331"/>
      <c r="B115" s="331"/>
      <c r="C115" s="331"/>
      <c r="D115" s="331"/>
      <c r="E115" s="331"/>
      <c r="F115" s="331"/>
      <c r="G115" s="331"/>
      <c r="H115" s="331"/>
      <c r="I115" s="331"/>
      <c r="J115" s="331"/>
      <c r="K115" s="332"/>
      <c r="L115" s="333"/>
      <c r="M115" s="334"/>
      <c r="N115" s="333"/>
      <c r="O115" s="334"/>
      <c r="P115" s="333"/>
      <c r="Q115" s="333"/>
      <c r="R115" s="335"/>
      <c r="S115" s="333"/>
      <c r="T115" s="333"/>
      <c r="U115" s="333"/>
      <c r="V115" s="336"/>
      <c r="W115" s="337"/>
      <c r="X115" s="333"/>
      <c r="Y115" s="337"/>
      <c r="Z115" s="338"/>
      <c r="AA115" s="338"/>
      <c r="AB115" s="338"/>
      <c r="AC115" s="338"/>
      <c r="AD115" s="338"/>
      <c r="AE115" s="338"/>
      <c r="AF115" s="338"/>
      <c r="AG115" s="338"/>
      <c r="AH115" s="338"/>
      <c r="AI115" s="338"/>
      <c r="AJ115" s="338"/>
      <c r="AK115" s="338"/>
      <c r="AL115" s="338"/>
      <c r="AM115" s="338"/>
      <c r="AN115" s="339"/>
      <c r="AO115" s="339"/>
      <c r="AP115" s="339"/>
      <c r="AQ115" s="339"/>
    </row>
    <row r="116" spans="1:43" s="330" customFormat="1" ht="27" customHeight="1" x14ac:dyDescent="0.2">
      <c r="A116" s="331"/>
      <c r="B116" s="331"/>
      <c r="C116" s="331"/>
      <c r="D116" s="331"/>
      <c r="E116" s="331"/>
      <c r="F116" s="331"/>
      <c r="G116" s="331"/>
      <c r="H116" s="331"/>
      <c r="I116" s="331"/>
      <c r="J116" s="331"/>
      <c r="K116" s="332"/>
      <c r="L116" s="333"/>
      <c r="M116" s="334"/>
      <c r="N116" s="333"/>
      <c r="O116" s="334"/>
      <c r="P116" s="333"/>
      <c r="Q116" s="333"/>
      <c r="R116" s="335"/>
      <c r="S116" s="333"/>
      <c r="T116" s="333"/>
      <c r="U116" s="333"/>
      <c r="V116" s="336"/>
      <c r="W116" s="337"/>
      <c r="X116" s="333"/>
      <c r="Y116" s="337"/>
      <c r="Z116" s="338"/>
      <c r="AA116" s="338"/>
      <c r="AB116" s="338"/>
      <c r="AC116" s="338"/>
      <c r="AD116" s="338"/>
      <c r="AE116" s="338"/>
      <c r="AF116" s="338"/>
      <c r="AG116" s="338"/>
      <c r="AH116" s="338"/>
      <c r="AI116" s="338"/>
      <c r="AJ116" s="338"/>
      <c r="AK116" s="338"/>
      <c r="AL116" s="338"/>
      <c r="AM116" s="338"/>
      <c r="AN116" s="339"/>
      <c r="AO116" s="339"/>
      <c r="AP116" s="339"/>
      <c r="AQ116" s="339"/>
    </row>
    <row r="117" spans="1:43" ht="24" customHeight="1" x14ac:dyDescent="0.3">
      <c r="C117" s="341"/>
      <c r="D117" s="342" t="s">
        <v>254</v>
      </c>
      <c r="E117" s="342"/>
      <c r="F117" s="342"/>
      <c r="G117" s="342"/>
      <c r="H117" s="343"/>
      <c r="I117" s="344"/>
      <c r="J117" s="242"/>
      <c r="K117" s="345"/>
      <c r="L117" s="345"/>
      <c r="M117" s="345"/>
      <c r="N117" s="345"/>
      <c r="O117" s="242"/>
      <c r="P117" s="345"/>
      <c r="Q117" s="345"/>
      <c r="S117" s="345"/>
      <c r="T117" s="346"/>
      <c r="U117" s="347"/>
      <c r="V117" s="348"/>
      <c r="W117" s="346"/>
      <c r="X117" s="349"/>
      <c r="Y117" s="345"/>
      <c r="Z117" s="345"/>
      <c r="AA117" s="345"/>
      <c r="AB117" s="345"/>
      <c r="AC117" s="345"/>
      <c r="AD117" s="345"/>
      <c r="AE117" s="345"/>
      <c r="AF117" s="345"/>
      <c r="AG117" s="345"/>
      <c r="AH117" s="345"/>
      <c r="AI117" s="345"/>
      <c r="AJ117" s="345"/>
      <c r="AK117" s="345"/>
      <c r="AL117" s="345"/>
      <c r="AM117" s="345"/>
      <c r="AN117" s="345"/>
      <c r="AO117" s="345"/>
      <c r="AP117" s="345"/>
      <c r="AQ117" s="345"/>
    </row>
    <row r="118" spans="1:43" ht="20.25" customHeight="1" x14ac:dyDescent="0.3">
      <c r="C118" s="341"/>
      <c r="D118" s="350" t="s">
        <v>180</v>
      </c>
      <c r="E118" s="351"/>
      <c r="F118" s="351"/>
      <c r="G118" s="351"/>
      <c r="H118" s="350"/>
      <c r="I118" s="344"/>
      <c r="J118" s="242"/>
      <c r="K118" s="345"/>
      <c r="L118" s="345"/>
      <c r="M118" s="345"/>
      <c r="N118" s="345"/>
      <c r="O118" s="242"/>
      <c r="P118" s="345"/>
      <c r="Q118" s="345"/>
      <c r="S118" s="345"/>
      <c r="T118" s="346"/>
      <c r="U118" s="352"/>
      <c r="V118" s="348"/>
      <c r="W118" s="346"/>
      <c r="X118" s="349"/>
      <c r="Y118" s="345"/>
      <c r="Z118" s="345"/>
      <c r="AA118" s="345"/>
      <c r="AB118" s="345"/>
      <c r="AC118" s="345"/>
      <c r="AD118" s="345"/>
      <c r="AE118" s="345"/>
      <c r="AF118" s="345"/>
      <c r="AG118" s="345"/>
      <c r="AH118" s="345"/>
      <c r="AI118" s="345"/>
      <c r="AJ118" s="345"/>
      <c r="AK118" s="345"/>
      <c r="AL118" s="345"/>
      <c r="AM118" s="345"/>
      <c r="AN118" s="345"/>
      <c r="AO118" s="345"/>
      <c r="AP118" s="345"/>
      <c r="AQ118" s="345"/>
    </row>
    <row r="119" spans="1:43" ht="27" customHeight="1" x14ac:dyDescent="0.25">
      <c r="C119" s="341"/>
      <c r="D119" s="341"/>
      <c r="E119" s="341"/>
      <c r="F119" s="341"/>
      <c r="G119" s="341"/>
      <c r="H119" s="344"/>
      <c r="I119" s="344"/>
      <c r="J119" s="242"/>
      <c r="K119" s="345"/>
      <c r="L119" s="345"/>
      <c r="M119" s="345"/>
      <c r="N119" s="345"/>
      <c r="O119" s="242"/>
      <c r="P119" s="345"/>
      <c r="Q119" s="345"/>
      <c r="S119" s="345"/>
      <c r="T119" s="346"/>
      <c r="U119" s="352"/>
      <c r="V119" s="348"/>
      <c r="W119" s="346"/>
      <c r="X119" s="349"/>
      <c r="Y119" s="345"/>
      <c r="Z119" s="345"/>
      <c r="AA119" s="345"/>
      <c r="AB119" s="345"/>
      <c r="AC119" s="345"/>
      <c r="AD119" s="345"/>
      <c r="AE119" s="345"/>
      <c r="AF119" s="345"/>
      <c r="AG119" s="345"/>
      <c r="AH119" s="345"/>
      <c r="AI119" s="345"/>
      <c r="AJ119" s="345"/>
      <c r="AK119" s="345"/>
      <c r="AL119" s="345"/>
      <c r="AM119" s="345"/>
      <c r="AN119" s="345"/>
      <c r="AO119" s="345"/>
      <c r="AP119" s="345"/>
      <c r="AQ119" s="345"/>
    </row>
    <row r="120" spans="1:43" ht="27" customHeight="1" x14ac:dyDescent="0.2">
      <c r="C120" s="345"/>
      <c r="D120" s="345"/>
      <c r="E120" s="345"/>
      <c r="F120" s="345"/>
      <c r="G120" s="345"/>
      <c r="H120" s="345"/>
      <c r="I120" s="345"/>
      <c r="J120" s="242"/>
      <c r="K120" s="345"/>
      <c r="L120" s="345"/>
      <c r="M120" s="345"/>
      <c r="N120" s="345"/>
      <c r="O120" s="242"/>
      <c r="P120" s="345"/>
      <c r="Q120" s="345"/>
      <c r="S120" s="345"/>
      <c r="T120" s="346"/>
      <c r="U120" s="346"/>
      <c r="V120" s="348"/>
      <c r="W120" s="346"/>
      <c r="X120" s="349"/>
      <c r="Y120" s="345"/>
      <c r="Z120" s="345"/>
      <c r="AA120" s="345"/>
      <c r="AB120" s="345"/>
      <c r="AC120" s="345"/>
      <c r="AD120" s="345"/>
      <c r="AE120" s="345"/>
      <c r="AF120" s="345"/>
      <c r="AG120" s="345"/>
      <c r="AH120" s="345"/>
      <c r="AI120" s="345"/>
      <c r="AJ120" s="345"/>
      <c r="AK120" s="345"/>
      <c r="AL120" s="345"/>
      <c r="AM120" s="345"/>
      <c r="AN120" s="345"/>
      <c r="AO120" s="345"/>
      <c r="AP120" s="345"/>
      <c r="AQ120" s="345"/>
    </row>
    <row r="121" spans="1:43" ht="27" customHeight="1" x14ac:dyDescent="0.2">
      <c r="C121" s="345"/>
      <c r="D121" s="345"/>
      <c r="E121" s="345"/>
      <c r="F121" s="345"/>
      <c r="G121" s="345"/>
      <c r="H121" s="345"/>
      <c r="I121" s="345"/>
      <c r="J121" s="242"/>
      <c r="K121" s="345"/>
      <c r="L121" s="345"/>
      <c r="M121" s="345"/>
      <c r="N121" s="345"/>
      <c r="O121" s="242"/>
      <c r="P121" s="345"/>
      <c r="Q121" s="345"/>
      <c r="S121" s="345"/>
      <c r="T121" s="346"/>
      <c r="U121" s="346"/>
      <c r="V121" s="348"/>
      <c r="W121" s="346"/>
      <c r="X121" s="349"/>
      <c r="Y121" s="345"/>
      <c r="Z121" s="345"/>
      <c r="AA121" s="345"/>
      <c r="AB121" s="345"/>
      <c r="AC121" s="345"/>
      <c r="AD121" s="345"/>
      <c r="AE121" s="345"/>
      <c r="AF121" s="345"/>
      <c r="AG121" s="345"/>
      <c r="AH121" s="345"/>
      <c r="AI121" s="345"/>
      <c r="AJ121" s="345"/>
      <c r="AK121" s="345"/>
      <c r="AL121" s="345"/>
      <c r="AM121" s="345"/>
      <c r="AN121" s="345"/>
      <c r="AO121" s="345"/>
      <c r="AP121" s="345"/>
      <c r="AQ121" s="345"/>
    </row>
    <row r="122" spans="1:43" ht="27" customHeight="1" x14ac:dyDescent="0.2">
      <c r="C122" s="345"/>
      <c r="D122" s="345"/>
      <c r="E122" s="345"/>
      <c r="F122" s="345"/>
      <c r="G122" s="345"/>
      <c r="H122" s="345"/>
      <c r="I122" s="345"/>
      <c r="J122" s="242"/>
      <c r="K122" s="345"/>
      <c r="L122" s="345"/>
      <c r="M122" s="345"/>
      <c r="N122" s="345"/>
      <c r="O122" s="242"/>
      <c r="P122" s="345"/>
      <c r="Q122" s="345"/>
      <c r="S122" s="345"/>
      <c r="T122" s="345"/>
      <c r="U122" s="345"/>
      <c r="W122" s="345"/>
      <c r="X122" s="349"/>
      <c r="Y122" s="345"/>
      <c r="Z122" s="345"/>
      <c r="AA122" s="345"/>
      <c r="AB122" s="345"/>
      <c r="AC122" s="345"/>
      <c r="AD122" s="345"/>
      <c r="AE122" s="345"/>
      <c r="AF122" s="345"/>
      <c r="AG122" s="345"/>
      <c r="AH122" s="345"/>
      <c r="AI122" s="345"/>
      <c r="AJ122" s="345"/>
      <c r="AK122" s="345"/>
      <c r="AL122" s="345"/>
      <c r="AM122" s="345"/>
      <c r="AN122" s="345"/>
      <c r="AO122" s="345"/>
      <c r="AP122" s="345"/>
      <c r="AQ122" s="345"/>
    </row>
    <row r="123" spans="1:43" ht="27" customHeight="1" x14ac:dyDescent="0.2">
      <c r="C123" s="345"/>
      <c r="D123" s="345"/>
      <c r="E123" s="345"/>
      <c r="F123" s="345"/>
      <c r="G123" s="345"/>
      <c r="H123" s="345"/>
      <c r="I123" s="345"/>
      <c r="J123" s="242"/>
      <c r="K123" s="345"/>
      <c r="L123" s="345"/>
      <c r="M123" s="345"/>
      <c r="N123" s="345"/>
      <c r="O123" s="242"/>
      <c r="P123" s="345"/>
      <c r="Q123" s="345"/>
      <c r="S123" s="345"/>
      <c r="T123" s="345"/>
      <c r="U123" s="345"/>
      <c r="W123" s="345"/>
      <c r="X123" s="349"/>
      <c r="Y123" s="345"/>
      <c r="Z123" s="345"/>
      <c r="AA123" s="345"/>
      <c r="AB123" s="345"/>
      <c r="AC123" s="345"/>
      <c r="AD123" s="345"/>
      <c r="AE123" s="345"/>
      <c r="AF123" s="345"/>
      <c r="AG123" s="345"/>
      <c r="AH123" s="345"/>
      <c r="AI123" s="345"/>
      <c r="AJ123" s="345"/>
      <c r="AK123" s="345"/>
      <c r="AL123" s="345"/>
      <c r="AM123" s="345"/>
      <c r="AN123" s="345"/>
      <c r="AO123" s="345"/>
      <c r="AP123" s="345"/>
      <c r="AQ123" s="345"/>
    </row>
    <row r="124" spans="1:43" ht="27" customHeight="1" x14ac:dyDescent="0.2">
      <c r="C124" s="345"/>
      <c r="D124" s="345"/>
      <c r="E124" s="345"/>
      <c r="F124" s="345"/>
      <c r="G124" s="345"/>
      <c r="H124" s="345"/>
      <c r="I124" s="345"/>
      <c r="J124" s="242"/>
      <c r="K124" s="345"/>
      <c r="L124" s="345"/>
      <c r="M124" s="345"/>
      <c r="N124" s="345"/>
      <c r="O124" s="242"/>
      <c r="P124" s="345"/>
      <c r="Q124" s="345"/>
      <c r="S124" s="345"/>
      <c r="T124" s="345"/>
      <c r="U124" s="345"/>
      <c r="W124" s="345"/>
      <c r="X124" s="349"/>
      <c r="Y124" s="345"/>
      <c r="Z124" s="345"/>
      <c r="AA124" s="345"/>
      <c r="AB124" s="345"/>
      <c r="AC124" s="345"/>
      <c r="AD124" s="345"/>
      <c r="AE124" s="345"/>
      <c r="AF124" s="345"/>
      <c r="AG124" s="345"/>
      <c r="AH124" s="345"/>
      <c r="AI124" s="345"/>
      <c r="AJ124" s="345"/>
      <c r="AK124" s="345"/>
      <c r="AL124" s="345"/>
      <c r="AM124" s="345"/>
      <c r="AN124" s="345"/>
      <c r="AO124" s="345"/>
      <c r="AP124" s="345"/>
      <c r="AQ124" s="345"/>
    </row>
    <row r="125" spans="1:43" ht="27" customHeight="1" x14ac:dyDescent="0.2">
      <c r="C125" s="345"/>
      <c r="D125" s="345"/>
      <c r="E125" s="345"/>
      <c r="F125" s="345"/>
      <c r="G125" s="345"/>
      <c r="H125" s="345"/>
      <c r="I125" s="345"/>
      <c r="J125" s="242"/>
      <c r="K125" s="345"/>
      <c r="L125" s="345"/>
      <c r="M125" s="345"/>
      <c r="N125" s="345"/>
      <c r="O125" s="242"/>
      <c r="P125" s="345"/>
      <c r="Q125" s="345"/>
      <c r="S125" s="345"/>
      <c r="T125" s="345"/>
      <c r="U125" s="345"/>
      <c r="W125" s="345"/>
      <c r="X125" s="349"/>
      <c r="Y125" s="345"/>
      <c r="Z125" s="345"/>
      <c r="AA125" s="345"/>
      <c r="AB125" s="345"/>
      <c r="AC125" s="345"/>
      <c r="AD125" s="345"/>
      <c r="AE125" s="345"/>
      <c r="AF125" s="345"/>
      <c r="AG125" s="345"/>
      <c r="AH125" s="345"/>
      <c r="AI125" s="345"/>
      <c r="AJ125" s="345"/>
      <c r="AK125" s="345"/>
      <c r="AL125" s="345"/>
      <c r="AM125" s="345"/>
      <c r="AN125" s="345"/>
      <c r="AO125" s="345"/>
      <c r="AP125" s="345"/>
      <c r="AQ125" s="345"/>
    </row>
    <row r="126" spans="1:43" ht="27" customHeight="1" x14ac:dyDescent="0.2">
      <c r="C126" s="345"/>
      <c r="D126" s="345"/>
      <c r="E126" s="345"/>
      <c r="F126" s="345"/>
      <c r="G126" s="345"/>
      <c r="H126" s="345"/>
      <c r="I126" s="345"/>
      <c r="J126" s="242"/>
      <c r="K126" s="345"/>
      <c r="L126" s="345"/>
      <c r="M126" s="345"/>
      <c r="N126" s="345"/>
      <c r="O126" s="242"/>
      <c r="P126" s="345"/>
      <c r="Q126" s="345"/>
      <c r="S126" s="345"/>
      <c r="T126" s="345"/>
      <c r="U126" s="345"/>
      <c r="W126" s="345"/>
      <c r="X126" s="349"/>
      <c r="Y126" s="345"/>
      <c r="Z126" s="345"/>
      <c r="AA126" s="345"/>
      <c r="AB126" s="345"/>
      <c r="AC126" s="345"/>
      <c r="AD126" s="345"/>
      <c r="AE126" s="345"/>
      <c r="AF126" s="345"/>
      <c r="AG126" s="345"/>
      <c r="AH126" s="345"/>
      <c r="AI126" s="345"/>
      <c r="AJ126" s="345"/>
      <c r="AK126" s="345"/>
      <c r="AL126" s="345"/>
      <c r="AM126" s="345"/>
      <c r="AN126" s="345"/>
      <c r="AO126" s="345"/>
      <c r="AP126" s="345"/>
      <c r="AQ126" s="345"/>
    </row>
    <row r="127" spans="1:43" ht="27" customHeight="1" x14ac:dyDescent="0.2">
      <c r="C127" s="345"/>
      <c r="D127" s="345"/>
      <c r="E127" s="345"/>
      <c r="F127" s="345"/>
      <c r="G127" s="345"/>
      <c r="H127" s="345"/>
      <c r="I127" s="345"/>
      <c r="J127" s="242"/>
      <c r="K127" s="345"/>
      <c r="L127" s="345"/>
      <c r="M127" s="345"/>
      <c r="N127" s="345"/>
      <c r="O127" s="242"/>
      <c r="P127" s="345"/>
      <c r="Q127" s="345"/>
      <c r="S127" s="345"/>
      <c r="T127" s="345"/>
      <c r="U127" s="345"/>
      <c r="W127" s="345"/>
      <c r="X127" s="349"/>
      <c r="Y127" s="345"/>
      <c r="Z127" s="345"/>
      <c r="AA127" s="345"/>
      <c r="AB127" s="345"/>
      <c r="AC127" s="345"/>
      <c r="AD127" s="345"/>
      <c r="AE127" s="345"/>
      <c r="AF127" s="345"/>
      <c r="AG127" s="345"/>
      <c r="AH127" s="345"/>
      <c r="AI127" s="345"/>
      <c r="AJ127" s="345"/>
      <c r="AK127" s="345"/>
      <c r="AL127" s="345"/>
      <c r="AM127" s="345"/>
      <c r="AN127" s="345"/>
      <c r="AO127" s="345"/>
      <c r="AP127" s="345"/>
      <c r="AQ127" s="345"/>
    </row>
    <row r="128" spans="1:43" ht="27" customHeight="1" x14ac:dyDescent="0.2">
      <c r="C128" s="345"/>
      <c r="D128" s="345"/>
      <c r="E128" s="345"/>
      <c r="F128" s="345"/>
      <c r="G128" s="345"/>
      <c r="H128" s="345"/>
      <c r="I128" s="345"/>
      <c r="J128" s="242"/>
      <c r="K128" s="345"/>
      <c r="L128" s="345"/>
      <c r="M128" s="345"/>
      <c r="N128" s="345"/>
      <c r="O128" s="242"/>
      <c r="P128" s="345"/>
      <c r="Q128" s="345"/>
      <c r="S128" s="345"/>
      <c r="T128" s="345"/>
      <c r="U128" s="345"/>
      <c r="W128" s="345"/>
      <c r="X128" s="349"/>
      <c r="Y128" s="345"/>
      <c r="Z128" s="345"/>
      <c r="AA128" s="345"/>
      <c r="AB128" s="345"/>
      <c r="AC128" s="345"/>
      <c r="AD128" s="345"/>
      <c r="AE128" s="345"/>
      <c r="AF128" s="345"/>
      <c r="AG128" s="345"/>
      <c r="AH128" s="345"/>
      <c r="AI128" s="345"/>
      <c r="AJ128" s="345"/>
      <c r="AK128" s="345"/>
      <c r="AL128" s="345"/>
      <c r="AM128" s="345"/>
      <c r="AN128" s="345"/>
      <c r="AO128" s="345"/>
      <c r="AP128" s="345"/>
      <c r="AQ128" s="345"/>
    </row>
    <row r="129" spans="3:43" ht="27" customHeight="1" x14ac:dyDescent="0.2">
      <c r="C129" s="345"/>
      <c r="D129" s="345"/>
      <c r="E129" s="345"/>
      <c r="F129" s="345"/>
      <c r="G129" s="345"/>
      <c r="H129" s="345"/>
      <c r="I129" s="345"/>
      <c r="J129" s="242"/>
      <c r="K129" s="345"/>
      <c r="L129" s="345"/>
      <c r="M129" s="345"/>
      <c r="N129" s="345"/>
      <c r="O129" s="242"/>
      <c r="P129" s="345"/>
      <c r="Q129" s="345"/>
      <c r="S129" s="345"/>
      <c r="T129" s="345"/>
      <c r="U129" s="345"/>
      <c r="W129" s="345"/>
      <c r="X129" s="349"/>
      <c r="Y129" s="345"/>
      <c r="Z129" s="345"/>
      <c r="AA129" s="345"/>
      <c r="AB129" s="345"/>
      <c r="AC129" s="345"/>
      <c r="AD129" s="345"/>
      <c r="AE129" s="345"/>
      <c r="AF129" s="345"/>
      <c r="AG129" s="345"/>
      <c r="AH129" s="345"/>
      <c r="AI129" s="345"/>
      <c r="AJ129" s="345"/>
      <c r="AK129" s="345"/>
      <c r="AL129" s="345"/>
      <c r="AM129" s="345"/>
      <c r="AN129" s="345"/>
      <c r="AO129" s="345"/>
      <c r="AP129" s="345"/>
      <c r="AQ129" s="345"/>
    </row>
    <row r="130" spans="3:43" ht="27" customHeight="1" x14ac:dyDescent="0.2">
      <c r="C130" s="345"/>
      <c r="D130" s="345"/>
      <c r="E130" s="345"/>
      <c r="F130" s="345"/>
      <c r="G130" s="345"/>
      <c r="H130" s="345"/>
      <c r="I130" s="345"/>
      <c r="J130" s="242"/>
      <c r="K130" s="345"/>
      <c r="L130" s="345"/>
      <c r="M130" s="345"/>
      <c r="N130" s="345"/>
      <c r="O130" s="242"/>
      <c r="P130" s="345"/>
      <c r="Q130" s="345"/>
      <c r="S130" s="345"/>
      <c r="T130" s="345"/>
      <c r="U130" s="345"/>
      <c r="W130" s="345"/>
      <c r="X130" s="349"/>
      <c r="Y130" s="345"/>
      <c r="Z130" s="345"/>
      <c r="AA130" s="345"/>
      <c r="AB130" s="345"/>
      <c r="AC130" s="345"/>
      <c r="AD130" s="345"/>
      <c r="AE130" s="345"/>
      <c r="AF130" s="345"/>
      <c r="AG130" s="345"/>
      <c r="AH130" s="345"/>
      <c r="AI130" s="345"/>
      <c r="AJ130" s="345"/>
      <c r="AK130" s="345"/>
      <c r="AL130" s="345"/>
      <c r="AM130" s="345"/>
      <c r="AN130" s="345"/>
      <c r="AO130" s="345"/>
      <c r="AP130" s="345"/>
      <c r="AQ130" s="345"/>
    </row>
    <row r="131" spans="3:43" ht="27" customHeight="1" x14ac:dyDescent="0.2">
      <c r="C131" s="345"/>
      <c r="D131" s="345"/>
      <c r="E131" s="345"/>
      <c r="F131" s="345"/>
      <c r="G131" s="345"/>
      <c r="H131" s="345"/>
      <c r="I131" s="345"/>
      <c r="J131" s="242"/>
      <c r="K131" s="345"/>
      <c r="L131" s="345"/>
      <c r="M131" s="345"/>
      <c r="N131" s="345"/>
      <c r="O131" s="242"/>
      <c r="P131" s="345"/>
      <c r="Q131" s="345"/>
      <c r="S131" s="345"/>
      <c r="T131" s="345"/>
      <c r="U131" s="345"/>
      <c r="W131" s="345"/>
      <c r="X131" s="349"/>
      <c r="Y131" s="345"/>
      <c r="Z131" s="345"/>
      <c r="AA131" s="345"/>
      <c r="AB131" s="345"/>
      <c r="AC131" s="345"/>
      <c r="AD131" s="345"/>
      <c r="AE131" s="345"/>
      <c r="AF131" s="345"/>
      <c r="AG131" s="345"/>
      <c r="AH131" s="345"/>
      <c r="AI131" s="345"/>
      <c r="AJ131" s="345"/>
      <c r="AK131" s="345"/>
      <c r="AL131" s="345"/>
      <c r="AM131" s="345"/>
      <c r="AN131" s="345"/>
      <c r="AO131" s="345"/>
      <c r="AP131" s="345"/>
      <c r="AQ131" s="345"/>
    </row>
    <row r="132" spans="3:43" ht="27" customHeight="1" x14ac:dyDescent="0.2">
      <c r="C132" s="345"/>
      <c r="D132" s="345"/>
      <c r="E132" s="345"/>
      <c r="F132" s="345"/>
      <c r="G132" s="345"/>
      <c r="H132" s="345"/>
      <c r="I132" s="345"/>
      <c r="J132" s="242"/>
      <c r="K132" s="345"/>
      <c r="L132" s="345"/>
      <c r="M132" s="345"/>
      <c r="N132" s="345"/>
      <c r="O132" s="242"/>
      <c r="P132" s="345"/>
      <c r="Q132" s="345"/>
      <c r="S132" s="345"/>
      <c r="T132" s="345"/>
      <c r="U132" s="345"/>
      <c r="W132" s="345"/>
      <c r="X132" s="349"/>
      <c r="Y132" s="345"/>
      <c r="Z132" s="345"/>
      <c r="AA132" s="345"/>
      <c r="AB132" s="345"/>
      <c r="AC132" s="345"/>
      <c r="AD132" s="345"/>
      <c r="AE132" s="345"/>
      <c r="AF132" s="345"/>
      <c r="AG132" s="345"/>
      <c r="AH132" s="345"/>
      <c r="AI132" s="345"/>
      <c r="AJ132" s="345"/>
      <c r="AK132" s="345"/>
      <c r="AL132" s="345"/>
      <c r="AM132" s="345"/>
      <c r="AN132" s="345"/>
      <c r="AO132" s="345"/>
      <c r="AP132" s="345"/>
      <c r="AQ132" s="345"/>
    </row>
    <row r="133" spans="3:43" ht="27" customHeight="1" x14ac:dyDescent="0.2">
      <c r="C133" s="345"/>
      <c r="D133" s="345"/>
      <c r="E133" s="345"/>
      <c r="F133" s="345"/>
      <c r="G133" s="345"/>
      <c r="H133" s="345"/>
      <c r="I133" s="345"/>
      <c r="J133" s="242"/>
      <c r="K133" s="345"/>
      <c r="L133" s="345"/>
      <c r="M133" s="345"/>
      <c r="N133" s="345"/>
      <c r="O133" s="242"/>
      <c r="P133" s="345"/>
      <c r="Q133" s="345"/>
      <c r="S133" s="345"/>
      <c r="T133" s="345"/>
      <c r="U133" s="345"/>
      <c r="W133" s="345"/>
      <c r="X133" s="349"/>
      <c r="Y133" s="345"/>
      <c r="Z133" s="345"/>
      <c r="AA133" s="345"/>
      <c r="AB133" s="345"/>
      <c r="AC133" s="345"/>
      <c r="AD133" s="345"/>
      <c r="AE133" s="345"/>
      <c r="AF133" s="345"/>
      <c r="AG133" s="345"/>
      <c r="AH133" s="345"/>
      <c r="AI133" s="345"/>
      <c r="AJ133" s="345"/>
      <c r="AK133" s="345"/>
      <c r="AL133" s="345"/>
      <c r="AM133" s="345"/>
      <c r="AN133" s="345"/>
      <c r="AO133" s="345"/>
      <c r="AP133" s="345"/>
      <c r="AQ133" s="345"/>
    </row>
    <row r="134" spans="3:43" ht="27" customHeight="1" x14ac:dyDescent="0.2">
      <c r="C134" s="345"/>
      <c r="D134" s="345"/>
      <c r="E134" s="345"/>
      <c r="F134" s="345"/>
      <c r="G134" s="345"/>
      <c r="H134" s="345"/>
      <c r="I134" s="345"/>
      <c r="J134" s="242"/>
      <c r="K134" s="345"/>
      <c r="L134" s="345"/>
      <c r="M134" s="345"/>
      <c r="N134" s="345"/>
      <c r="O134" s="242"/>
      <c r="P134" s="345"/>
      <c r="Q134" s="345"/>
      <c r="S134" s="345"/>
      <c r="T134" s="345"/>
      <c r="U134" s="345"/>
      <c r="W134" s="345"/>
      <c r="X134" s="349"/>
      <c r="Y134" s="345"/>
      <c r="Z134" s="345"/>
      <c r="AA134" s="345"/>
      <c r="AB134" s="345"/>
      <c r="AC134" s="345"/>
      <c r="AD134" s="345"/>
      <c r="AE134" s="345"/>
      <c r="AF134" s="345"/>
      <c r="AG134" s="345"/>
      <c r="AH134" s="345"/>
      <c r="AI134" s="345"/>
      <c r="AJ134" s="345"/>
      <c r="AK134" s="345"/>
      <c r="AL134" s="345"/>
      <c r="AM134" s="345"/>
      <c r="AN134" s="345"/>
      <c r="AO134" s="345"/>
      <c r="AP134" s="345"/>
      <c r="AQ134" s="345"/>
    </row>
    <row r="135" spans="3:43" ht="27" customHeight="1" x14ac:dyDescent="0.2">
      <c r="C135" s="345"/>
      <c r="D135" s="345"/>
      <c r="E135" s="345"/>
      <c r="F135" s="345"/>
      <c r="G135" s="345"/>
      <c r="H135" s="345"/>
      <c r="I135" s="345"/>
      <c r="J135" s="242"/>
      <c r="K135" s="345"/>
      <c r="L135" s="345"/>
      <c r="M135" s="345"/>
      <c r="N135" s="345"/>
      <c r="O135" s="242"/>
      <c r="P135" s="345"/>
      <c r="Q135" s="345"/>
      <c r="S135" s="345"/>
      <c r="T135" s="345"/>
      <c r="U135" s="345"/>
      <c r="W135" s="345"/>
      <c r="X135" s="349"/>
      <c r="Y135" s="345"/>
      <c r="Z135" s="345"/>
      <c r="AA135" s="345"/>
      <c r="AB135" s="345"/>
      <c r="AC135" s="345"/>
      <c r="AD135" s="345"/>
      <c r="AE135" s="345"/>
      <c r="AF135" s="345"/>
      <c r="AG135" s="345"/>
      <c r="AH135" s="345"/>
      <c r="AI135" s="345"/>
      <c r="AJ135" s="345"/>
      <c r="AK135" s="345"/>
      <c r="AL135" s="345"/>
      <c r="AM135" s="345"/>
      <c r="AN135" s="345"/>
      <c r="AO135" s="345"/>
      <c r="AP135" s="345"/>
      <c r="AQ135" s="345"/>
    </row>
    <row r="136" spans="3:43" ht="27" customHeight="1" x14ac:dyDescent="0.2">
      <c r="C136" s="345"/>
      <c r="D136" s="345"/>
      <c r="E136" s="345"/>
      <c r="F136" s="345"/>
      <c r="G136" s="345"/>
      <c r="H136" s="345"/>
      <c r="I136" s="345"/>
      <c r="J136" s="242"/>
      <c r="K136" s="345"/>
      <c r="L136" s="345"/>
      <c r="M136" s="345"/>
      <c r="N136" s="345"/>
      <c r="O136" s="242"/>
      <c r="P136" s="345"/>
      <c r="Q136" s="345"/>
      <c r="S136" s="345"/>
      <c r="T136" s="345"/>
      <c r="U136" s="345"/>
      <c r="W136" s="345"/>
      <c r="X136" s="349"/>
      <c r="Y136" s="345"/>
      <c r="Z136" s="345"/>
      <c r="AA136" s="345"/>
      <c r="AB136" s="345"/>
      <c r="AC136" s="345"/>
      <c r="AD136" s="345"/>
      <c r="AE136" s="345"/>
      <c r="AF136" s="345"/>
      <c r="AG136" s="345"/>
      <c r="AH136" s="345"/>
      <c r="AI136" s="345"/>
      <c r="AJ136" s="345"/>
      <c r="AK136" s="345"/>
      <c r="AL136" s="345"/>
      <c r="AM136" s="345"/>
      <c r="AN136" s="345"/>
      <c r="AO136" s="345"/>
      <c r="AP136" s="345"/>
      <c r="AQ136" s="345"/>
    </row>
    <row r="137" spans="3:43" ht="27" customHeight="1" x14ac:dyDescent="0.2">
      <c r="C137" s="345"/>
      <c r="D137" s="345"/>
      <c r="E137" s="345"/>
      <c r="F137" s="345"/>
      <c r="G137" s="345"/>
      <c r="H137" s="345"/>
      <c r="I137" s="345"/>
      <c r="J137" s="242"/>
      <c r="K137" s="345"/>
      <c r="L137" s="345"/>
      <c r="M137" s="345"/>
      <c r="N137" s="345"/>
      <c r="O137" s="242"/>
      <c r="P137" s="345"/>
      <c r="Q137" s="345"/>
      <c r="S137" s="345"/>
      <c r="T137" s="345"/>
      <c r="U137" s="345"/>
      <c r="W137" s="345"/>
      <c r="X137" s="349"/>
      <c r="Y137" s="345"/>
      <c r="Z137" s="345"/>
      <c r="AA137" s="345"/>
      <c r="AB137" s="345"/>
      <c r="AC137" s="345"/>
      <c r="AD137" s="345"/>
      <c r="AE137" s="345"/>
      <c r="AF137" s="345"/>
      <c r="AG137" s="345"/>
      <c r="AH137" s="345"/>
      <c r="AI137" s="345"/>
      <c r="AJ137" s="345"/>
      <c r="AK137" s="345"/>
      <c r="AL137" s="345"/>
      <c r="AM137" s="345"/>
      <c r="AN137" s="345"/>
      <c r="AO137" s="345"/>
      <c r="AP137" s="345"/>
      <c r="AQ137" s="345"/>
    </row>
    <row r="138" spans="3:43" ht="27" customHeight="1" x14ac:dyDescent="0.2">
      <c r="C138" s="345"/>
      <c r="D138" s="345"/>
      <c r="E138" s="345"/>
      <c r="F138" s="345"/>
      <c r="G138" s="345"/>
      <c r="H138" s="345"/>
      <c r="I138" s="345"/>
      <c r="J138" s="242"/>
      <c r="K138" s="345"/>
      <c r="L138" s="345"/>
      <c r="M138" s="345"/>
      <c r="N138" s="345"/>
      <c r="O138" s="242"/>
      <c r="P138" s="345"/>
      <c r="Q138" s="345"/>
      <c r="S138" s="345"/>
      <c r="T138" s="345"/>
      <c r="U138" s="345"/>
      <c r="W138" s="345"/>
      <c r="X138" s="349"/>
      <c r="Y138" s="345"/>
      <c r="Z138" s="345"/>
      <c r="AA138" s="345"/>
      <c r="AB138" s="345"/>
      <c r="AC138" s="345"/>
      <c r="AD138" s="345"/>
      <c r="AE138" s="345"/>
      <c r="AF138" s="345"/>
      <c r="AG138" s="345"/>
      <c r="AH138" s="345"/>
      <c r="AI138" s="345"/>
      <c r="AJ138" s="345"/>
      <c r="AK138" s="345"/>
      <c r="AL138" s="345"/>
      <c r="AM138" s="345"/>
      <c r="AN138" s="345"/>
      <c r="AO138" s="345"/>
      <c r="AP138" s="345"/>
      <c r="AQ138" s="345"/>
    </row>
    <row r="139" spans="3:43" ht="27" customHeight="1" x14ac:dyDescent="0.2">
      <c r="C139" s="345"/>
      <c r="D139" s="345"/>
      <c r="E139" s="345"/>
      <c r="F139" s="345"/>
      <c r="G139" s="345"/>
      <c r="H139" s="345"/>
      <c r="I139" s="345"/>
      <c r="J139" s="242"/>
      <c r="K139" s="345"/>
      <c r="L139" s="345"/>
      <c r="M139" s="345"/>
      <c r="N139" s="345"/>
      <c r="O139" s="242"/>
      <c r="P139" s="345"/>
      <c r="Q139" s="345"/>
      <c r="S139" s="345"/>
      <c r="T139" s="345"/>
      <c r="U139" s="345"/>
      <c r="W139" s="345"/>
      <c r="X139" s="349"/>
      <c r="Y139" s="345"/>
      <c r="Z139" s="345"/>
      <c r="AA139" s="345"/>
      <c r="AB139" s="345"/>
      <c r="AC139" s="345"/>
      <c r="AD139" s="345"/>
      <c r="AE139" s="345"/>
      <c r="AF139" s="345"/>
      <c r="AG139" s="345"/>
      <c r="AH139" s="345"/>
      <c r="AI139" s="345"/>
      <c r="AJ139" s="345"/>
      <c r="AK139" s="345"/>
      <c r="AL139" s="345"/>
      <c r="AM139" s="345"/>
      <c r="AN139" s="345"/>
      <c r="AO139" s="345"/>
      <c r="AP139" s="345"/>
      <c r="AQ139" s="345"/>
    </row>
    <row r="140" spans="3:43" ht="27" customHeight="1" x14ac:dyDescent="0.2">
      <c r="C140" s="345"/>
      <c r="D140" s="345"/>
      <c r="E140" s="345"/>
      <c r="F140" s="345"/>
      <c r="G140" s="345"/>
      <c r="H140" s="345"/>
      <c r="I140" s="345"/>
      <c r="J140" s="242"/>
      <c r="K140" s="345"/>
      <c r="L140" s="345"/>
      <c r="M140" s="345"/>
      <c r="N140" s="345"/>
      <c r="O140" s="242"/>
      <c r="P140" s="345"/>
      <c r="Q140" s="345"/>
      <c r="S140" s="345"/>
      <c r="T140" s="345"/>
      <c r="U140" s="345"/>
      <c r="W140" s="345"/>
      <c r="X140" s="349"/>
      <c r="Y140" s="345"/>
      <c r="Z140" s="345"/>
      <c r="AA140" s="345"/>
      <c r="AB140" s="345"/>
      <c r="AC140" s="345"/>
      <c r="AD140" s="345"/>
      <c r="AE140" s="345"/>
      <c r="AF140" s="345"/>
      <c r="AG140" s="345"/>
      <c r="AH140" s="345"/>
      <c r="AI140" s="345"/>
      <c r="AJ140" s="345"/>
      <c r="AK140" s="345"/>
      <c r="AL140" s="345"/>
      <c r="AM140" s="345"/>
      <c r="AN140" s="345"/>
      <c r="AO140" s="345"/>
      <c r="AP140" s="345"/>
      <c r="AQ140" s="345"/>
    </row>
    <row r="141" spans="3:43" ht="27" customHeight="1" x14ac:dyDescent="0.2">
      <c r="C141" s="345"/>
      <c r="D141" s="345"/>
      <c r="E141" s="345"/>
      <c r="F141" s="345"/>
      <c r="G141" s="345"/>
      <c r="H141" s="345"/>
      <c r="I141" s="345"/>
      <c r="J141" s="242"/>
      <c r="K141" s="345"/>
      <c r="L141" s="345"/>
      <c r="M141" s="345"/>
      <c r="N141" s="345"/>
      <c r="O141" s="242"/>
      <c r="P141" s="345"/>
      <c r="Q141" s="345"/>
      <c r="S141" s="345"/>
      <c r="T141" s="345"/>
      <c r="U141" s="345"/>
      <c r="W141" s="345"/>
      <c r="X141" s="349"/>
      <c r="Y141" s="345"/>
      <c r="Z141" s="345"/>
      <c r="AA141" s="345"/>
      <c r="AB141" s="345"/>
      <c r="AC141" s="345"/>
      <c r="AD141" s="345"/>
      <c r="AE141" s="345"/>
      <c r="AF141" s="345"/>
      <c r="AG141" s="345"/>
      <c r="AH141" s="345"/>
      <c r="AI141" s="345"/>
      <c r="AJ141" s="345"/>
      <c r="AK141" s="345"/>
      <c r="AL141" s="345"/>
      <c r="AM141" s="345"/>
      <c r="AN141" s="345"/>
      <c r="AO141" s="345"/>
      <c r="AP141" s="345"/>
      <c r="AQ141" s="345"/>
    </row>
    <row r="142" spans="3:43" ht="27" customHeight="1" x14ac:dyDescent="0.2">
      <c r="C142" s="345"/>
      <c r="D142" s="345"/>
      <c r="E142" s="345"/>
      <c r="F142" s="345"/>
      <c r="G142" s="345"/>
      <c r="H142" s="345"/>
      <c r="I142" s="345"/>
      <c r="J142" s="242"/>
      <c r="K142" s="345"/>
      <c r="L142" s="345"/>
      <c r="M142" s="345"/>
      <c r="N142" s="345"/>
      <c r="O142" s="242"/>
      <c r="P142" s="345"/>
      <c r="Q142" s="345"/>
      <c r="S142" s="345"/>
      <c r="T142" s="345"/>
      <c r="U142" s="345"/>
      <c r="W142" s="345"/>
      <c r="X142" s="349"/>
      <c r="Y142" s="345"/>
      <c r="Z142" s="345"/>
      <c r="AA142" s="345"/>
      <c r="AB142" s="345"/>
      <c r="AC142" s="345"/>
      <c r="AD142" s="345"/>
      <c r="AE142" s="345"/>
      <c r="AF142" s="345"/>
      <c r="AG142" s="345"/>
      <c r="AH142" s="345"/>
      <c r="AI142" s="345"/>
      <c r="AJ142" s="345"/>
      <c r="AK142" s="345"/>
      <c r="AL142" s="345"/>
      <c r="AM142" s="345"/>
      <c r="AN142" s="345"/>
      <c r="AO142" s="345"/>
      <c r="AP142" s="345"/>
      <c r="AQ142" s="345"/>
    </row>
    <row r="143" spans="3:43" ht="27" customHeight="1" x14ac:dyDescent="0.2">
      <c r="C143" s="345"/>
      <c r="D143" s="345"/>
      <c r="E143" s="345"/>
      <c r="F143" s="345"/>
      <c r="G143" s="345"/>
      <c r="H143" s="345"/>
      <c r="I143" s="345"/>
      <c r="J143" s="242"/>
      <c r="K143" s="345"/>
      <c r="L143" s="345"/>
      <c r="M143" s="345"/>
      <c r="N143" s="345"/>
      <c r="O143" s="242"/>
      <c r="P143" s="345"/>
      <c r="Q143" s="345"/>
      <c r="S143" s="345"/>
      <c r="T143" s="345"/>
      <c r="U143" s="345"/>
      <c r="W143" s="345"/>
      <c r="X143" s="349"/>
      <c r="Y143" s="345"/>
      <c r="Z143" s="345"/>
      <c r="AA143" s="345"/>
      <c r="AB143" s="345"/>
      <c r="AC143" s="345"/>
      <c r="AD143" s="345"/>
      <c r="AE143" s="345"/>
      <c r="AF143" s="345"/>
      <c r="AG143" s="345"/>
      <c r="AH143" s="345"/>
      <c r="AI143" s="345"/>
      <c r="AJ143" s="345"/>
      <c r="AK143" s="345"/>
      <c r="AL143" s="345"/>
      <c r="AM143" s="345"/>
      <c r="AN143" s="345"/>
      <c r="AO143" s="345"/>
      <c r="AP143" s="345"/>
      <c r="AQ143" s="345"/>
    </row>
    <row r="144" spans="3:43" ht="27" customHeight="1" x14ac:dyDescent="0.2">
      <c r="C144" s="345"/>
      <c r="D144" s="345"/>
      <c r="E144" s="345"/>
      <c r="F144" s="345"/>
      <c r="G144" s="345"/>
      <c r="H144" s="345"/>
      <c r="I144" s="345"/>
      <c r="J144" s="242"/>
      <c r="K144" s="345"/>
      <c r="L144" s="345"/>
      <c r="M144" s="345"/>
      <c r="N144" s="345"/>
      <c r="O144" s="242"/>
      <c r="P144" s="345"/>
      <c r="Q144" s="345"/>
      <c r="S144" s="345"/>
      <c r="T144" s="345"/>
      <c r="U144" s="345"/>
      <c r="W144" s="345"/>
      <c r="X144" s="349"/>
      <c r="Y144" s="345"/>
      <c r="Z144" s="345"/>
      <c r="AA144" s="345"/>
      <c r="AB144" s="345"/>
      <c r="AC144" s="345"/>
      <c r="AD144" s="345"/>
      <c r="AE144" s="345"/>
      <c r="AF144" s="345"/>
      <c r="AG144" s="345"/>
      <c r="AH144" s="345"/>
      <c r="AI144" s="345"/>
      <c r="AJ144" s="345"/>
      <c r="AK144" s="345"/>
      <c r="AL144" s="345"/>
      <c r="AM144" s="345"/>
      <c r="AN144" s="345"/>
      <c r="AO144" s="345"/>
      <c r="AP144" s="345"/>
      <c r="AQ144" s="345"/>
    </row>
    <row r="145" spans="3:43" ht="27" customHeight="1" x14ac:dyDescent="0.2">
      <c r="C145" s="345"/>
      <c r="D145" s="345"/>
      <c r="E145" s="345"/>
      <c r="F145" s="345"/>
      <c r="G145" s="345"/>
      <c r="H145" s="345"/>
      <c r="I145" s="345"/>
      <c r="J145" s="242"/>
      <c r="K145" s="345"/>
      <c r="L145" s="345"/>
      <c r="M145" s="345"/>
      <c r="N145" s="345"/>
      <c r="O145" s="242"/>
      <c r="P145" s="345"/>
      <c r="Q145" s="345"/>
      <c r="S145" s="345"/>
      <c r="T145" s="345"/>
      <c r="U145" s="345"/>
      <c r="W145" s="345"/>
      <c r="X145" s="349"/>
      <c r="Y145" s="345"/>
      <c r="Z145" s="345"/>
      <c r="AA145" s="345"/>
      <c r="AB145" s="345"/>
      <c r="AC145" s="345"/>
      <c r="AD145" s="345"/>
      <c r="AE145" s="345"/>
      <c r="AF145" s="345"/>
      <c r="AG145" s="345"/>
      <c r="AH145" s="345"/>
      <c r="AI145" s="345"/>
      <c r="AJ145" s="345"/>
      <c r="AK145" s="345"/>
      <c r="AL145" s="345"/>
      <c r="AM145" s="345"/>
      <c r="AN145" s="345"/>
      <c r="AO145" s="345"/>
      <c r="AP145" s="345"/>
      <c r="AQ145" s="345"/>
    </row>
    <row r="146" spans="3:43" ht="27" customHeight="1" x14ac:dyDescent="0.2">
      <c r="C146" s="345"/>
      <c r="D146" s="345"/>
      <c r="E146" s="345"/>
      <c r="F146" s="345"/>
      <c r="G146" s="345"/>
      <c r="H146" s="345"/>
      <c r="I146" s="345"/>
      <c r="J146" s="242"/>
      <c r="K146" s="345"/>
      <c r="L146" s="345"/>
      <c r="M146" s="345"/>
      <c r="N146" s="345"/>
      <c r="O146" s="242"/>
      <c r="P146" s="345"/>
      <c r="Q146" s="345"/>
      <c r="S146" s="345"/>
      <c r="T146" s="345"/>
      <c r="U146" s="345"/>
      <c r="W146" s="345"/>
      <c r="X146" s="349"/>
      <c r="Y146" s="345"/>
      <c r="Z146" s="345"/>
      <c r="AA146" s="345"/>
      <c r="AB146" s="345"/>
      <c r="AC146" s="345"/>
      <c r="AD146" s="345"/>
      <c r="AE146" s="345"/>
      <c r="AF146" s="345"/>
      <c r="AG146" s="345"/>
      <c r="AH146" s="345"/>
      <c r="AI146" s="345"/>
      <c r="AJ146" s="345"/>
      <c r="AK146" s="345"/>
      <c r="AL146" s="345"/>
      <c r="AM146" s="345"/>
      <c r="AN146" s="345"/>
      <c r="AO146" s="345"/>
      <c r="AP146" s="345"/>
      <c r="AQ146" s="345"/>
    </row>
    <row r="147" spans="3:43" ht="27" customHeight="1" x14ac:dyDescent="0.2">
      <c r="C147" s="345"/>
      <c r="D147" s="345"/>
      <c r="E147" s="345"/>
      <c r="F147" s="345"/>
      <c r="G147" s="345"/>
      <c r="H147" s="345"/>
      <c r="I147" s="345"/>
      <c r="J147" s="242"/>
      <c r="K147" s="345"/>
      <c r="L147" s="345"/>
      <c r="M147" s="345"/>
      <c r="N147" s="345"/>
      <c r="O147" s="242"/>
      <c r="P147" s="345"/>
      <c r="Q147" s="345"/>
      <c r="S147" s="345"/>
      <c r="T147" s="345"/>
      <c r="U147" s="345"/>
      <c r="W147" s="345"/>
      <c r="X147" s="349"/>
      <c r="Y147" s="345"/>
      <c r="Z147" s="345"/>
      <c r="AA147" s="345"/>
      <c r="AB147" s="345"/>
      <c r="AC147" s="345"/>
      <c r="AD147" s="345"/>
      <c r="AE147" s="345"/>
      <c r="AF147" s="345"/>
      <c r="AG147" s="345"/>
      <c r="AH147" s="345"/>
      <c r="AI147" s="345"/>
      <c r="AJ147" s="345"/>
      <c r="AK147" s="345"/>
      <c r="AL147" s="345"/>
      <c r="AM147" s="345"/>
      <c r="AN147" s="345"/>
      <c r="AO147" s="345"/>
      <c r="AP147" s="345"/>
      <c r="AQ147" s="345"/>
    </row>
    <row r="148" spans="3:43" ht="27" customHeight="1" x14ac:dyDescent="0.2">
      <c r="C148" s="345"/>
      <c r="D148" s="345"/>
      <c r="E148" s="345"/>
      <c r="F148" s="345"/>
      <c r="G148" s="345"/>
      <c r="H148" s="345"/>
      <c r="I148" s="345"/>
      <c r="J148" s="242"/>
      <c r="K148" s="345"/>
      <c r="L148" s="345"/>
      <c r="M148" s="345"/>
      <c r="N148" s="345"/>
      <c r="O148" s="242"/>
      <c r="P148" s="345"/>
      <c r="Q148" s="345"/>
      <c r="S148" s="345"/>
      <c r="T148" s="345"/>
      <c r="U148" s="345"/>
      <c r="W148" s="345"/>
      <c r="X148" s="349"/>
      <c r="Y148" s="345"/>
      <c r="Z148" s="345"/>
      <c r="AA148" s="345"/>
      <c r="AB148" s="345"/>
      <c r="AC148" s="345"/>
      <c r="AD148" s="345"/>
      <c r="AE148" s="345"/>
      <c r="AF148" s="345"/>
      <c r="AG148" s="345"/>
      <c r="AH148" s="345"/>
      <c r="AI148" s="345"/>
      <c r="AJ148" s="345"/>
      <c r="AK148" s="345"/>
      <c r="AL148" s="345"/>
      <c r="AM148" s="345"/>
      <c r="AN148" s="345"/>
      <c r="AO148" s="345"/>
      <c r="AP148" s="345"/>
      <c r="AQ148" s="345"/>
    </row>
    <row r="149" spans="3:43" ht="27" customHeight="1" x14ac:dyDescent="0.2">
      <c r="C149" s="345"/>
      <c r="D149" s="345"/>
      <c r="E149" s="345"/>
      <c r="F149" s="345"/>
      <c r="G149" s="345"/>
      <c r="H149" s="345"/>
      <c r="I149" s="345"/>
      <c r="J149" s="242"/>
      <c r="K149" s="345"/>
      <c r="L149" s="345"/>
      <c r="M149" s="345"/>
      <c r="N149" s="345"/>
      <c r="O149" s="242"/>
      <c r="P149" s="345"/>
      <c r="Q149" s="345"/>
      <c r="S149" s="345"/>
      <c r="T149" s="345"/>
      <c r="U149" s="345"/>
      <c r="W149" s="345"/>
      <c r="X149" s="349"/>
      <c r="Y149" s="345"/>
      <c r="Z149" s="345"/>
      <c r="AA149" s="345"/>
      <c r="AB149" s="345"/>
      <c r="AC149" s="345"/>
      <c r="AD149" s="345"/>
      <c r="AE149" s="345"/>
      <c r="AF149" s="345"/>
      <c r="AG149" s="345"/>
      <c r="AH149" s="345"/>
      <c r="AI149" s="345"/>
      <c r="AJ149" s="345"/>
      <c r="AK149" s="345"/>
      <c r="AL149" s="345"/>
      <c r="AM149" s="345"/>
      <c r="AN149" s="345"/>
      <c r="AO149" s="345"/>
      <c r="AP149" s="345"/>
      <c r="AQ149" s="345"/>
    </row>
    <row r="150" spans="3:43" ht="27" customHeight="1" x14ac:dyDescent="0.2">
      <c r="C150" s="345"/>
      <c r="D150" s="345"/>
      <c r="E150" s="345"/>
      <c r="F150" s="345"/>
      <c r="G150" s="345"/>
      <c r="H150" s="345"/>
      <c r="I150" s="345"/>
      <c r="J150" s="242"/>
      <c r="K150" s="345"/>
      <c r="L150" s="345"/>
      <c r="M150" s="345"/>
      <c r="N150" s="345"/>
      <c r="O150" s="242"/>
      <c r="P150" s="345"/>
      <c r="Q150" s="345"/>
      <c r="S150" s="345"/>
      <c r="T150" s="345"/>
      <c r="U150" s="345"/>
      <c r="W150" s="345"/>
      <c r="X150" s="349"/>
      <c r="Y150" s="345"/>
      <c r="Z150" s="345"/>
      <c r="AA150" s="345"/>
      <c r="AB150" s="345"/>
      <c r="AC150" s="345"/>
      <c r="AD150" s="345"/>
      <c r="AE150" s="345"/>
      <c r="AF150" s="345"/>
      <c r="AG150" s="345"/>
      <c r="AH150" s="345"/>
      <c r="AI150" s="345"/>
      <c r="AJ150" s="345"/>
      <c r="AK150" s="345"/>
      <c r="AL150" s="345"/>
      <c r="AM150" s="345"/>
      <c r="AN150" s="345"/>
      <c r="AO150" s="345"/>
      <c r="AP150" s="345"/>
      <c r="AQ150" s="345"/>
    </row>
    <row r="151" spans="3:43" ht="27" customHeight="1" x14ac:dyDescent="0.2">
      <c r="C151" s="345"/>
      <c r="D151" s="345"/>
      <c r="E151" s="345"/>
      <c r="F151" s="345"/>
      <c r="G151" s="345"/>
      <c r="H151" s="345"/>
      <c r="I151" s="345"/>
      <c r="J151" s="242"/>
      <c r="K151" s="345"/>
      <c r="L151" s="345"/>
      <c r="M151" s="345"/>
      <c r="N151" s="345"/>
      <c r="O151" s="242"/>
      <c r="P151" s="345"/>
      <c r="Q151" s="345"/>
      <c r="S151" s="345"/>
      <c r="T151" s="345"/>
      <c r="U151" s="345"/>
      <c r="W151" s="345"/>
      <c r="X151" s="349"/>
      <c r="Y151" s="345"/>
      <c r="Z151" s="345"/>
      <c r="AA151" s="345"/>
      <c r="AB151" s="345"/>
      <c r="AC151" s="345"/>
      <c r="AD151" s="345"/>
      <c r="AE151" s="345"/>
      <c r="AF151" s="345"/>
      <c r="AG151" s="345"/>
      <c r="AH151" s="345"/>
      <c r="AI151" s="345"/>
      <c r="AJ151" s="345"/>
      <c r="AK151" s="345"/>
      <c r="AL151" s="345"/>
      <c r="AM151" s="345"/>
      <c r="AN151" s="345"/>
      <c r="AO151" s="345"/>
      <c r="AP151" s="345"/>
      <c r="AQ151" s="345"/>
    </row>
    <row r="152" spans="3:43" ht="27" customHeight="1" x14ac:dyDescent="0.2">
      <c r="C152" s="345"/>
      <c r="D152" s="345"/>
      <c r="E152" s="345"/>
      <c r="F152" s="345"/>
      <c r="G152" s="345"/>
      <c r="H152" s="345"/>
      <c r="I152" s="345"/>
      <c r="J152" s="242"/>
      <c r="K152" s="345"/>
      <c r="L152" s="345"/>
      <c r="M152" s="345"/>
      <c r="N152" s="345"/>
      <c r="O152" s="242"/>
      <c r="P152" s="345"/>
      <c r="Q152" s="345"/>
      <c r="S152" s="345"/>
      <c r="T152" s="345"/>
      <c r="U152" s="345"/>
      <c r="W152" s="345"/>
      <c r="X152" s="349"/>
      <c r="Y152" s="345"/>
      <c r="Z152" s="345"/>
      <c r="AA152" s="345"/>
      <c r="AB152" s="345"/>
      <c r="AC152" s="345"/>
      <c r="AD152" s="345"/>
      <c r="AE152" s="345"/>
      <c r="AF152" s="345"/>
      <c r="AG152" s="345"/>
      <c r="AH152" s="345"/>
      <c r="AI152" s="345"/>
      <c r="AJ152" s="345"/>
      <c r="AK152" s="345"/>
      <c r="AL152" s="345"/>
      <c r="AM152" s="345"/>
      <c r="AN152" s="345"/>
      <c r="AO152" s="345"/>
      <c r="AP152" s="345"/>
      <c r="AQ152" s="345"/>
    </row>
    <row r="153" spans="3:43" ht="27" customHeight="1" x14ac:dyDescent="0.2">
      <c r="C153" s="345"/>
      <c r="D153" s="345"/>
      <c r="E153" s="345"/>
      <c r="F153" s="345"/>
      <c r="G153" s="345"/>
      <c r="H153" s="345"/>
      <c r="I153" s="345"/>
      <c r="J153" s="242"/>
      <c r="K153" s="345"/>
      <c r="L153" s="345"/>
      <c r="M153" s="345"/>
      <c r="N153" s="345"/>
      <c r="O153" s="242"/>
      <c r="P153" s="345"/>
      <c r="Q153" s="345"/>
      <c r="S153" s="345"/>
      <c r="T153" s="345"/>
      <c r="U153" s="345"/>
      <c r="W153" s="345"/>
      <c r="X153" s="349"/>
      <c r="Y153" s="345"/>
      <c r="Z153" s="345"/>
      <c r="AA153" s="345"/>
      <c r="AB153" s="345"/>
      <c r="AC153" s="345"/>
      <c r="AD153" s="345"/>
      <c r="AE153" s="345"/>
      <c r="AF153" s="345"/>
      <c r="AG153" s="345"/>
      <c r="AH153" s="345"/>
      <c r="AI153" s="345"/>
      <c r="AJ153" s="345"/>
      <c r="AK153" s="345"/>
      <c r="AL153" s="345"/>
      <c r="AM153" s="345"/>
      <c r="AN153" s="345"/>
      <c r="AO153" s="345"/>
      <c r="AP153" s="345"/>
      <c r="AQ153" s="345"/>
    </row>
    <row r="154" spans="3:43" ht="27" customHeight="1" x14ac:dyDescent="0.2">
      <c r="C154" s="345"/>
      <c r="D154" s="345"/>
      <c r="E154" s="345"/>
      <c r="F154" s="345"/>
      <c r="G154" s="345"/>
      <c r="H154" s="345"/>
      <c r="I154" s="345"/>
      <c r="J154" s="242"/>
      <c r="K154" s="345"/>
      <c r="L154" s="345"/>
      <c r="M154" s="345"/>
      <c r="N154" s="345"/>
      <c r="O154" s="242"/>
      <c r="P154" s="345"/>
      <c r="Q154" s="345"/>
      <c r="S154" s="345"/>
      <c r="T154" s="345"/>
      <c r="U154" s="345"/>
      <c r="W154" s="345"/>
      <c r="X154" s="349"/>
      <c r="Y154" s="345"/>
      <c r="Z154" s="345"/>
      <c r="AA154" s="345"/>
      <c r="AB154" s="345"/>
      <c r="AC154" s="345"/>
      <c r="AD154" s="345"/>
      <c r="AE154" s="345"/>
      <c r="AF154" s="345"/>
      <c r="AG154" s="345"/>
      <c r="AH154" s="345"/>
      <c r="AI154" s="345"/>
      <c r="AJ154" s="345"/>
      <c r="AK154" s="345"/>
      <c r="AL154" s="345"/>
      <c r="AM154" s="345"/>
      <c r="AN154" s="345"/>
      <c r="AO154" s="345"/>
      <c r="AP154" s="345"/>
      <c r="AQ154" s="345"/>
    </row>
    <row r="155" spans="3:43" ht="27" customHeight="1" x14ac:dyDescent="0.2">
      <c r="C155" s="345"/>
      <c r="D155" s="345"/>
      <c r="E155" s="345"/>
      <c r="F155" s="345"/>
      <c r="G155" s="345"/>
      <c r="H155" s="345"/>
      <c r="I155" s="345"/>
      <c r="J155" s="242"/>
      <c r="K155" s="345"/>
      <c r="L155" s="345"/>
      <c r="M155" s="345"/>
      <c r="N155" s="345"/>
      <c r="O155" s="242"/>
      <c r="P155" s="345"/>
      <c r="Q155" s="345"/>
      <c r="S155" s="345"/>
      <c r="T155" s="345"/>
      <c r="U155" s="345"/>
      <c r="W155" s="345"/>
      <c r="X155" s="349"/>
      <c r="Y155" s="345"/>
      <c r="Z155" s="345"/>
      <c r="AA155" s="345"/>
      <c r="AB155" s="345"/>
      <c r="AC155" s="345"/>
      <c r="AD155" s="345"/>
      <c r="AE155" s="345"/>
      <c r="AF155" s="345"/>
      <c r="AG155" s="345"/>
      <c r="AH155" s="345"/>
      <c r="AI155" s="345"/>
      <c r="AJ155" s="345"/>
      <c r="AK155" s="345"/>
      <c r="AL155" s="345"/>
      <c r="AM155" s="345"/>
      <c r="AN155" s="345"/>
      <c r="AO155" s="345"/>
      <c r="AP155" s="345"/>
      <c r="AQ155" s="345"/>
    </row>
    <row r="156" spans="3:43" ht="27" customHeight="1" x14ac:dyDescent="0.2">
      <c r="C156" s="345"/>
      <c r="D156" s="345"/>
      <c r="E156" s="345"/>
      <c r="F156" s="345"/>
      <c r="G156" s="345"/>
      <c r="H156" s="345"/>
      <c r="I156" s="345"/>
      <c r="J156" s="242"/>
      <c r="K156" s="345"/>
      <c r="L156" s="345"/>
      <c r="M156" s="345"/>
      <c r="N156" s="345"/>
      <c r="O156" s="242"/>
      <c r="P156" s="345"/>
      <c r="Q156" s="345"/>
      <c r="S156" s="345"/>
      <c r="T156" s="345"/>
      <c r="U156" s="345"/>
      <c r="W156" s="345"/>
      <c r="X156" s="349"/>
      <c r="Y156" s="345"/>
      <c r="Z156" s="345"/>
      <c r="AA156" s="345"/>
      <c r="AB156" s="345"/>
      <c r="AC156" s="345"/>
      <c r="AD156" s="345"/>
      <c r="AE156" s="345"/>
      <c r="AF156" s="345"/>
      <c r="AG156" s="345"/>
      <c r="AH156" s="345"/>
      <c r="AI156" s="345"/>
      <c r="AJ156" s="345"/>
      <c r="AK156" s="345"/>
      <c r="AL156" s="345"/>
      <c r="AM156" s="345"/>
      <c r="AN156" s="345"/>
      <c r="AO156" s="345"/>
      <c r="AP156" s="345"/>
      <c r="AQ156" s="345"/>
    </row>
    <row r="157" spans="3:43" ht="27" customHeight="1" x14ac:dyDescent="0.2">
      <c r="C157" s="345"/>
      <c r="D157" s="345"/>
      <c r="E157" s="345"/>
      <c r="F157" s="345"/>
      <c r="G157" s="345"/>
      <c r="H157" s="345"/>
      <c r="I157" s="345"/>
      <c r="J157" s="242"/>
      <c r="K157" s="345"/>
      <c r="L157" s="345"/>
      <c r="M157" s="345"/>
      <c r="N157" s="345"/>
      <c r="O157" s="242"/>
      <c r="P157" s="345"/>
      <c r="Q157" s="345"/>
      <c r="S157" s="345"/>
      <c r="T157" s="345"/>
      <c r="U157" s="345"/>
      <c r="W157" s="345"/>
      <c r="X157" s="349"/>
      <c r="Y157" s="345"/>
      <c r="Z157" s="345"/>
      <c r="AA157" s="345"/>
      <c r="AB157" s="345"/>
      <c r="AC157" s="345"/>
      <c r="AD157" s="345"/>
      <c r="AE157" s="345"/>
      <c r="AF157" s="345"/>
      <c r="AG157" s="345"/>
      <c r="AH157" s="345"/>
      <c r="AI157" s="345"/>
      <c r="AJ157" s="345"/>
      <c r="AK157" s="345"/>
      <c r="AL157" s="345"/>
      <c r="AM157" s="345"/>
      <c r="AN157" s="345"/>
      <c r="AO157" s="345"/>
      <c r="AP157" s="345"/>
      <c r="AQ157" s="345"/>
    </row>
    <row r="158" spans="3:43" ht="27" customHeight="1" x14ac:dyDescent="0.2">
      <c r="C158" s="345"/>
      <c r="D158" s="345"/>
      <c r="E158" s="345"/>
      <c r="F158" s="345"/>
      <c r="G158" s="345"/>
      <c r="H158" s="345"/>
      <c r="I158" s="345"/>
      <c r="J158" s="242"/>
      <c r="K158" s="345"/>
      <c r="L158" s="345"/>
      <c r="M158" s="345"/>
      <c r="N158" s="345"/>
      <c r="O158" s="242"/>
      <c r="P158" s="345"/>
      <c r="Q158" s="345"/>
      <c r="S158" s="345"/>
      <c r="T158" s="345"/>
      <c r="U158" s="345"/>
      <c r="W158" s="345"/>
      <c r="X158" s="349"/>
      <c r="Y158" s="345"/>
      <c r="Z158" s="345"/>
      <c r="AA158" s="345"/>
      <c r="AB158" s="345"/>
      <c r="AC158" s="345"/>
      <c r="AD158" s="345"/>
      <c r="AE158" s="345"/>
      <c r="AF158" s="345"/>
      <c r="AG158" s="345"/>
      <c r="AH158" s="345"/>
      <c r="AI158" s="345"/>
      <c r="AJ158" s="345"/>
      <c r="AK158" s="345"/>
      <c r="AL158" s="345"/>
      <c r="AM158" s="345"/>
      <c r="AN158" s="345"/>
      <c r="AO158" s="345"/>
      <c r="AP158" s="345"/>
      <c r="AQ158" s="345"/>
    </row>
    <row r="159" spans="3:43" ht="27" customHeight="1" x14ac:dyDescent="0.2">
      <c r="C159" s="345"/>
      <c r="D159" s="345"/>
      <c r="E159" s="345"/>
      <c r="F159" s="345"/>
      <c r="G159" s="345"/>
      <c r="H159" s="345"/>
      <c r="I159" s="345"/>
      <c r="J159" s="242"/>
      <c r="K159" s="345"/>
      <c r="L159" s="345"/>
      <c r="M159" s="345"/>
      <c r="N159" s="345"/>
      <c r="O159" s="242"/>
      <c r="P159" s="345"/>
      <c r="Q159" s="345"/>
      <c r="S159" s="345"/>
      <c r="T159" s="345"/>
      <c r="U159" s="345"/>
      <c r="W159" s="345"/>
      <c r="X159" s="349"/>
      <c r="Y159" s="345"/>
      <c r="Z159" s="345"/>
      <c r="AA159" s="345"/>
      <c r="AB159" s="345"/>
      <c r="AC159" s="345"/>
      <c r="AD159" s="345"/>
      <c r="AE159" s="345"/>
      <c r="AF159" s="345"/>
      <c r="AG159" s="345"/>
      <c r="AH159" s="345"/>
      <c r="AI159" s="345"/>
      <c r="AJ159" s="345"/>
      <c r="AK159" s="345"/>
      <c r="AL159" s="345"/>
      <c r="AM159" s="345"/>
      <c r="AN159" s="345"/>
      <c r="AO159" s="345"/>
      <c r="AP159" s="345"/>
      <c r="AQ159" s="345"/>
    </row>
    <row r="160" spans="3:43" ht="27" customHeight="1" x14ac:dyDescent="0.2">
      <c r="C160" s="345"/>
      <c r="D160" s="345"/>
      <c r="E160" s="345"/>
      <c r="F160" s="345"/>
      <c r="G160" s="345"/>
      <c r="H160" s="345"/>
      <c r="I160" s="345"/>
      <c r="J160" s="242"/>
      <c r="K160" s="345"/>
      <c r="L160" s="345"/>
      <c r="M160" s="345"/>
      <c r="N160" s="345"/>
      <c r="O160" s="242"/>
      <c r="P160" s="345"/>
      <c r="Q160" s="345"/>
      <c r="S160" s="345"/>
      <c r="T160" s="345"/>
      <c r="U160" s="345"/>
      <c r="W160" s="345"/>
      <c r="X160" s="349"/>
      <c r="Y160" s="345"/>
      <c r="Z160" s="345"/>
      <c r="AA160" s="345"/>
      <c r="AB160" s="345"/>
      <c r="AC160" s="345"/>
      <c r="AD160" s="345"/>
      <c r="AE160" s="345"/>
      <c r="AF160" s="345"/>
      <c r="AG160" s="345"/>
      <c r="AH160" s="345"/>
      <c r="AI160" s="345"/>
      <c r="AJ160" s="345"/>
      <c r="AK160" s="345"/>
      <c r="AL160" s="345"/>
      <c r="AM160" s="345"/>
      <c r="AN160" s="345"/>
      <c r="AO160" s="345"/>
      <c r="AP160" s="345"/>
      <c r="AQ160" s="345"/>
    </row>
    <row r="161" spans="3:43" ht="27" customHeight="1" x14ac:dyDescent="0.2">
      <c r="C161" s="345"/>
      <c r="D161" s="345"/>
      <c r="E161" s="345"/>
      <c r="F161" s="345"/>
      <c r="G161" s="345"/>
      <c r="H161" s="345"/>
      <c r="I161" s="345"/>
      <c r="J161" s="242"/>
      <c r="K161" s="345"/>
      <c r="L161" s="345"/>
      <c r="M161" s="345"/>
      <c r="N161" s="345"/>
      <c r="O161" s="242"/>
      <c r="P161" s="345"/>
      <c r="Q161" s="345"/>
      <c r="S161" s="345"/>
      <c r="T161" s="345"/>
      <c r="U161" s="345"/>
      <c r="W161" s="345"/>
      <c r="X161" s="349"/>
      <c r="Y161" s="345"/>
      <c r="Z161" s="345"/>
      <c r="AA161" s="345"/>
      <c r="AB161" s="345"/>
      <c r="AC161" s="345"/>
      <c r="AD161" s="345"/>
      <c r="AE161" s="345"/>
      <c r="AF161" s="345"/>
      <c r="AG161" s="345"/>
      <c r="AH161" s="345"/>
      <c r="AI161" s="345"/>
      <c r="AJ161" s="345"/>
      <c r="AK161" s="345"/>
      <c r="AL161" s="345"/>
      <c r="AM161" s="345"/>
      <c r="AN161" s="345"/>
      <c r="AO161" s="345"/>
      <c r="AP161" s="345"/>
      <c r="AQ161" s="345"/>
    </row>
    <row r="162" spans="3:43" ht="27" customHeight="1" x14ac:dyDescent="0.2">
      <c r="C162" s="345"/>
      <c r="D162" s="345"/>
      <c r="E162" s="345"/>
      <c r="F162" s="345"/>
      <c r="G162" s="345"/>
      <c r="H162" s="345"/>
      <c r="I162" s="345"/>
      <c r="J162" s="242"/>
      <c r="K162" s="345"/>
      <c r="L162" s="345"/>
      <c r="M162" s="345"/>
      <c r="N162" s="345"/>
      <c r="O162" s="242"/>
      <c r="P162" s="345"/>
      <c r="Q162" s="345"/>
      <c r="S162" s="345"/>
      <c r="T162" s="345"/>
      <c r="U162" s="345"/>
      <c r="W162" s="345"/>
      <c r="X162" s="349"/>
      <c r="Y162" s="345"/>
      <c r="Z162" s="345"/>
      <c r="AA162" s="345"/>
      <c r="AB162" s="345"/>
      <c r="AC162" s="345"/>
      <c r="AD162" s="345"/>
      <c r="AE162" s="345"/>
      <c r="AF162" s="345"/>
      <c r="AG162" s="345"/>
      <c r="AH162" s="345"/>
      <c r="AI162" s="345"/>
      <c r="AJ162" s="345"/>
      <c r="AK162" s="345"/>
      <c r="AL162" s="345"/>
      <c r="AM162" s="345"/>
      <c r="AN162" s="345"/>
      <c r="AO162" s="345"/>
      <c r="AP162" s="345"/>
      <c r="AQ162" s="345"/>
    </row>
    <row r="163" spans="3:43" ht="27" customHeight="1" x14ac:dyDescent="0.2">
      <c r="C163" s="345"/>
      <c r="D163" s="345"/>
      <c r="E163" s="345"/>
      <c r="F163" s="345"/>
      <c r="G163" s="345"/>
      <c r="H163" s="345"/>
      <c r="I163" s="345"/>
      <c r="J163" s="242"/>
      <c r="K163" s="345"/>
      <c r="L163" s="345"/>
      <c r="M163" s="345"/>
      <c r="N163" s="345"/>
      <c r="O163" s="242"/>
      <c r="P163" s="345"/>
      <c r="Q163" s="345"/>
      <c r="S163" s="345"/>
      <c r="T163" s="345"/>
      <c r="U163" s="345"/>
      <c r="W163" s="345"/>
      <c r="X163" s="349"/>
      <c r="Y163" s="345"/>
      <c r="Z163" s="345"/>
      <c r="AA163" s="345"/>
      <c r="AB163" s="345"/>
      <c r="AC163" s="345"/>
      <c r="AD163" s="345"/>
      <c r="AE163" s="345"/>
      <c r="AF163" s="345"/>
      <c r="AG163" s="345"/>
      <c r="AH163" s="345"/>
      <c r="AI163" s="345"/>
      <c r="AJ163" s="345"/>
      <c r="AK163" s="345"/>
      <c r="AL163" s="345"/>
      <c r="AM163" s="345"/>
      <c r="AN163" s="345"/>
      <c r="AO163" s="345"/>
      <c r="AP163" s="345"/>
      <c r="AQ163" s="345"/>
    </row>
    <row r="164" spans="3:43" ht="27" customHeight="1" x14ac:dyDescent="0.2">
      <c r="C164" s="345"/>
      <c r="D164" s="345"/>
      <c r="E164" s="345"/>
      <c r="F164" s="345"/>
      <c r="G164" s="345"/>
      <c r="H164" s="345"/>
      <c r="I164" s="345"/>
      <c r="J164" s="242"/>
      <c r="K164" s="345"/>
      <c r="L164" s="345"/>
      <c r="M164" s="345"/>
      <c r="N164" s="345"/>
      <c r="O164" s="242"/>
      <c r="P164" s="345"/>
      <c r="Q164" s="345"/>
      <c r="S164" s="345"/>
      <c r="T164" s="345"/>
      <c r="U164" s="345"/>
      <c r="W164" s="345"/>
      <c r="X164" s="349"/>
      <c r="Y164" s="345"/>
      <c r="Z164" s="345"/>
      <c r="AA164" s="345"/>
      <c r="AB164" s="345"/>
      <c r="AC164" s="345"/>
      <c r="AD164" s="345"/>
      <c r="AE164" s="345"/>
      <c r="AF164" s="345"/>
      <c r="AG164" s="345"/>
      <c r="AH164" s="345"/>
      <c r="AI164" s="345"/>
      <c r="AJ164" s="345"/>
      <c r="AK164" s="345"/>
      <c r="AL164" s="345"/>
      <c r="AM164" s="345"/>
      <c r="AN164" s="345"/>
      <c r="AO164" s="345"/>
      <c r="AP164" s="345"/>
      <c r="AQ164" s="345"/>
    </row>
    <row r="165" spans="3:43" ht="27" customHeight="1" x14ac:dyDescent="0.2">
      <c r="C165" s="345"/>
      <c r="D165" s="345"/>
      <c r="E165" s="345"/>
      <c r="F165" s="345"/>
      <c r="G165" s="345"/>
      <c r="H165" s="345"/>
      <c r="I165" s="345"/>
      <c r="J165" s="242"/>
      <c r="K165" s="345"/>
      <c r="L165" s="345"/>
      <c r="M165" s="345"/>
      <c r="N165" s="345"/>
      <c r="O165" s="242"/>
      <c r="P165" s="345"/>
      <c r="Q165" s="345"/>
      <c r="S165" s="345"/>
      <c r="T165" s="345"/>
      <c r="U165" s="345"/>
      <c r="W165" s="345"/>
      <c r="X165" s="349"/>
      <c r="Y165" s="345"/>
      <c r="Z165" s="345"/>
      <c r="AA165" s="345"/>
      <c r="AB165" s="345"/>
      <c r="AC165" s="345"/>
      <c r="AD165" s="345"/>
      <c r="AE165" s="345"/>
      <c r="AF165" s="345"/>
      <c r="AG165" s="345"/>
      <c r="AH165" s="345"/>
      <c r="AI165" s="345"/>
      <c r="AJ165" s="345"/>
      <c r="AK165" s="345"/>
      <c r="AL165" s="345"/>
      <c r="AM165" s="345"/>
      <c r="AN165" s="345"/>
      <c r="AO165" s="345"/>
      <c r="AP165" s="345"/>
      <c r="AQ165" s="345"/>
    </row>
    <row r="166" spans="3:43" ht="27" customHeight="1" x14ac:dyDescent="0.2">
      <c r="C166" s="345"/>
      <c r="D166" s="345"/>
      <c r="E166" s="345"/>
      <c r="F166" s="345"/>
      <c r="G166" s="345"/>
      <c r="H166" s="345"/>
      <c r="I166" s="345"/>
      <c r="J166" s="242"/>
      <c r="K166" s="345"/>
      <c r="L166" s="345"/>
      <c r="M166" s="345"/>
      <c r="N166" s="345"/>
      <c r="O166" s="242"/>
      <c r="P166" s="345"/>
      <c r="Q166" s="345"/>
      <c r="S166" s="345"/>
      <c r="T166" s="345"/>
      <c r="U166" s="345"/>
      <c r="W166" s="345"/>
      <c r="X166" s="349"/>
      <c r="Y166" s="345"/>
      <c r="Z166" s="345"/>
      <c r="AA166" s="345"/>
      <c r="AB166" s="345"/>
      <c r="AC166" s="345"/>
      <c r="AD166" s="345"/>
      <c r="AE166" s="345"/>
      <c r="AF166" s="345"/>
      <c r="AG166" s="345"/>
      <c r="AH166" s="345"/>
      <c r="AI166" s="345"/>
      <c r="AJ166" s="345"/>
      <c r="AK166" s="345"/>
      <c r="AL166" s="345"/>
      <c r="AM166" s="345"/>
      <c r="AN166" s="345"/>
      <c r="AO166" s="345"/>
      <c r="AP166" s="345"/>
      <c r="AQ166" s="345"/>
    </row>
    <row r="167" spans="3:43" ht="27" customHeight="1" x14ac:dyDescent="0.2">
      <c r="C167" s="345"/>
      <c r="D167" s="345"/>
      <c r="E167" s="345"/>
      <c r="F167" s="345"/>
      <c r="G167" s="345"/>
      <c r="H167" s="345"/>
      <c r="I167" s="345"/>
      <c r="J167" s="242"/>
      <c r="K167" s="345"/>
      <c r="L167" s="345"/>
      <c r="M167" s="345"/>
      <c r="N167" s="345"/>
      <c r="O167" s="242"/>
      <c r="P167" s="345"/>
      <c r="Q167" s="345"/>
      <c r="S167" s="345"/>
      <c r="T167" s="345"/>
      <c r="U167" s="345"/>
      <c r="W167" s="345"/>
      <c r="X167" s="349"/>
      <c r="Y167" s="345"/>
      <c r="Z167" s="345"/>
      <c r="AA167" s="345"/>
      <c r="AB167" s="345"/>
      <c r="AC167" s="345"/>
      <c r="AD167" s="345"/>
      <c r="AE167" s="345"/>
      <c r="AF167" s="345"/>
      <c r="AG167" s="345"/>
      <c r="AH167" s="345"/>
      <c r="AI167" s="345"/>
      <c r="AJ167" s="345"/>
      <c r="AK167" s="345"/>
      <c r="AL167" s="345"/>
      <c r="AM167" s="345"/>
      <c r="AN167" s="345"/>
      <c r="AO167" s="345"/>
      <c r="AP167" s="345"/>
      <c r="AQ167" s="345"/>
    </row>
    <row r="168" spans="3:43" ht="27" customHeight="1" x14ac:dyDescent="0.2">
      <c r="C168" s="345"/>
      <c r="D168" s="345"/>
      <c r="E168" s="345"/>
      <c r="F168" s="345"/>
      <c r="G168" s="345"/>
      <c r="H168" s="345"/>
      <c r="I168" s="345"/>
      <c r="J168" s="242"/>
      <c r="K168" s="345"/>
      <c r="L168" s="345"/>
      <c r="M168" s="345"/>
      <c r="N168" s="345"/>
      <c r="O168" s="242"/>
      <c r="P168" s="345"/>
      <c r="Q168" s="345"/>
      <c r="S168" s="345"/>
      <c r="T168" s="345"/>
      <c r="U168" s="345"/>
      <c r="W168" s="345"/>
      <c r="X168" s="349"/>
      <c r="Y168" s="345"/>
      <c r="Z168" s="345"/>
      <c r="AA168" s="345"/>
      <c r="AB168" s="345"/>
      <c r="AC168" s="345"/>
      <c r="AD168" s="345"/>
      <c r="AE168" s="345"/>
      <c r="AF168" s="345"/>
      <c r="AG168" s="345"/>
      <c r="AH168" s="345"/>
      <c r="AI168" s="345"/>
      <c r="AJ168" s="345"/>
      <c r="AK168" s="345"/>
      <c r="AL168" s="345"/>
      <c r="AM168" s="345"/>
      <c r="AN168" s="345"/>
      <c r="AO168" s="345"/>
      <c r="AP168" s="345"/>
      <c r="AQ168" s="345"/>
    </row>
    <row r="169" spans="3:43" ht="27" customHeight="1" x14ac:dyDescent="0.2">
      <c r="C169" s="345"/>
      <c r="D169" s="345"/>
      <c r="E169" s="345"/>
      <c r="F169" s="345"/>
      <c r="G169" s="345"/>
      <c r="H169" s="345"/>
      <c r="I169" s="345"/>
      <c r="J169" s="242"/>
      <c r="K169" s="345"/>
      <c r="L169" s="345"/>
      <c r="M169" s="345"/>
      <c r="N169" s="345"/>
      <c r="O169" s="242"/>
      <c r="P169" s="345"/>
      <c r="Q169" s="345"/>
      <c r="S169" s="345"/>
      <c r="T169" s="345"/>
      <c r="U169" s="345"/>
      <c r="W169" s="345"/>
      <c r="X169" s="349"/>
      <c r="Y169" s="345"/>
      <c r="Z169" s="345"/>
      <c r="AA169" s="345"/>
      <c r="AB169" s="345"/>
      <c r="AC169" s="345"/>
      <c r="AD169" s="345"/>
      <c r="AE169" s="345"/>
      <c r="AF169" s="345"/>
      <c r="AG169" s="345"/>
      <c r="AH169" s="345"/>
      <c r="AI169" s="345"/>
      <c r="AJ169" s="345"/>
      <c r="AK169" s="345"/>
      <c r="AL169" s="345"/>
      <c r="AM169" s="345"/>
      <c r="AN169" s="345"/>
      <c r="AO169" s="345"/>
      <c r="AP169" s="345"/>
      <c r="AQ169" s="345"/>
    </row>
    <row r="170" spans="3:43" ht="27" customHeight="1" x14ac:dyDescent="0.2">
      <c r="C170" s="345"/>
      <c r="D170" s="345"/>
      <c r="E170" s="345"/>
      <c r="F170" s="345"/>
      <c r="G170" s="345"/>
      <c r="H170" s="345"/>
      <c r="I170" s="345"/>
      <c r="J170" s="242"/>
      <c r="K170" s="345"/>
      <c r="L170" s="345"/>
      <c r="M170" s="345"/>
      <c r="N170" s="345"/>
      <c r="O170" s="242"/>
      <c r="P170" s="345"/>
      <c r="Q170" s="345"/>
      <c r="S170" s="345"/>
      <c r="T170" s="345"/>
      <c r="U170" s="345"/>
      <c r="W170" s="345"/>
      <c r="X170" s="349"/>
      <c r="Y170" s="345"/>
      <c r="Z170" s="345"/>
      <c r="AA170" s="345"/>
      <c r="AB170" s="345"/>
      <c r="AC170" s="345"/>
      <c r="AD170" s="345"/>
      <c r="AE170" s="345"/>
      <c r="AF170" s="345"/>
      <c r="AG170" s="345"/>
      <c r="AH170" s="345"/>
      <c r="AI170" s="345"/>
      <c r="AJ170" s="345"/>
      <c r="AK170" s="345"/>
      <c r="AL170" s="345"/>
      <c r="AM170" s="345"/>
      <c r="AN170" s="345"/>
      <c r="AO170" s="345"/>
      <c r="AP170" s="345"/>
      <c r="AQ170" s="345"/>
    </row>
    <row r="171" spans="3:43" ht="27" customHeight="1" x14ac:dyDescent="0.2">
      <c r="C171" s="345"/>
      <c r="D171" s="345"/>
      <c r="E171" s="345"/>
      <c r="F171" s="345"/>
      <c r="G171" s="345"/>
      <c r="H171" s="345"/>
      <c r="I171" s="345"/>
      <c r="J171" s="242"/>
      <c r="K171" s="345"/>
      <c r="L171" s="345"/>
      <c r="M171" s="345"/>
      <c r="N171" s="345"/>
      <c r="O171" s="242"/>
      <c r="P171" s="345"/>
      <c r="Q171" s="345"/>
      <c r="S171" s="345"/>
      <c r="T171" s="345"/>
      <c r="U171" s="345"/>
      <c r="W171" s="345"/>
      <c r="X171" s="349"/>
      <c r="Y171" s="345"/>
      <c r="Z171" s="345"/>
      <c r="AA171" s="345"/>
      <c r="AB171" s="345"/>
      <c r="AC171" s="345"/>
      <c r="AD171" s="345"/>
      <c r="AE171" s="345"/>
      <c r="AF171" s="345"/>
      <c r="AG171" s="345"/>
      <c r="AH171" s="345"/>
      <c r="AI171" s="345"/>
      <c r="AJ171" s="345"/>
      <c r="AK171" s="345"/>
      <c r="AL171" s="345"/>
      <c r="AM171" s="345"/>
      <c r="AN171" s="345"/>
      <c r="AO171" s="345"/>
      <c r="AP171" s="345"/>
      <c r="AQ171" s="345"/>
    </row>
    <row r="172" spans="3:43" ht="27" customHeight="1" x14ac:dyDescent="0.2">
      <c r="C172" s="345"/>
      <c r="D172" s="345"/>
      <c r="E172" s="345"/>
      <c r="F172" s="345"/>
      <c r="G172" s="345"/>
      <c r="H172" s="345"/>
      <c r="I172" s="345"/>
      <c r="J172" s="242"/>
      <c r="K172" s="345"/>
      <c r="L172" s="345"/>
      <c r="M172" s="345"/>
      <c r="N172" s="345"/>
      <c r="O172" s="242"/>
      <c r="P172" s="345"/>
      <c r="Q172" s="345"/>
      <c r="S172" s="345"/>
      <c r="T172" s="345"/>
      <c r="U172" s="345"/>
      <c r="W172" s="345"/>
      <c r="X172" s="349"/>
      <c r="Y172" s="345"/>
      <c r="Z172" s="345"/>
      <c r="AA172" s="345"/>
      <c r="AB172" s="345"/>
      <c r="AC172" s="345"/>
      <c r="AD172" s="345"/>
      <c r="AE172" s="345"/>
      <c r="AF172" s="345"/>
      <c r="AG172" s="345"/>
      <c r="AH172" s="345"/>
      <c r="AI172" s="345"/>
      <c r="AJ172" s="345"/>
      <c r="AK172" s="345"/>
      <c r="AL172" s="345"/>
      <c r="AM172" s="345"/>
      <c r="AN172" s="345"/>
      <c r="AO172" s="345"/>
      <c r="AP172" s="345"/>
      <c r="AQ172" s="345"/>
    </row>
    <row r="173" spans="3:43" ht="27" customHeight="1" x14ac:dyDescent="0.2">
      <c r="C173" s="345"/>
      <c r="D173" s="345"/>
      <c r="E173" s="345"/>
      <c r="F173" s="345"/>
      <c r="G173" s="345"/>
      <c r="H173" s="345"/>
      <c r="I173" s="345"/>
      <c r="J173" s="242"/>
      <c r="K173" s="345"/>
      <c r="L173" s="345"/>
      <c r="M173" s="345"/>
      <c r="N173" s="345"/>
      <c r="O173" s="242"/>
      <c r="P173" s="345"/>
      <c r="Q173" s="345"/>
      <c r="S173" s="345"/>
      <c r="T173" s="345"/>
      <c r="U173" s="345"/>
      <c r="W173" s="345"/>
      <c r="X173" s="349"/>
      <c r="Y173" s="345"/>
      <c r="Z173" s="345"/>
      <c r="AA173" s="345"/>
      <c r="AB173" s="345"/>
      <c r="AC173" s="345"/>
      <c r="AD173" s="345"/>
      <c r="AE173" s="345"/>
      <c r="AF173" s="345"/>
      <c r="AG173" s="345"/>
      <c r="AH173" s="345"/>
      <c r="AI173" s="345"/>
      <c r="AJ173" s="345"/>
      <c r="AK173" s="345"/>
      <c r="AL173" s="345"/>
      <c r="AM173" s="345"/>
      <c r="AN173" s="345"/>
      <c r="AO173" s="345"/>
      <c r="AP173" s="345"/>
      <c r="AQ173" s="345"/>
    </row>
    <row r="174" spans="3:43" ht="27" customHeight="1" x14ac:dyDescent="0.2">
      <c r="C174" s="345"/>
      <c r="D174" s="345"/>
      <c r="E174" s="345"/>
      <c r="F174" s="345"/>
      <c r="G174" s="345"/>
      <c r="H174" s="345"/>
      <c r="I174" s="345"/>
      <c r="J174" s="242"/>
      <c r="K174" s="345"/>
      <c r="L174" s="345"/>
      <c r="M174" s="345"/>
      <c r="N174" s="345"/>
      <c r="O174" s="242"/>
      <c r="P174" s="345"/>
      <c r="Q174" s="345"/>
      <c r="S174" s="345"/>
      <c r="T174" s="345"/>
      <c r="U174" s="345"/>
      <c r="W174" s="345"/>
      <c r="X174" s="349"/>
      <c r="Y174" s="345"/>
      <c r="Z174" s="345"/>
      <c r="AA174" s="345"/>
      <c r="AB174" s="345"/>
      <c r="AC174" s="345"/>
      <c r="AD174" s="345"/>
      <c r="AE174" s="345"/>
      <c r="AF174" s="345"/>
      <c r="AG174" s="345"/>
      <c r="AH174" s="345"/>
      <c r="AI174" s="345"/>
      <c r="AJ174" s="345"/>
      <c r="AK174" s="345"/>
      <c r="AL174" s="345"/>
      <c r="AM174" s="345"/>
      <c r="AN174" s="345"/>
      <c r="AO174" s="345"/>
      <c r="AP174" s="345"/>
      <c r="AQ174" s="345"/>
    </row>
    <row r="175" spans="3:43" ht="27" customHeight="1" x14ac:dyDescent="0.2">
      <c r="C175" s="345"/>
      <c r="D175" s="345"/>
      <c r="E175" s="345"/>
      <c r="F175" s="345"/>
      <c r="G175" s="345"/>
      <c r="H175" s="345"/>
      <c r="I175" s="345"/>
      <c r="J175" s="242"/>
      <c r="K175" s="345"/>
      <c r="L175" s="345"/>
      <c r="M175" s="345"/>
      <c r="N175" s="345"/>
      <c r="O175" s="242"/>
      <c r="P175" s="345"/>
      <c r="Q175" s="345"/>
      <c r="S175" s="345"/>
      <c r="T175" s="345"/>
      <c r="U175" s="345"/>
      <c r="W175" s="345"/>
      <c r="X175" s="349"/>
      <c r="Y175" s="345"/>
      <c r="Z175" s="345"/>
      <c r="AA175" s="345"/>
      <c r="AB175" s="345"/>
      <c r="AC175" s="345"/>
      <c r="AD175" s="345"/>
      <c r="AE175" s="345"/>
      <c r="AF175" s="345"/>
      <c r="AG175" s="345"/>
      <c r="AH175" s="345"/>
      <c r="AI175" s="345"/>
      <c r="AJ175" s="345"/>
      <c r="AK175" s="345"/>
      <c r="AL175" s="345"/>
      <c r="AM175" s="345"/>
      <c r="AN175" s="345"/>
      <c r="AO175" s="345"/>
      <c r="AP175" s="345"/>
      <c r="AQ175" s="345"/>
    </row>
    <row r="176" spans="3:43" ht="27" customHeight="1" x14ac:dyDescent="0.2">
      <c r="C176" s="345"/>
      <c r="D176" s="345"/>
      <c r="E176" s="345"/>
      <c r="F176" s="345"/>
      <c r="G176" s="345"/>
      <c r="H176" s="345"/>
      <c r="I176" s="345"/>
      <c r="J176" s="242"/>
      <c r="K176" s="345"/>
      <c r="L176" s="345"/>
      <c r="M176" s="345"/>
      <c r="N176" s="345"/>
      <c r="O176" s="242"/>
      <c r="P176" s="345"/>
      <c r="Q176" s="345"/>
      <c r="S176" s="345"/>
      <c r="T176" s="345"/>
      <c r="U176" s="345"/>
      <c r="W176" s="345"/>
      <c r="X176" s="349"/>
      <c r="Y176" s="345"/>
      <c r="Z176" s="345"/>
      <c r="AA176" s="345"/>
      <c r="AB176" s="345"/>
      <c r="AC176" s="345"/>
      <c r="AD176" s="345"/>
      <c r="AE176" s="345"/>
      <c r="AF176" s="345"/>
      <c r="AG176" s="345"/>
      <c r="AH176" s="345"/>
      <c r="AI176" s="345"/>
      <c r="AJ176" s="345"/>
      <c r="AK176" s="345"/>
      <c r="AL176" s="345"/>
      <c r="AM176" s="345"/>
      <c r="AN176" s="345"/>
      <c r="AO176" s="345"/>
      <c r="AP176" s="345"/>
      <c r="AQ176" s="345"/>
    </row>
    <row r="177" spans="3:43" ht="27" customHeight="1" x14ac:dyDescent="0.2">
      <c r="C177" s="345"/>
      <c r="D177" s="345"/>
      <c r="E177" s="345"/>
      <c r="F177" s="345"/>
      <c r="G177" s="345"/>
      <c r="H177" s="345"/>
      <c r="I177" s="345"/>
      <c r="J177" s="242"/>
      <c r="K177" s="345"/>
      <c r="L177" s="345"/>
      <c r="M177" s="345"/>
      <c r="N177" s="345"/>
      <c r="O177" s="242"/>
      <c r="P177" s="345"/>
      <c r="Q177" s="345"/>
      <c r="S177" s="345"/>
      <c r="T177" s="345"/>
      <c r="U177" s="345"/>
      <c r="W177" s="345"/>
      <c r="X177" s="349"/>
      <c r="Y177" s="345"/>
      <c r="Z177" s="345"/>
      <c r="AA177" s="345"/>
      <c r="AB177" s="345"/>
      <c r="AC177" s="345"/>
      <c r="AD177" s="345"/>
      <c r="AE177" s="345"/>
      <c r="AF177" s="345"/>
      <c r="AG177" s="345"/>
      <c r="AH177" s="345"/>
      <c r="AI177" s="345"/>
      <c r="AJ177" s="345"/>
      <c r="AK177" s="345"/>
      <c r="AL177" s="345"/>
      <c r="AM177" s="345"/>
      <c r="AN177" s="345"/>
      <c r="AO177" s="345"/>
      <c r="AP177" s="345"/>
      <c r="AQ177" s="345"/>
    </row>
    <row r="178" spans="3:43" ht="27" customHeight="1" x14ac:dyDescent="0.2">
      <c r="C178" s="345"/>
      <c r="D178" s="345"/>
      <c r="E178" s="345"/>
      <c r="F178" s="345"/>
      <c r="G178" s="345"/>
      <c r="H178" s="345"/>
      <c r="I178" s="345"/>
      <c r="J178" s="242"/>
      <c r="K178" s="345"/>
      <c r="L178" s="345"/>
      <c r="M178" s="345"/>
      <c r="N178" s="345"/>
      <c r="O178" s="242"/>
      <c r="P178" s="345"/>
      <c r="Q178" s="345"/>
      <c r="S178" s="345"/>
      <c r="T178" s="345"/>
      <c r="U178" s="345"/>
      <c r="W178" s="345"/>
      <c r="X178" s="349"/>
      <c r="Y178" s="345"/>
      <c r="Z178" s="345"/>
      <c r="AA178" s="345"/>
      <c r="AB178" s="345"/>
      <c r="AC178" s="345"/>
      <c r="AD178" s="345"/>
      <c r="AE178" s="345"/>
      <c r="AF178" s="345"/>
      <c r="AG178" s="345"/>
      <c r="AH178" s="345"/>
      <c r="AI178" s="345"/>
      <c r="AJ178" s="345"/>
      <c r="AK178" s="345"/>
      <c r="AL178" s="345"/>
      <c r="AM178" s="345"/>
      <c r="AN178" s="345"/>
      <c r="AO178" s="345"/>
      <c r="AP178" s="345"/>
      <c r="AQ178" s="345"/>
    </row>
    <row r="179" spans="3:43" ht="27" customHeight="1" x14ac:dyDescent="0.2">
      <c r="C179" s="345"/>
      <c r="D179" s="345"/>
      <c r="E179" s="345"/>
      <c r="F179" s="345"/>
      <c r="G179" s="345"/>
      <c r="H179" s="345"/>
      <c r="I179" s="345"/>
      <c r="J179" s="242"/>
      <c r="K179" s="345"/>
      <c r="L179" s="345"/>
      <c r="M179" s="345"/>
      <c r="N179" s="345"/>
      <c r="O179" s="242"/>
      <c r="P179" s="345"/>
      <c r="Q179" s="345"/>
      <c r="S179" s="345"/>
      <c r="T179" s="345"/>
      <c r="U179" s="345"/>
      <c r="W179" s="345"/>
      <c r="X179" s="349"/>
      <c r="Y179" s="345"/>
      <c r="Z179" s="345"/>
      <c r="AA179" s="345"/>
      <c r="AB179" s="345"/>
      <c r="AC179" s="345"/>
      <c r="AD179" s="345"/>
      <c r="AE179" s="345"/>
      <c r="AF179" s="345"/>
      <c r="AG179" s="345"/>
      <c r="AH179" s="345"/>
      <c r="AI179" s="345"/>
      <c r="AJ179" s="345"/>
      <c r="AK179" s="345"/>
      <c r="AL179" s="345"/>
      <c r="AM179" s="345"/>
      <c r="AN179" s="345"/>
      <c r="AO179" s="345"/>
      <c r="AP179" s="345"/>
      <c r="AQ179" s="345"/>
    </row>
    <row r="180" spans="3:43" ht="27" customHeight="1" x14ac:dyDescent="0.2">
      <c r="C180" s="345"/>
      <c r="D180" s="345"/>
      <c r="E180" s="345"/>
      <c r="F180" s="345"/>
      <c r="G180" s="345"/>
      <c r="H180" s="345"/>
      <c r="I180" s="345"/>
      <c r="J180" s="242"/>
      <c r="K180" s="345"/>
      <c r="L180" s="345"/>
      <c r="M180" s="345"/>
      <c r="N180" s="345"/>
      <c r="O180" s="242"/>
      <c r="P180" s="345"/>
      <c r="Q180" s="345"/>
      <c r="S180" s="345"/>
      <c r="T180" s="345"/>
      <c r="U180" s="345"/>
      <c r="W180" s="345"/>
      <c r="X180" s="349"/>
      <c r="Y180" s="345"/>
      <c r="Z180" s="345"/>
      <c r="AA180" s="345"/>
      <c r="AB180" s="345"/>
      <c r="AC180" s="345"/>
      <c r="AD180" s="345"/>
      <c r="AE180" s="345"/>
      <c r="AF180" s="345"/>
      <c r="AG180" s="345"/>
      <c r="AH180" s="345"/>
      <c r="AI180" s="345"/>
      <c r="AJ180" s="345"/>
      <c r="AK180" s="345"/>
      <c r="AL180" s="345"/>
      <c r="AM180" s="345"/>
      <c r="AN180" s="345"/>
      <c r="AO180" s="345"/>
      <c r="AP180" s="345"/>
      <c r="AQ180" s="345"/>
    </row>
    <row r="181" spans="3:43" ht="27" customHeight="1" x14ac:dyDescent="0.2">
      <c r="C181" s="345"/>
      <c r="D181" s="345"/>
      <c r="E181" s="345"/>
      <c r="F181" s="345"/>
      <c r="G181" s="345"/>
      <c r="H181" s="345"/>
      <c r="I181" s="345"/>
      <c r="J181" s="242"/>
      <c r="K181" s="345"/>
      <c r="L181" s="345"/>
      <c r="M181" s="345"/>
      <c r="N181" s="345"/>
      <c r="O181" s="242"/>
      <c r="P181" s="345"/>
      <c r="Q181" s="345"/>
      <c r="S181" s="345"/>
      <c r="T181" s="345"/>
      <c r="U181" s="345"/>
      <c r="W181" s="345"/>
      <c r="X181" s="349"/>
      <c r="Y181" s="345"/>
      <c r="Z181" s="345"/>
      <c r="AA181" s="345"/>
      <c r="AB181" s="345"/>
      <c r="AC181" s="345"/>
      <c r="AD181" s="345"/>
      <c r="AE181" s="345"/>
      <c r="AF181" s="345"/>
      <c r="AG181" s="345"/>
      <c r="AH181" s="345"/>
      <c r="AI181" s="345"/>
      <c r="AJ181" s="345"/>
      <c r="AK181" s="345"/>
      <c r="AL181" s="345"/>
      <c r="AM181" s="345"/>
      <c r="AN181" s="345"/>
      <c r="AO181" s="345"/>
      <c r="AP181" s="345"/>
      <c r="AQ181" s="345"/>
    </row>
    <row r="182" spans="3:43" ht="27" customHeight="1" x14ac:dyDescent="0.2">
      <c r="C182" s="345"/>
      <c r="D182" s="345"/>
      <c r="E182" s="345"/>
      <c r="F182" s="345"/>
      <c r="G182" s="345"/>
      <c r="H182" s="345"/>
      <c r="I182" s="345"/>
      <c r="J182" s="242"/>
      <c r="K182" s="345"/>
      <c r="L182" s="345"/>
      <c r="M182" s="345"/>
      <c r="N182" s="345"/>
      <c r="O182" s="242"/>
      <c r="P182" s="345"/>
      <c r="Q182" s="345"/>
      <c r="S182" s="345"/>
      <c r="T182" s="345"/>
      <c r="U182" s="345"/>
      <c r="W182" s="345"/>
      <c r="X182" s="349"/>
      <c r="Y182" s="345"/>
      <c r="Z182" s="345"/>
      <c r="AA182" s="345"/>
      <c r="AB182" s="345"/>
      <c r="AC182" s="345"/>
      <c r="AD182" s="345"/>
      <c r="AE182" s="345"/>
      <c r="AF182" s="345"/>
      <c r="AG182" s="345"/>
      <c r="AH182" s="345"/>
      <c r="AI182" s="345"/>
      <c r="AJ182" s="345"/>
      <c r="AK182" s="345"/>
      <c r="AL182" s="345"/>
      <c r="AM182" s="345"/>
      <c r="AN182" s="345"/>
      <c r="AO182" s="345"/>
      <c r="AP182" s="345"/>
      <c r="AQ182" s="345"/>
    </row>
    <row r="183" spans="3:43" ht="27" customHeight="1" x14ac:dyDescent="0.2">
      <c r="C183" s="345"/>
      <c r="D183" s="345"/>
      <c r="E183" s="345"/>
      <c r="F183" s="345"/>
      <c r="G183" s="345"/>
      <c r="H183" s="345"/>
      <c r="I183" s="345"/>
      <c r="J183" s="242"/>
      <c r="K183" s="345"/>
      <c r="L183" s="345"/>
      <c r="M183" s="345"/>
      <c r="N183" s="345"/>
      <c r="O183" s="242"/>
      <c r="P183" s="345"/>
      <c r="Q183" s="345"/>
      <c r="S183" s="345"/>
      <c r="T183" s="345"/>
      <c r="U183" s="345"/>
      <c r="W183" s="345"/>
      <c r="X183" s="349"/>
      <c r="Y183" s="345"/>
      <c r="Z183" s="345"/>
      <c r="AA183" s="345"/>
      <c r="AB183" s="345"/>
      <c r="AC183" s="345"/>
      <c r="AD183" s="345"/>
      <c r="AE183" s="345"/>
      <c r="AF183" s="345"/>
      <c r="AG183" s="345"/>
      <c r="AH183" s="345"/>
      <c r="AI183" s="345"/>
      <c r="AJ183" s="345"/>
      <c r="AK183" s="345"/>
      <c r="AL183" s="345"/>
      <c r="AM183" s="345"/>
      <c r="AN183" s="345"/>
      <c r="AO183" s="345"/>
      <c r="AP183" s="345"/>
      <c r="AQ183" s="345"/>
    </row>
    <row r="184" spans="3:43" ht="27" customHeight="1" x14ac:dyDescent="0.2">
      <c r="C184" s="345"/>
      <c r="D184" s="345"/>
      <c r="E184" s="345"/>
      <c r="F184" s="345"/>
      <c r="G184" s="345"/>
      <c r="H184" s="345"/>
      <c r="I184" s="345"/>
      <c r="J184" s="242"/>
      <c r="K184" s="345"/>
      <c r="L184" s="345"/>
      <c r="M184" s="345"/>
      <c r="N184" s="345"/>
      <c r="O184" s="242"/>
      <c r="P184" s="345"/>
      <c r="Q184" s="345"/>
      <c r="S184" s="345"/>
      <c r="T184" s="345"/>
      <c r="U184" s="345"/>
      <c r="W184" s="345"/>
      <c r="X184" s="349"/>
      <c r="Y184" s="345"/>
      <c r="Z184" s="345"/>
      <c r="AA184" s="345"/>
      <c r="AB184" s="345"/>
      <c r="AC184" s="345"/>
      <c r="AD184" s="345"/>
      <c r="AE184" s="345"/>
      <c r="AF184" s="345"/>
      <c r="AG184" s="345"/>
      <c r="AH184" s="345"/>
      <c r="AI184" s="345"/>
      <c r="AJ184" s="345"/>
      <c r="AK184" s="345"/>
      <c r="AL184" s="345"/>
      <c r="AM184" s="345"/>
      <c r="AN184" s="345"/>
      <c r="AO184" s="345"/>
      <c r="AP184" s="345"/>
      <c r="AQ184" s="345"/>
    </row>
    <row r="185" spans="3:43" ht="27" customHeight="1" x14ac:dyDescent="0.2">
      <c r="C185" s="345"/>
      <c r="D185" s="345"/>
      <c r="E185" s="345"/>
      <c r="F185" s="345"/>
      <c r="G185" s="345"/>
      <c r="H185" s="345"/>
      <c r="I185" s="345"/>
      <c r="J185" s="242"/>
      <c r="K185" s="345"/>
      <c r="L185" s="345"/>
      <c r="M185" s="345"/>
      <c r="N185" s="345"/>
      <c r="O185" s="242"/>
      <c r="P185" s="345"/>
      <c r="Q185" s="345"/>
      <c r="S185" s="345"/>
      <c r="T185" s="345"/>
      <c r="U185" s="345"/>
      <c r="W185" s="345"/>
      <c r="X185" s="349"/>
      <c r="Y185" s="345"/>
      <c r="Z185" s="345"/>
      <c r="AA185" s="345"/>
      <c r="AB185" s="345"/>
      <c r="AC185" s="345"/>
      <c r="AD185" s="345"/>
      <c r="AE185" s="345"/>
      <c r="AF185" s="345"/>
      <c r="AG185" s="345"/>
      <c r="AH185" s="345"/>
      <c r="AI185" s="345"/>
      <c r="AJ185" s="345"/>
      <c r="AK185" s="345"/>
      <c r="AL185" s="345"/>
      <c r="AM185" s="345"/>
      <c r="AN185" s="345"/>
      <c r="AO185" s="345"/>
      <c r="AP185" s="345"/>
      <c r="AQ185" s="345"/>
    </row>
    <row r="186" spans="3:43" ht="27" customHeight="1" x14ac:dyDescent="0.2">
      <c r="C186" s="345"/>
      <c r="D186" s="345"/>
      <c r="E186" s="345"/>
      <c r="F186" s="345"/>
      <c r="G186" s="345"/>
      <c r="H186" s="345"/>
      <c r="I186" s="345"/>
      <c r="J186" s="242"/>
      <c r="K186" s="345"/>
      <c r="L186" s="345"/>
      <c r="M186" s="345"/>
      <c r="N186" s="345"/>
      <c r="O186" s="242"/>
      <c r="P186" s="345"/>
      <c r="Q186" s="345"/>
      <c r="S186" s="345"/>
      <c r="T186" s="345"/>
      <c r="U186" s="345"/>
      <c r="W186" s="345"/>
      <c r="X186" s="349"/>
      <c r="Y186" s="345"/>
      <c r="Z186" s="345"/>
      <c r="AA186" s="345"/>
      <c r="AB186" s="345"/>
      <c r="AC186" s="345"/>
      <c r="AD186" s="345"/>
      <c r="AE186" s="345"/>
      <c r="AF186" s="345"/>
      <c r="AG186" s="345"/>
      <c r="AH186" s="345"/>
      <c r="AI186" s="345"/>
      <c r="AJ186" s="345"/>
      <c r="AK186" s="345"/>
      <c r="AL186" s="345"/>
      <c r="AM186" s="345"/>
      <c r="AN186" s="345"/>
      <c r="AO186" s="345"/>
      <c r="AP186" s="345"/>
      <c r="AQ186" s="345"/>
    </row>
    <row r="187" spans="3:43" ht="27" customHeight="1" x14ac:dyDescent="0.2">
      <c r="C187" s="345"/>
      <c r="D187" s="345"/>
      <c r="E187" s="345"/>
      <c r="F187" s="345"/>
      <c r="G187" s="345"/>
      <c r="H187" s="345"/>
      <c r="I187" s="345"/>
      <c r="J187" s="242"/>
      <c r="K187" s="345"/>
      <c r="L187" s="345"/>
      <c r="M187" s="345"/>
      <c r="N187" s="345"/>
      <c r="O187" s="242"/>
      <c r="P187" s="345"/>
      <c r="Q187" s="345"/>
      <c r="S187" s="345"/>
      <c r="T187" s="345"/>
      <c r="U187" s="345"/>
      <c r="W187" s="345"/>
      <c r="X187" s="349"/>
      <c r="Y187" s="345"/>
      <c r="Z187" s="345"/>
      <c r="AA187" s="345"/>
      <c r="AB187" s="345"/>
      <c r="AC187" s="345"/>
      <c r="AD187" s="345"/>
      <c r="AE187" s="345"/>
      <c r="AF187" s="345"/>
      <c r="AG187" s="345"/>
      <c r="AH187" s="345"/>
      <c r="AI187" s="345"/>
      <c r="AJ187" s="345"/>
      <c r="AK187" s="345"/>
      <c r="AL187" s="345"/>
      <c r="AM187" s="345"/>
      <c r="AN187" s="345"/>
      <c r="AO187" s="345"/>
      <c r="AP187" s="345"/>
      <c r="AQ187" s="345"/>
    </row>
    <row r="188" spans="3:43" ht="27" customHeight="1" x14ac:dyDescent="0.2">
      <c r="C188" s="345"/>
      <c r="D188" s="345"/>
      <c r="E188" s="345"/>
      <c r="F188" s="345"/>
      <c r="G188" s="345"/>
      <c r="H188" s="345"/>
      <c r="I188" s="345"/>
      <c r="J188" s="242"/>
      <c r="K188" s="345"/>
      <c r="L188" s="345"/>
      <c r="M188" s="345"/>
      <c r="N188" s="345"/>
      <c r="O188" s="242"/>
      <c r="P188" s="345"/>
      <c r="Q188" s="345"/>
      <c r="S188" s="345"/>
      <c r="T188" s="345"/>
      <c r="U188" s="345"/>
      <c r="W188" s="345"/>
      <c r="X188" s="349"/>
      <c r="Y188" s="345"/>
      <c r="Z188" s="345"/>
      <c r="AA188" s="345"/>
      <c r="AB188" s="345"/>
      <c r="AC188" s="345"/>
      <c r="AD188" s="345"/>
      <c r="AE188" s="345"/>
      <c r="AF188" s="345"/>
      <c r="AG188" s="345"/>
      <c r="AH188" s="345"/>
      <c r="AI188" s="345"/>
      <c r="AJ188" s="345"/>
      <c r="AK188" s="345"/>
      <c r="AL188" s="345"/>
      <c r="AM188" s="345"/>
      <c r="AN188" s="345"/>
      <c r="AO188" s="345"/>
      <c r="AP188" s="345"/>
      <c r="AQ188" s="345"/>
    </row>
    <row r="189" spans="3:43" ht="27" customHeight="1" x14ac:dyDescent="0.2">
      <c r="C189" s="345"/>
      <c r="D189" s="345"/>
      <c r="E189" s="345"/>
      <c r="F189" s="345"/>
      <c r="G189" s="345"/>
      <c r="H189" s="345"/>
      <c r="I189" s="345"/>
      <c r="J189" s="242"/>
      <c r="K189" s="345"/>
      <c r="L189" s="345"/>
      <c r="M189" s="345"/>
      <c r="N189" s="345"/>
      <c r="O189" s="242"/>
      <c r="P189" s="345"/>
      <c r="Q189" s="345"/>
      <c r="S189" s="345"/>
      <c r="T189" s="345"/>
      <c r="U189" s="345"/>
      <c r="W189" s="345"/>
      <c r="X189" s="349"/>
      <c r="Y189" s="345"/>
      <c r="Z189" s="345"/>
      <c r="AA189" s="345"/>
      <c r="AB189" s="345"/>
      <c r="AC189" s="345"/>
      <c r="AD189" s="345"/>
      <c r="AE189" s="345"/>
      <c r="AF189" s="345"/>
      <c r="AG189" s="345"/>
      <c r="AH189" s="345"/>
      <c r="AI189" s="345"/>
      <c r="AJ189" s="345"/>
      <c r="AK189" s="345"/>
      <c r="AL189" s="345"/>
      <c r="AM189" s="345"/>
      <c r="AN189" s="345"/>
      <c r="AO189" s="345"/>
      <c r="AP189" s="345"/>
      <c r="AQ189" s="345"/>
    </row>
    <row r="190" spans="3:43" ht="27" customHeight="1" x14ac:dyDescent="0.2">
      <c r="C190" s="345"/>
      <c r="D190" s="345"/>
      <c r="E190" s="345"/>
      <c r="F190" s="345"/>
      <c r="G190" s="345"/>
      <c r="H190" s="345"/>
      <c r="I190" s="345"/>
      <c r="J190" s="242"/>
      <c r="K190" s="345"/>
      <c r="L190" s="345"/>
      <c r="M190" s="345"/>
      <c r="N190" s="345"/>
      <c r="O190" s="242"/>
      <c r="P190" s="345"/>
      <c r="Q190" s="345"/>
      <c r="S190" s="345"/>
      <c r="T190" s="345"/>
      <c r="U190" s="345"/>
      <c r="W190" s="345"/>
      <c r="X190" s="349"/>
      <c r="Y190" s="345"/>
      <c r="Z190" s="345"/>
      <c r="AA190" s="345"/>
      <c r="AB190" s="345"/>
      <c r="AC190" s="345"/>
      <c r="AD190" s="345"/>
      <c r="AE190" s="345"/>
      <c r="AF190" s="345"/>
      <c r="AG190" s="345"/>
      <c r="AH190" s="345"/>
      <c r="AI190" s="345"/>
      <c r="AJ190" s="345"/>
      <c r="AK190" s="345"/>
      <c r="AL190" s="345"/>
      <c r="AM190" s="345"/>
      <c r="AN190" s="345"/>
      <c r="AO190" s="345"/>
      <c r="AP190" s="345"/>
      <c r="AQ190" s="345"/>
    </row>
    <row r="191" spans="3:43" ht="27" customHeight="1" x14ac:dyDescent="0.2">
      <c r="C191" s="345"/>
      <c r="D191" s="345"/>
      <c r="E191" s="345"/>
      <c r="F191" s="345"/>
      <c r="G191" s="345"/>
      <c r="H191" s="345"/>
      <c r="I191" s="345"/>
      <c r="J191" s="242"/>
      <c r="K191" s="345"/>
      <c r="L191" s="345"/>
      <c r="M191" s="345"/>
      <c r="N191" s="345"/>
      <c r="O191" s="242"/>
      <c r="P191" s="345"/>
      <c r="Q191" s="345"/>
      <c r="S191" s="345"/>
      <c r="T191" s="345"/>
      <c r="U191" s="345"/>
      <c r="W191" s="345"/>
      <c r="X191" s="349"/>
      <c r="Y191" s="345"/>
      <c r="Z191" s="345"/>
      <c r="AA191" s="345"/>
      <c r="AB191" s="345"/>
      <c r="AC191" s="345"/>
      <c r="AD191" s="345"/>
      <c r="AE191" s="345"/>
      <c r="AF191" s="345"/>
      <c r="AG191" s="345"/>
      <c r="AH191" s="345"/>
      <c r="AI191" s="345"/>
      <c r="AJ191" s="345"/>
      <c r="AK191" s="345"/>
      <c r="AL191" s="345"/>
      <c r="AM191" s="345"/>
      <c r="AN191" s="345"/>
      <c r="AO191" s="345"/>
      <c r="AP191" s="345"/>
      <c r="AQ191" s="345"/>
    </row>
    <row r="192" spans="3:43" ht="27" customHeight="1" x14ac:dyDescent="0.2">
      <c r="C192" s="345"/>
      <c r="D192" s="345"/>
      <c r="E192" s="345"/>
      <c r="F192" s="345"/>
      <c r="G192" s="345"/>
      <c r="H192" s="345"/>
      <c r="I192" s="345"/>
      <c r="J192" s="242"/>
      <c r="K192" s="345"/>
      <c r="L192" s="345"/>
      <c r="M192" s="345"/>
      <c r="N192" s="345"/>
      <c r="O192" s="242"/>
      <c r="P192" s="345"/>
      <c r="Q192" s="345"/>
      <c r="S192" s="345"/>
      <c r="T192" s="345"/>
      <c r="U192" s="345"/>
      <c r="W192" s="345"/>
      <c r="X192" s="349"/>
      <c r="Y192" s="345"/>
      <c r="Z192" s="345"/>
      <c r="AA192" s="345"/>
      <c r="AB192" s="345"/>
      <c r="AC192" s="345"/>
      <c r="AD192" s="345"/>
      <c r="AE192" s="345"/>
      <c r="AF192" s="345"/>
      <c r="AG192" s="345"/>
      <c r="AH192" s="345"/>
      <c r="AI192" s="345"/>
      <c r="AJ192" s="345"/>
      <c r="AK192" s="345"/>
      <c r="AL192" s="345"/>
      <c r="AM192" s="345"/>
      <c r="AN192" s="345"/>
      <c r="AO192" s="345"/>
      <c r="AP192" s="345"/>
      <c r="AQ192" s="345"/>
    </row>
    <row r="193" spans="3:43" ht="27" customHeight="1" x14ac:dyDescent="0.2">
      <c r="C193" s="345"/>
      <c r="D193" s="345"/>
      <c r="E193" s="345"/>
      <c r="F193" s="345"/>
      <c r="G193" s="345"/>
      <c r="H193" s="345"/>
      <c r="I193" s="345"/>
      <c r="J193" s="242"/>
      <c r="K193" s="345"/>
      <c r="L193" s="345"/>
      <c r="M193" s="345"/>
      <c r="N193" s="345"/>
      <c r="O193" s="242"/>
      <c r="P193" s="345"/>
      <c r="Q193" s="345"/>
      <c r="S193" s="345"/>
      <c r="T193" s="345"/>
      <c r="U193" s="345"/>
      <c r="W193" s="345"/>
      <c r="X193" s="349"/>
      <c r="Y193" s="345"/>
      <c r="Z193" s="345"/>
      <c r="AA193" s="345"/>
      <c r="AB193" s="345"/>
      <c r="AC193" s="345"/>
      <c r="AD193" s="345"/>
      <c r="AE193" s="345"/>
      <c r="AF193" s="345"/>
      <c r="AG193" s="345"/>
      <c r="AH193" s="345"/>
      <c r="AI193" s="345"/>
      <c r="AJ193" s="345"/>
      <c r="AK193" s="345"/>
      <c r="AL193" s="345"/>
      <c r="AM193" s="345"/>
      <c r="AN193" s="345"/>
      <c r="AO193" s="345"/>
      <c r="AP193" s="345"/>
      <c r="AQ193" s="345"/>
    </row>
    <row r="194" spans="3:43" ht="27" customHeight="1" x14ac:dyDescent="0.2">
      <c r="C194" s="345"/>
      <c r="D194" s="345"/>
      <c r="E194" s="345"/>
      <c r="F194" s="345"/>
      <c r="G194" s="345"/>
      <c r="H194" s="345"/>
      <c r="I194" s="345"/>
      <c r="J194" s="242"/>
      <c r="K194" s="345"/>
      <c r="L194" s="345"/>
      <c r="M194" s="345"/>
      <c r="N194" s="345"/>
      <c r="O194" s="242"/>
      <c r="P194" s="345"/>
      <c r="Q194" s="345"/>
      <c r="S194" s="345"/>
      <c r="T194" s="345"/>
      <c r="U194" s="345"/>
      <c r="W194" s="345"/>
      <c r="X194" s="349"/>
      <c r="Y194" s="345"/>
      <c r="Z194" s="345"/>
      <c r="AA194" s="345"/>
      <c r="AB194" s="345"/>
      <c r="AC194" s="345"/>
      <c r="AD194" s="345"/>
      <c r="AE194" s="345"/>
      <c r="AF194" s="345"/>
      <c r="AG194" s="345"/>
      <c r="AH194" s="345"/>
      <c r="AI194" s="345"/>
      <c r="AJ194" s="345"/>
      <c r="AK194" s="345"/>
      <c r="AL194" s="345"/>
      <c r="AM194" s="345"/>
      <c r="AN194" s="345"/>
      <c r="AO194" s="345"/>
      <c r="AP194" s="345"/>
      <c r="AQ194" s="345"/>
    </row>
    <row r="195" spans="3:43" ht="27" customHeight="1" x14ac:dyDescent="0.2">
      <c r="C195" s="345"/>
      <c r="D195" s="345"/>
      <c r="E195" s="345"/>
      <c r="F195" s="345"/>
      <c r="G195" s="345"/>
      <c r="H195" s="345"/>
      <c r="I195" s="345"/>
      <c r="J195" s="242"/>
      <c r="K195" s="345"/>
      <c r="L195" s="345"/>
      <c r="M195" s="345"/>
      <c r="N195" s="345"/>
      <c r="O195" s="242"/>
      <c r="P195" s="345"/>
      <c r="Q195" s="345"/>
      <c r="S195" s="345"/>
      <c r="T195" s="345"/>
      <c r="U195" s="345"/>
      <c r="W195" s="345"/>
      <c r="X195" s="349"/>
      <c r="Y195" s="345"/>
      <c r="Z195" s="345"/>
      <c r="AA195" s="345"/>
      <c r="AB195" s="345"/>
      <c r="AC195" s="345"/>
      <c r="AD195" s="345"/>
      <c r="AE195" s="345"/>
      <c r="AF195" s="345"/>
      <c r="AG195" s="345"/>
      <c r="AH195" s="345"/>
      <c r="AI195" s="345"/>
      <c r="AJ195" s="345"/>
      <c r="AK195" s="345"/>
      <c r="AL195" s="345"/>
      <c r="AM195" s="345"/>
      <c r="AN195" s="345"/>
      <c r="AO195" s="345"/>
      <c r="AP195" s="345"/>
      <c r="AQ195" s="345"/>
    </row>
    <row r="196" spans="3:43" ht="27" customHeight="1" x14ac:dyDescent="0.2">
      <c r="C196" s="345"/>
      <c r="D196" s="345"/>
      <c r="E196" s="345"/>
      <c r="F196" s="345"/>
      <c r="G196" s="345"/>
      <c r="H196" s="345"/>
      <c r="I196" s="345"/>
      <c r="J196" s="242"/>
      <c r="K196" s="345"/>
      <c r="L196" s="345"/>
      <c r="M196" s="345"/>
      <c r="N196" s="345"/>
      <c r="O196" s="242"/>
      <c r="P196" s="345"/>
      <c r="Q196" s="345"/>
      <c r="S196" s="345"/>
      <c r="T196" s="345"/>
      <c r="U196" s="345"/>
      <c r="W196" s="345"/>
      <c r="X196" s="349"/>
      <c r="Y196" s="345"/>
      <c r="Z196" s="345"/>
      <c r="AA196" s="345"/>
      <c r="AB196" s="345"/>
      <c r="AC196" s="345"/>
      <c r="AD196" s="345"/>
      <c r="AE196" s="345"/>
      <c r="AF196" s="345"/>
      <c r="AG196" s="345"/>
      <c r="AH196" s="345"/>
      <c r="AI196" s="345"/>
      <c r="AJ196" s="345"/>
      <c r="AK196" s="345"/>
      <c r="AL196" s="345"/>
      <c r="AM196" s="345"/>
      <c r="AN196" s="345"/>
      <c r="AO196" s="345"/>
      <c r="AP196" s="345"/>
      <c r="AQ196" s="345"/>
    </row>
    <row r="197" spans="3:43" ht="27" customHeight="1" x14ac:dyDescent="0.2">
      <c r="C197" s="345"/>
      <c r="D197" s="345"/>
      <c r="E197" s="345"/>
      <c r="F197" s="345"/>
      <c r="G197" s="345"/>
      <c r="H197" s="345"/>
      <c r="I197" s="345"/>
      <c r="J197" s="242"/>
      <c r="K197" s="345"/>
      <c r="L197" s="345"/>
      <c r="M197" s="345"/>
      <c r="N197" s="345"/>
      <c r="O197" s="242"/>
      <c r="P197" s="345"/>
      <c r="Q197" s="345"/>
      <c r="S197" s="345"/>
      <c r="T197" s="345"/>
      <c r="U197" s="345"/>
      <c r="W197" s="345"/>
      <c r="X197" s="349"/>
      <c r="Y197" s="345"/>
      <c r="Z197" s="345"/>
      <c r="AA197" s="345"/>
      <c r="AB197" s="345"/>
      <c r="AC197" s="345"/>
      <c r="AD197" s="345"/>
      <c r="AE197" s="345"/>
      <c r="AF197" s="345"/>
      <c r="AG197" s="345"/>
      <c r="AH197" s="345"/>
      <c r="AI197" s="345"/>
      <c r="AJ197" s="345"/>
      <c r="AK197" s="345"/>
      <c r="AL197" s="345"/>
      <c r="AM197" s="345"/>
      <c r="AN197" s="345"/>
      <c r="AO197" s="345"/>
      <c r="AP197" s="345"/>
      <c r="AQ197" s="345"/>
    </row>
    <row r="198" spans="3:43" ht="27" customHeight="1" x14ac:dyDescent="0.2">
      <c r="C198" s="345"/>
      <c r="D198" s="345"/>
      <c r="E198" s="345"/>
      <c r="F198" s="345"/>
      <c r="G198" s="345"/>
      <c r="H198" s="345"/>
      <c r="I198" s="345"/>
      <c r="J198" s="242"/>
      <c r="K198" s="345"/>
      <c r="L198" s="345"/>
      <c r="M198" s="345"/>
      <c r="N198" s="345"/>
      <c r="O198" s="242"/>
      <c r="P198" s="345"/>
      <c r="Q198" s="345"/>
      <c r="S198" s="345"/>
      <c r="T198" s="345"/>
      <c r="U198" s="345"/>
      <c r="W198" s="345"/>
      <c r="X198" s="349"/>
      <c r="Y198" s="345"/>
      <c r="Z198" s="345"/>
      <c r="AA198" s="345"/>
      <c r="AB198" s="345"/>
      <c r="AC198" s="345"/>
      <c r="AD198" s="345"/>
      <c r="AE198" s="345"/>
      <c r="AF198" s="345"/>
      <c r="AG198" s="345"/>
      <c r="AH198" s="345"/>
      <c r="AI198" s="345"/>
      <c r="AJ198" s="345"/>
      <c r="AK198" s="345"/>
      <c r="AL198" s="345"/>
      <c r="AM198" s="345"/>
      <c r="AN198" s="345"/>
      <c r="AO198" s="345"/>
      <c r="AP198" s="345"/>
      <c r="AQ198" s="345"/>
    </row>
    <row r="199" spans="3:43" ht="27" customHeight="1" x14ac:dyDescent="0.2">
      <c r="C199" s="345"/>
      <c r="D199" s="345"/>
      <c r="E199" s="345"/>
      <c r="F199" s="345"/>
      <c r="G199" s="345"/>
      <c r="H199" s="345"/>
      <c r="I199" s="345"/>
      <c r="J199" s="242"/>
      <c r="K199" s="345"/>
      <c r="L199" s="345"/>
      <c r="M199" s="345"/>
      <c r="N199" s="345"/>
      <c r="O199" s="242"/>
      <c r="P199" s="345"/>
      <c r="Q199" s="345"/>
      <c r="S199" s="345"/>
      <c r="T199" s="345"/>
      <c r="U199" s="345"/>
      <c r="W199" s="345"/>
      <c r="X199" s="349"/>
      <c r="Y199" s="345"/>
      <c r="Z199" s="345"/>
      <c r="AA199" s="345"/>
      <c r="AB199" s="345"/>
      <c r="AC199" s="345"/>
      <c r="AD199" s="345"/>
      <c r="AE199" s="345"/>
      <c r="AF199" s="345"/>
      <c r="AG199" s="345"/>
      <c r="AH199" s="345"/>
      <c r="AI199" s="345"/>
      <c r="AJ199" s="345"/>
      <c r="AK199" s="345"/>
      <c r="AL199" s="345"/>
      <c r="AM199" s="345"/>
      <c r="AN199" s="345"/>
      <c r="AO199" s="345"/>
      <c r="AP199" s="345"/>
      <c r="AQ199" s="345"/>
    </row>
    <row r="200" spans="3:43" ht="27" customHeight="1" x14ac:dyDescent="0.2">
      <c r="C200" s="345"/>
      <c r="D200" s="345"/>
      <c r="E200" s="345"/>
      <c r="F200" s="345"/>
      <c r="G200" s="345"/>
      <c r="H200" s="345"/>
      <c r="I200" s="345"/>
      <c r="J200" s="242"/>
      <c r="K200" s="345"/>
      <c r="L200" s="345"/>
      <c r="M200" s="345"/>
      <c r="N200" s="345"/>
      <c r="O200" s="242"/>
      <c r="P200" s="345"/>
      <c r="Q200" s="345"/>
      <c r="S200" s="345"/>
      <c r="T200" s="345"/>
      <c r="U200" s="345"/>
      <c r="W200" s="345"/>
      <c r="X200" s="349"/>
      <c r="Y200" s="345"/>
      <c r="Z200" s="345"/>
      <c r="AA200" s="345"/>
      <c r="AB200" s="345"/>
      <c r="AC200" s="345"/>
      <c r="AD200" s="345"/>
      <c r="AE200" s="345"/>
      <c r="AF200" s="345"/>
      <c r="AG200" s="345"/>
      <c r="AH200" s="345"/>
      <c r="AI200" s="345"/>
      <c r="AJ200" s="345"/>
      <c r="AK200" s="345"/>
      <c r="AL200" s="345"/>
      <c r="AM200" s="345"/>
      <c r="AN200" s="345"/>
      <c r="AO200" s="345"/>
      <c r="AP200" s="345"/>
      <c r="AQ200" s="345"/>
    </row>
    <row r="201" spans="3:43" ht="27" customHeight="1" x14ac:dyDescent="0.2">
      <c r="C201" s="345"/>
      <c r="D201" s="345"/>
      <c r="E201" s="345"/>
      <c r="F201" s="345"/>
      <c r="G201" s="345"/>
      <c r="H201" s="345"/>
      <c r="I201" s="345"/>
      <c r="J201" s="242"/>
      <c r="K201" s="345"/>
      <c r="L201" s="345"/>
      <c r="M201" s="345"/>
      <c r="N201" s="345"/>
      <c r="O201" s="242"/>
      <c r="P201" s="345"/>
      <c r="Q201" s="345"/>
      <c r="S201" s="345"/>
      <c r="T201" s="345"/>
      <c r="U201" s="345"/>
      <c r="W201" s="345"/>
      <c r="X201" s="349"/>
      <c r="Y201" s="345"/>
      <c r="Z201" s="345"/>
      <c r="AA201" s="345"/>
      <c r="AB201" s="345"/>
      <c r="AC201" s="345"/>
      <c r="AD201" s="345"/>
      <c r="AE201" s="345"/>
      <c r="AF201" s="345"/>
      <c r="AG201" s="345"/>
      <c r="AH201" s="345"/>
      <c r="AI201" s="345"/>
      <c r="AJ201" s="345"/>
      <c r="AK201" s="345"/>
      <c r="AL201" s="345"/>
      <c r="AM201" s="345"/>
      <c r="AN201" s="345"/>
      <c r="AO201" s="345"/>
      <c r="AP201" s="345"/>
      <c r="AQ201" s="345"/>
    </row>
    <row r="202" spans="3:43" ht="27" customHeight="1" x14ac:dyDescent="0.2">
      <c r="C202" s="345"/>
      <c r="D202" s="345"/>
      <c r="E202" s="345"/>
      <c r="F202" s="345"/>
      <c r="G202" s="345"/>
      <c r="H202" s="345"/>
      <c r="I202" s="345"/>
      <c r="J202" s="242"/>
      <c r="K202" s="345"/>
      <c r="L202" s="345"/>
      <c r="M202" s="345"/>
      <c r="N202" s="345"/>
      <c r="O202" s="242"/>
      <c r="P202" s="345"/>
      <c r="Q202" s="345"/>
      <c r="S202" s="345"/>
      <c r="T202" s="345"/>
      <c r="U202" s="345"/>
      <c r="W202" s="345"/>
      <c r="X202" s="349"/>
      <c r="Y202" s="345"/>
      <c r="Z202" s="345"/>
      <c r="AA202" s="345"/>
      <c r="AB202" s="345"/>
      <c r="AC202" s="345"/>
      <c r="AD202" s="345"/>
      <c r="AE202" s="345"/>
      <c r="AF202" s="345"/>
      <c r="AG202" s="345"/>
      <c r="AH202" s="345"/>
      <c r="AI202" s="345"/>
      <c r="AJ202" s="345"/>
      <c r="AK202" s="345"/>
      <c r="AL202" s="345"/>
      <c r="AM202" s="345"/>
      <c r="AN202" s="345"/>
      <c r="AO202" s="345"/>
      <c r="AP202" s="345"/>
      <c r="AQ202" s="345"/>
    </row>
    <row r="203" spans="3:43" ht="27" customHeight="1" x14ac:dyDescent="0.2">
      <c r="C203" s="345"/>
      <c r="D203" s="345"/>
      <c r="E203" s="345"/>
      <c r="F203" s="345"/>
      <c r="G203" s="345"/>
      <c r="H203" s="345"/>
      <c r="I203" s="345"/>
      <c r="J203" s="242"/>
      <c r="K203" s="345"/>
      <c r="L203" s="345"/>
      <c r="M203" s="345"/>
      <c r="N203" s="345"/>
      <c r="O203" s="242"/>
      <c r="P203" s="345"/>
      <c r="Q203" s="345"/>
      <c r="S203" s="345"/>
      <c r="T203" s="345"/>
      <c r="U203" s="345"/>
      <c r="W203" s="345"/>
      <c r="X203" s="349"/>
      <c r="Y203" s="345"/>
      <c r="Z203" s="345"/>
      <c r="AA203" s="345"/>
      <c r="AB203" s="345"/>
      <c r="AC203" s="345"/>
      <c r="AD203" s="345"/>
      <c r="AE203" s="345"/>
      <c r="AF203" s="345"/>
      <c r="AG203" s="345"/>
      <c r="AH203" s="345"/>
      <c r="AI203" s="345"/>
      <c r="AJ203" s="345"/>
      <c r="AK203" s="345"/>
      <c r="AL203" s="345"/>
      <c r="AM203" s="345"/>
      <c r="AN203" s="345"/>
      <c r="AO203" s="345"/>
      <c r="AP203" s="345"/>
      <c r="AQ203" s="345"/>
    </row>
    <row r="204" spans="3:43" ht="27" customHeight="1" x14ac:dyDescent="0.2">
      <c r="C204" s="345"/>
      <c r="D204" s="345"/>
      <c r="E204" s="345"/>
      <c r="F204" s="345"/>
      <c r="G204" s="345"/>
      <c r="H204" s="345"/>
      <c r="I204" s="345"/>
      <c r="J204" s="242"/>
      <c r="K204" s="345"/>
      <c r="L204" s="345"/>
      <c r="M204" s="345"/>
      <c r="N204" s="345"/>
      <c r="O204" s="242"/>
      <c r="P204" s="345"/>
      <c r="Q204" s="345"/>
      <c r="S204" s="345"/>
      <c r="T204" s="345"/>
      <c r="U204" s="345"/>
      <c r="W204" s="345"/>
      <c r="X204" s="349"/>
      <c r="Y204" s="345"/>
      <c r="Z204" s="345"/>
      <c r="AA204" s="345"/>
      <c r="AB204" s="345"/>
      <c r="AC204" s="345"/>
      <c r="AD204" s="345"/>
      <c r="AE204" s="345"/>
      <c r="AF204" s="345"/>
      <c r="AG204" s="345"/>
      <c r="AH204" s="345"/>
      <c r="AI204" s="345"/>
      <c r="AJ204" s="345"/>
      <c r="AK204" s="345"/>
      <c r="AL204" s="345"/>
      <c r="AM204" s="345"/>
      <c r="AN204" s="345"/>
      <c r="AO204" s="345"/>
      <c r="AP204" s="345"/>
      <c r="AQ204" s="345"/>
    </row>
    <row r="205" spans="3:43" ht="27" customHeight="1" x14ac:dyDescent="0.2">
      <c r="C205" s="345"/>
      <c r="D205" s="345"/>
      <c r="E205" s="345"/>
      <c r="F205" s="345"/>
      <c r="G205" s="345"/>
      <c r="H205" s="345"/>
      <c r="I205" s="345"/>
      <c r="J205" s="242"/>
      <c r="K205" s="345"/>
      <c r="L205" s="345"/>
      <c r="M205" s="345"/>
      <c r="N205" s="345"/>
      <c r="O205" s="242"/>
      <c r="P205" s="345"/>
      <c r="Q205" s="345"/>
      <c r="S205" s="345"/>
      <c r="T205" s="345"/>
      <c r="U205" s="345"/>
      <c r="W205" s="345"/>
      <c r="X205" s="349"/>
      <c r="Y205" s="345"/>
      <c r="Z205" s="345"/>
      <c r="AA205" s="345"/>
      <c r="AB205" s="345"/>
      <c r="AC205" s="345"/>
      <c r="AD205" s="345"/>
      <c r="AE205" s="345"/>
      <c r="AF205" s="345"/>
      <c r="AG205" s="345"/>
      <c r="AH205" s="345"/>
      <c r="AI205" s="345"/>
      <c r="AJ205" s="345"/>
      <c r="AK205" s="345"/>
      <c r="AL205" s="345"/>
      <c r="AM205" s="345"/>
      <c r="AN205" s="345"/>
      <c r="AO205" s="345"/>
      <c r="AP205" s="345"/>
      <c r="AQ205" s="345"/>
    </row>
    <row r="206" spans="3:43" ht="27" customHeight="1" x14ac:dyDescent="0.2">
      <c r="C206" s="345"/>
      <c r="D206" s="345"/>
      <c r="E206" s="345"/>
      <c r="F206" s="345"/>
      <c r="G206" s="345"/>
      <c r="H206" s="345"/>
      <c r="I206" s="345"/>
      <c r="J206" s="242"/>
      <c r="K206" s="345"/>
      <c r="L206" s="345"/>
      <c r="M206" s="345"/>
      <c r="N206" s="345"/>
      <c r="O206" s="242"/>
      <c r="P206" s="345"/>
      <c r="Q206" s="345"/>
      <c r="S206" s="345"/>
      <c r="T206" s="345"/>
      <c r="U206" s="345"/>
      <c r="W206" s="345"/>
      <c r="X206" s="349"/>
      <c r="Y206" s="345"/>
      <c r="Z206" s="345"/>
      <c r="AA206" s="345"/>
      <c r="AB206" s="345"/>
      <c r="AC206" s="345"/>
      <c r="AD206" s="345"/>
      <c r="AE206" s="345"/>
      <c r="AF206" s="345"/>
      <c r="AG206" s="345"/>
      <c r="AH206" s="345"/>
      <c r="AI206" s="345"/>
      <c r="AJ206" s="345"/>
      <c r="AK206" s="345"/>
      <c r="AL206" s="345"/>
      <c r="AM206" s="345"/>
      <c r="AN206" s="345"/>
      <c r="AO206" s="345"/>
      <c r="AP206" s="345"/>
      <c r="AQ206" s="345"/>
    </row>
    <row r="207" spans="3:43" ht="27" customHeight="1" x14ac:dyDescent="0.2">
      <c r="C207" s="345"/>
      <c r="D207" s="345"/>
      <c r="E207" s="345"/>
      <c r="F207" s="345"/>
      <c r="G207" s="345"/>
      <c r="H207" s="345"/>
      <c r="I207" s="345"/>
      <c r="J207" s="242"/>
      <c r="K207" s="345"/>
      <c r="L207" s="345"/>
      <c r="M207" s="345"/>
      <c r="N207" s="345"/>
      <c r="O207" s="242"/>
      <c r="P207" s="345"/>
      <c r="Q207" s="345"/>
      <c r="S207" s="345"/>
      <c r="T207" s="345"/>
      <c r="U207" s="345"/>
      <c r="W207" s="345"/>
      <c r="X207" s="349"/>
      <c r="Y207" s="345"/>
      <c r="Z207" s="345"/>
      <c r="AA207" s="345"/>
      <c r="AB207" s="345"/>
      <c r="AC207" s="345"/>
      <c r="AD207" s="345"/>
      <c r="AE207" s="345"/>
      <c r="AF207" s="345"/>
      <c r="AG207" s="345"/>
      <c r="AH207" s="345"/>
      <c r="AI207" s="345"/>
      <c r="AJ207" s="345"/>
      <c r="AK207" s="345"/>
      <c r="AL207" s="345"/>
      <c r="AM207" s="345"/>
      <c r="AN207" s="345"/>
      <c r="AO207" s="345"/>
      <c r="AP207" s="345"/>
      <c r="AQ207" s="345"/>
    </row>
    <row r="208" spans="3:43" ht="27" customHeight="1" x14ac:dyDescent="0.2">
      <c r="C208" s="345"/>
      <c r="D208" s="345"/>
      <c r="E208" s="345"/>
      <c r="F208" s="345"/>
      <c r="G208" s="345"/>
      <c r="H208" s="345"/>
      <c r="I208" s="345"/>
      <c r="J208" s="242"/>
      <c r="K208" s="345"/>
      <c r="L208" s="345"/>
      <c r="M208" s="345"/>
      <c r="N208" s="345"/>
      <c r="O208" s="242"/>
      <c r="P208" s="345"/>
      <c r="Q208" s="345"/>
      <c r="S208" s="345"/>
      <c r="T208" s="345"/>
      <c r="U208" s="345"/>
      <c r="W208" s="345"/>
      <c r="X208" s="349"/>
      <c r="Y208" s="345"/>
      <c r="Z208" s="345"/>
      <c r="AA208" s="345"/>
      <c r="AB208" s="345"/>
      <c r="AC208" s="345"/>
      <c r="AD208" s="345"/>
      <c r="AE208" s="345"/>
      <c r="AF208" s="345"/>
      <c r="AG208" s="345"/>
      <c r="AH208" s="345"/>
      <c r="AI208" s="345"/>
      <c r="AJ208" s="345"/>
      <c r="AK208" s="345"/>
      <c r="AL208" s="345"/>
      <c r="AM208" s="345"/>
      <c r="AN208" s="345"/>
      <c r="AO208" s="345"/>
      <c r="AP208" s="345"/>
      <c r="AQ208" s="345"/>
    </row>
    <row r="209" spans="3:43" ht="27" customHeight="1" x14ac:dyDescent="0.2">
      <c r="C209" s="345"/>
      <c r="D209" s="345"/>
      <c r="E209" s="345"/>
      <c r="F209" s="345"/>
      <c r="G209" s="345"/>
      <c r="H209" s="345"/>
      <c r="I209" s="345"/>
      <c r="J209" s="242"/>
      <c r="K209" s="345"/>
      <c r="L209" s="345"/>
      <c r="M209" s="345"/>
      <c r="N209" s="345"/>
      <c r="O209" s="242"/>
      <c r="P209" s="345"/>
      <c r="Q209" s="345"/>
      <c r="S209" s="345"/>
      <c r="T209" s="345"/>
      <c r="U209" s="345"/>
      <c r="W209" s="345"/>
      <c r="X209" s="349"/>
      <c r="Y209" s="345"/>
      <c r="Z209" s="345"/>
      <c r="AA209" s="345"/>
      <c r="AB209" s="345"/>
      <c r="AC209" s="345"/>
      <c r="AD209" s="345"/>
      <c r="AE209" s="345"/>
      <c r="AF209" s="345"/>
      <c r="AG209" s="345"/>
      <c r="AH209" s="345"/>
      <c r="AI209" s="345"/>
      <c r="AJ209" s="345"/>
      <c r="AK209" s="345"/>
      <c r="AL209" s="345"/>
      <c r="AM209" s="345"/>
      <c r="AN209" s="345"/>
      <c r="AO209" s="345"/>
      <c r="AP209" s="345"/>
      <c r="AQ209" s="345"/>
    </row>
    <row r="210" spans="3:43" ht="27" customHeight="1" x14ac:dyDescent="0.2">
      <c r="C210" s="345"/>
      <c r="D210" s="345"/>
      <c r="E210" s="345"/>
      <c r="F210" s="345"/>
      <c r="G210" s="345"/>
      <c r="H210" s="345"/>
      <c r="I210" s="345"/>
      <c r="J210" s="242"/>
      <c r="K210" s="345"/>
      <c r="L210" s="345"/>
      <c r="M210" s="345"/>
      <c r="N210" s="345"/>
      <c r="O210" s="242"/>
      <c r="P210" s="345"/>
      <c r="Q210" s="345"/>
      <c r="S210" s="345"/>
      <c r="T210" s="345"/>
      <c r="U210" s="345"/>
      <c r="W210" s="345"/>
      <c r="X210" s="349"/>
      <c r="Y210" s="345"/>
      <c r="Z210" s="345"/>
      <c r="AA210" s="345"/>
      <c r="AB210" s="345"/>
      <c r="AC210" s="345"/>
      <c r="AD210" s="345"/>
      <c r="AE210" s="345"/>
      <c r="AF210" s="345"/>
      <c r="AG210" s="345"/>
      <c r="AH210" s="345"/>
      <c r="AI210" s="345"/>
      <c r="AJ210" s="345"/>
      <c r="AK210" s="345"/>
      <c r="AL210" s="345"/>
      <c r="AM210" s="345"/>
      <c r="AN210" s="345"/>
      <c r="AO210" s="345"/>
      <c r="AP210" s="345"/>
      <c r="AQ210" s="345"/>
    </row>
    <row r="211" spans="3:43" ht="27" customHeight="1" x14ac:dyDescent="0.2">
      <c r="C211" s="345"/>
      <c r="D211" s="345"/>
      <c r="E211" s="345"/>
      <c r="F211" s="345"/>
      <c r="G211" s="345"/>
      <c r="H211" s="345"/>
      <c r="I211" s="345"/>
      <c r="J211" s="242"/>
      <c r="K211" s="345"/>
      <c r="L211" s="345"/>
      <c r="M211" s="345"/>
      <c r="N211" s="345"/>
      <c r="O211" s="242"/>
      <c r="P211" s="345"/>
      <c r="Q211" s="345"/>
      <c r="S211" s="345"/>
      <c r="T211" s="345"/>
      <c r="U211" s="345"/>
      <c r="W211" s="345"/>
      <c r="X211" s="349"/>
      <c r="Y211" s="345"/>
      <c r="Z211" s="345"/>
      <c r="AA211" s="345"/>
      <c r="AB211" s="345"/>
      <c r="AC211" s="345"/>
      <c r="AD211" s="345"/>
      <c r="AE211" s="345"/>
      <c r="AF211" s="345"/>
      <c r="AG211" s="345"/>
      <c r="AH211" s="345"/>
      <c r="AI211" s="345"/>
      <c r="AJ211" s="345"/>
      <c r="AK211" s="345"/>
      <c r="AL211" s="345"/>
      <c r="AM211" s="345"/>
      <c r="AN211" s="345"/>
      <c r="AO211" s="345"/>
      <c r="AP211" s="345"/>
      <c r="AQ211" s="345"/>
    </row>
    <row r="212" spans="3:43" ht="27" customHeight="1" x14ac:dyDescent="0.2">
      <c r="C212" s="345"/>
      <c r="D212" s="345"/>
      <c r="E212" s="345"/>
      <c r="F212" s="345"/>
      <c r="G212" s="345"/>
      <c r="H212" s="345"/>
      <c r="I212" s="345"/>
      <c r="J212" s="242"/>
      <c r="K212" s="345"/>
      <c r="L212" s="345"/>
      <c r="M212" s="345"/>
      <c r="N212" s="345"/>
      <c r="O212" s="242"/>
      <c r="P212" s="345"/>
      <c r="Q212" s="345"/>
      <c r="S212" s="345"/>
      <c r="T212" s="345"/>
      <c r="U212" s="345"/>
      <c r="W212" s="345"/>
      <c r="X212" s="349"/>
      <c r="Y212" s="345"/>
      <c r="Z212" s="345"/>
      <c r="AA212" s="345"/>
      <c r="AB212" s="345"/>
      <c r="AC212" s="345"/>
      <c r="AD212" s="345"/>
      <c r="AE212" s="345"/>
      <c r="AF212" s="345"/>
      <c r="AG212" s="345"/>
      <c r="AH212" s="345"/>
      <c r="AI212" s="345"/>
      <c r="AJ212" s="345"/>
      <c r="AK212" s="345"/>
      <c r="AL212" s="345"/>
      <c r="AM212" s="345"/>
      <c r="AN212" s="345"/>
      <c r="AO212" s="345"/>
      <c r="AP212" s="345"/>
      <c r="AQ212" s="345"/>
    </row>
    <row r="213" spans="3:43" ht="27" customHeight="1" x14ac:dyDescent="0.2">
      <c r="C213" s="345"/>
      <c r="D213" s="345"/>
      <c r="E213" s="345"/>
      <c r="F213" s="345"/>
      <c r="G213" s="345"/>
      <c r="H213" s="345"/>
      <c r="I213" s="345"/>
      <c r="J213" s="242"/>
      <c r="K213" s="345"/>
      <c r="L213" s="345"/>
      <c r="M213" s="345"/>
      <c r="N213" s="345"/>
      <c r="O213" s="242"/>
      <c r="P213" s="345"/>
      <c r="Q213" s="345"/>
      <c r="S213" s="345"/>
      <c r="T213" s="345"/>
      <c r="U213" s="345"/>
      <c r="W213" s="345"/>
      <c r="X213" s="349"/>
      <c r="Y213" s="345"/>
      <c r="Z213" s="345"/>
      <c r="AA213" s="345"/>
      <c r="AB213" s="345"/>
      <c r="AC213" s="345"/>
      <c r="AD213" s="345"/>
      <c r="AE213" s="345"/>
      <c r="AF213" s="345"/>
      <c r="AG213" s="345"/>
      <c r="AH213" s="345"/>
      <c r="AI213" s="345"/>
      <c r="AJ213" s="345"/>
      <c r="AK213" s="345"/>
      <c r="AL213" s="345"/>
      <c r="AM213" s="345"/>
      <c r="AN213" s="345"/>
      <c r="AO213" s="345"/>
      <c r="AP213" s="345"/>
      <c r="AQ213" s="345"/>
    </row>
    <row r="214" spans="3:43" ht="27" customHeight="1" x14ac:dyDescent="0.2">
      <c r="C214" s="345"/>
      <c r="D214" s="345"/>
      <c r="E214" s="345"/>
      <c r="F214" s="345"/>
      <c r="G214" s="345"/>
      <c r="H214" s="345"/>
      <c r="I214" s="345"/>
      <c r="J214" s="242"/>
      <c r="K214" s="345"/>
      <c r="L214" s="345"/>
      <c r="M214" s="345"/>
      <c r="N214" s="345"/>
      <c r="O214" s="242"/>
      <c r="P214" s="345"/>
      <c r="Q214" s="345"/>
      <c r="S214" s="345"/>
      <c r="T214" s="345"/>
      <c r="U214" s="345"/>
      <c r="W214" s="345"/>
      <c r="X214" s="349"/>
      <c r="Y214" s="345"/>
      <c r="Z214" s="345"/>
      <c r="AA214" s="345"/>
      <c r="AB214" s="345"/>
      <c r="AC214" s="345"/>
      <c r="AD214" s="345"/>
      <c r="AE214" s="345"/>
      <c r="AF214" s="345"/>
      <c r="AG214" s="345"/>
      <c r="AH214" s="345"/>
      <c r="AI214" s="345"/>
      <c r="AJ214" s="345"/>
      <c r="AK214" s="345"/>
      <c r="AL214" s="345"/>
      <c r="AM214" s="345"/>
      <c r="AN214" s="345"/>
      <c r="AO214" s="345"/>
      <c r="AP214" s="345"/>
      <c r="AQ214" s="345"/>
    </row>
    <row r="215" spans="3:43" ht="27" customHeight="1" x14ac:dyDescent="0.2">
      <c r="C215" s="345"/>
      <c r="D215" s="345"/>
      <c r="E215" s="345"/>
      <c r="F215" s="345"/>
      <c r="G215" s="345"/>
      <c r="H215" s="345"/>
      <c r="I215" s="345"/>
      <c r="J215" s="242"/>
      <c r="K215" s="345"/>
      <c r="L215" s="345"/>
      <c r="M215" s="345"/>
      <c r="N215" s="345"/>
      <c r="O215" s="242"/>
      <c r="P215" s="345"/>
      <c r="Q215" s="345"/>
      <c r="S215" s="345"/>
      <c r="T215" s="345"/>
      <c r="U215" s="345"/>
      <c r="W215" s="345"/>
      <c r="X215" s="349"/>
      <c r="Y215" s="345"/>
      <c r="Z215" s="345"/>
      <c r="AA215" s="345"/>
      <c r="AB215" s="345"/>
      <c r="AC215" s="345"/>
      <c r="AD215" s="345"/>
      <c r="AE215" s="345"/>
      <c r="AF215" s="345"/>
      <c r="AG215" s="345"/>
      <c r="AH215" s="345"/>
      <c r="AI215" s="345"/>
      <c r="AJ215" s="345"/>
      <c r="AK215" s="345"/>
      <c r="AL215" s="345"/>
      <c r="AM215" s="345"/>
      <c r="AN215" s="345"/>
      <c r="AO215" s="345"/>
      <c r="AP215" s="345"/>
      <c r="AQ215" s="345"/>
    </row>
    <row r="216" spans="3:43" ht="27" customHeight="1" x14ac:dyDescent="0.2">
      <c r="C216" s="345"/>
      <c r="D216" s="345"/>
      <c r="E216" s="345"/>
      <c r="F216" s="345"/>
      <c r="G216" s="345"/>
      <c r="H216" s="345"/>
      <c r="I216" s="345"/>
      <c r="J216" s="242"/>
      <c r="K216" s="345"/>
      <c r="L216" s="345"/>
      <c r="M216" s="345"/>
      <c r="N216" s="345"/>
      <c r="O216" s="242"/>
      <c r="P216" s="345"/>
      <c r="Q216" s="345"/>
      <c r="S216" s="345"/>
      <c r="T216" s="345"/>
      <c r="U216" s="345"/>
      <c r="W216" s="345"/>
      <c r="X216" s="349"/>
      <c r="Y216" s="345"/>
      <c r="Z216" s="345"/>
      <c r="AA216" s="345"/>
      <c r="AB216" s="345"/>
      <c r="AC216" s="345"/>
      <c r="AD216" s="345"/>
      <c r="AE216" s="345"/>
      <c r="AF216" s="345"/>
      <c r="AG216" s="345"/>
      <c r="AH216" s="345"/>
      <c r="AI216" s="345"/>
      <c r="AJ216" s="345"/>
      <c r="AK216" s="345"/>
      <c r="AL216" s="345"/>
      <c r="AM216" s="345"/>
      <c r="AN216" s="345"/>
      <c r="AO216" s="345"/>
      <c r="AP216" s="345"/>
      <c r="AQ216" s="345"/>
    </row>
    <row r="217" spans="3:43" ht="27" customHeight="1" x14ac:dyDescent="0.2">
      <c r="C217" s="345"/>
      <c r="D217" s="345"/>
      <c r="E217" s="345"/>
      <c r="F217" s="345"/>
      <c r="G217" s="345"/>
      <c r="H217" s="345"/>
      <c r="I217" s="345"/>
      <c r="J217" s="242"/>
      <c r="K217" s="345"/>
      <c r="L217" s="345"/>
      <c r="M217" s="345"/>
      <c r="N217" s="345"/>
      <c r="O217" s="242"/>
      <c r="P217" s="345"/>
      <c r="Q217" s="345"/>
      <c r="S217" s="345"/>
      <c r="T217" s="345"/>
      <c r="U217" s="345"/>
      <c r="W217" s="345"/>
      <c r="X217" s="349"/>
      <c r="Y217" s="345"/>
      <c r="Z217" s="345"/>
      <c r="AA217" s="345"/>
      <c r="AB217" s="345"/>
      <c r="AC217" s="345"/>
      <c r="AD217" s="345"/>
      <c r="AE217" s="345"/>
      <c r="AF217" s="345"/>
      <c r="AG217" s="345"/>
      <c r="AH217" s="345"/>
      <c r="AI217" s="345"/>
      <c r="AJ217" s="345"/>
      <c r="AK217" s="345"/>
      <c r="AL217" s="345"/>
      <c r="AM217" s="345"/>
      <c r="AN217" s="345"/>
      <c r="AO217" s="345"/>
      <c r="AP217" s="345"/>
      <c r="AQ217" s="345"/>
    </row>
    <row r="218" spans="3:43" ht="27" customHeight="1" x14ac:dyDescent="0.2">
      <c r="C218" s="345"/>
      <c r="D218" s="345"/>
      <c r="E218" s="345"/>
      <c r="F218" s="345"/>
      <c r="G218" s="345"/>
      <c r="H218" s="345"/>
      <c r="I218" s="345"/>
      <c r="J218" s="242"/>
      <c r="K218" s="345"/>
      <c r="L218" s="345"/>
      <c r="M218" s="345"/>
      <c r="N218" s="345"/>
      <c r="O218" s="242"/>
      <c r="P218" s="345"/>
      <c r="Q218" s="345"/>
      <c r="S218" s="345"/>
      <c r="T218" s="345"/>
      <c r="U218" s="345"/>
      <c r="W218" s="345"/>
      <c r="X218" s="349"/>
      <c r="Y218" s="345"/>
      <c r="Z218" s="345"/>
      <c r="AA218" s="345"/>
      <c r="AB218" s="345"/>
      <c r="AC218" s="345"/>
      <c r="AD218" s="345"/>
      <c r="AE218" s="345"/>
      <c r="AF218" s="345"/>
      <c r="AG218" s="345"/>
      <c r="AH218" s="345"/>
      <c r="AI218" s="345"/>
      <c r="AJ218" s="345"/>
      <c r="AK218" s="345"/>
      <c r="AL218" s="345"/>
      <c r="AM218" s="345"/>
      <c r="AN218" s="345"/>
      <c r="AO218" s="345"/>
      <c r="AP218" s="345"/>
      <c r="AQ218" s="345"/>
    </row>
    <row r="219" spans="3:43" ht="27" customHeight="1" x14ac:dyDescent="0.2">
      <c r="C219" s="345"/>
      <c r="D219" s="345"/>
      <c r="E219" s="345"/>
      <c r="F219" s="345"/>
      <c r="G219" s="345"/>
      <c r="H219" s="345"/>
      <c r="I219" s="345"/>
      <c r="J219" s="242"/>
      <c r="K219" s="345"/>
      <c r="L219" s="345"/>
      <c r="M219" s="345"/>
      <c r="N219" s="345"/>
      <c r="O219" s="242"/>
      <c r="P219" s="345"/>
      <c r="Q219" s="345"/>
      <c r="S219" s="345"/>
      <c r="T219" s="345"/>
      <c r="U219" s="345"/>
      <c r="W219" s="345"/>
      <c r="X219" s="349"/>
      <c r="Y219" s="345"/>
      <c r="Z219" s="345"/>
      <c r="AA219" s="345"/>
      <c r="AB219" s="345"/>
      <c r="AC219" s="345"/>
      <c r="AD219" s="345"/>
      <c r="AE219" s="345"/>
      <c r="AF219" s="345"/>
      <c r="AG219" s="345"/>
      <c r="AH219" s="345"/>
      <c r="AI219" s="345"/>
      <c r="AJ219" s="345"/>
      <c r="AK219" s="345"/>
      <c r="AL219" s="345"/>
      <c r="AM219" s="345"/>
      <c r="AN219" s="345"/>
      <c r="AO219" s="345"/>
      <c r="AP219" s="345"/>
      <c r="AQ219" s="345"/>
    </row>
    <row r="220" spans="3:43" ht="27" customHeight="1" x14ac:dyDescent="0.2">
      <c r="C220" s="345"/>
      <c r="D220" s="345"/>
      <c r="E220" s="345"/>
      <c r="F220" s="345"/>
      <c r="G220" s="345"/>
      <c r="H220" s="345"/>
      <c r="I220" s="345"/>
      <c r="J220" s="242"/>
      <c r="K220" s="345"/>
      <c r="L220" s="345"/>
      <c r="M220" s="345"/>
      <c r="N220" s="345"/>
      <c r="O220" s="242"/>
      <c r="P220" s="345"/>
      <c r="Q220" s="345"/>
      <c r="S220" s="345"/>
      <c r="T220" s="345"/>
      <c r="U220" s="345"/>
      <c r="W220" s="345"/>
      <c r="X220" s="349"/>
      <c r="Y220" s="345"/>
      <c r="Z220" s="345"/>
      <c r="AA220" s="345"/>
      <c r="AB220" s="345"/>
      <c r="AC220" s="345"/>
      <c r="AD220" s="345"/>
      <c r="AE220" s="345"/>
      <c r="AF220" s="345"/>
      <c r="AG220" s="345"/>
      <c r="AH220" s="345"/>
      <c r="AI220" s="345"/>
      <c r="AJ220" s="345"/>
      <c r="AK220" s="345"/>
      <c r="AL220" s="345"/>
      <c r="AM220" s="345"/>
      <c r="AN220" s="345"/>
      <c r="AO220" s="345"/>
      <c r="AP220" s="345"/>
      <c r="AQ220" s="345"/>
    </row>
    <row r="221" spans="3:43" ht="27" customHeight="1" x14ac:dyDescent="0.2">
      <c r="C221" s="345"/>
      <c r="D221" s="345"/>
      <c r="E221" s="345"/>
      <c r="F221" s="345"/>
      <c r="G221" s="345"/>
      <c r="H221" s="345"/>
      <c r="I221" s="345"/>
      <c r="J221" s="242"/>
      <c r="K221" s="345"/>
      <c r="L221" s="345"/>
      <c r="M221" s="345"/>
      <c r="N221" s="345"/>
      <c r="O221" s="242"/>
      <c r="P221" s="345"/>
      <c r="Q221" s="345"/>
      <c r="S221" s="345"/>
      <c r="T221" s="345"/>
      <c r="U221" s="345"/>
      <c r="W221" s="345"/>
      <c r="X221" s="349"/>
      <c r="Y221" s="345"/>
      <c r="Z221" s="345"/>
      <c r="AA221" s="345"/>
      <c r="AB221" s="345"/>
      <c r="AC221" s="345"/>
      <c r="AD221" s="345"/>
      <c r="AE221" s="345"/>
      <c r="AF221" s="345"/>
      <c r="AG221" s="345"/>
      <c r="AH221" s="345"/>
      <c r="AI221" s="345"/>
      <c r="AJ221" s="345"/>
      <c r="AK221" s="345"/>
      <c r="AL221" s="345"/>
      <c r="AM221" s="345"/>
      <c r="AN221" s="345"/>
      <c r="AO221" s="345"/>
      <c r="AP221" s="345"/>
      <c r="AQ221" s="345"/>
    </row>
    <row r="222" spans="3:43" ht="27" customHeight="1" x14ac:dyDescent="0.2">
      <c r="C222" s="345"/>
      <c r="D222" s="345"/>
      <c r="E222" s="345"/>
      <c r="F222" s="345"/>
      <c r="G222" s="345"/>
      <c r="H222" s="345"/>
      <c r="I222" s="345"/>
      <c r="J222" s="242"/>
      <c r="K222" s="345"/>
      <c r="L222" s="345"/>
      <c r="M222" s="345"/>
      <c r="N222" s="345"/>
      <c r="O222" s="242"/>
      <c r="P222" s="345"/>
      <c r="Q222" s="345"/>
      <c r="S222" s="345"/>
      <c r="T222" s="345"/>
      <c r="U222" s="345"/>
      <c r="W222" s="345"/>
      <c r="X222" s="349"/>
      <c r="Y222" s="345"/>
      <c r="Z222" s="345"/>
      <c r="AA222" s="345"/>
      <c r="AB222" s="345"/>
      <c r="AC222" s="345"/>
      <c r="AD222" s="345"/>
      <c r="AE222" s="345"/>
      <c r="AF222" s="345"/>
      <c r="AG222" s="345"/>
      <c r="AH222" s="345"/>
      <c r="AI222" s="345"/>
      <c r="AJ222" s="345"/>
      <c r="AK222" s="345"/>
      <c r="AL222" s="345"/>
      <c r="AM222" s="345"/>
      <c r="AN222" s="345"/>
      <c r="AO222" s="345"/>
      <c r="AP222" s="345"/>
      <c r="AQ222" s="345"/>
    </row>
    <row r="223" spans="3:43" ht="27" customHeight="1" x14ac:dyDescent="0.2">
      <c r="C223" s="345"/>
      <c r="D223" s="345"/>
      <c r="E223" s="345"/>
      <c r="F223" s="345"/>
      <c r="G223" s="345"/>
      <c r="H223" s="345"/>
      <c r="I223" s="345"/>
      <c r="J223" s="242"/>
      <c r="K223" s="345"/>
      <c r="L223" s="345"/>
      <c r="M223" s="345"/>
      <c r="N223" s="345"/>
      <c r="O223" s="242"/>
      <c r="P223" s="345"/>
      <c r="Q223" s="345"/>
      <c r="S223" s="345"/>
      <c r="T223" s="345"/>
      <c r="U223" s="345"/>
      <c r="W223" s="345"/>
      <c r="X223" s="349"/>
      <c r="Y223" s="345"/>
      <c r="Z223" s="345"/>
      <c r="AA223" s="345"/>
      <c r="AB223" s="345"/>
      <c r="AC223" s="345"/>
      <c r="AD223" s="345"/>
      <c r="AE223" s="345"/>
      <c r="AF223" s="345"/>
      <c r="AG223" s="345"/>
      <c r="AH223" s="345"/>
      <c r="AI223" s="345"/>
      <c r="AJ223" s="345"/>
      <c r="AK223" s="345"/>
      <c r="AL223" s="345"/>
      <c r="AM223" s="345"/>
      <c r="AN223" s="345"/>
      <c r="AO223" s="345"/>
      <c r="AP223" s="345"/>
      <c r="AQ223" s="345"/>
    </row>
    <row r="224" spans="3:43" ht="27" customHeight="1" x14ac:dyDescent="0.2">
      <c r="C224" s="345"/>
      <c r="D224" s="345"/>
      <c r="E224" s="345"/>
      <c r="F224" s="345"/>
      <c r="G224" s="345"/>
      <c r="H224" s="345"/>
      <c r="I224" s="345"/>
      <c r="J224" s="242"/>
      <c r="K224" s="345"/>
      <c r="L224" s="345"/>
      <c r="M224" s="345"/>
      <c r="N224" s="345"/>
      <c r="O224" s="242"/>
      <c r="P224" s="345"/>
      <c r="Q224" s="345"/>
      <c r="S224" s="345"/>
      <c r="T224" s="345"/>
      <c r="U224" s="345"/>
      <c r="W224" s="345"/>
      <c r="X224" s="349"/>
      <c r="Y224" s="345"/>
      <c r="Z224" s="345"/>
      <c r="AA224" s="345"/>
      <c r="AB224" s="345"/>
      <c r="AC224" s="345"/>
      <c r="AD224" s="345"/>
      <c r="AE224" s="345"/>
      <c r="AF224" s="345"/>
      <c r="AG224" s="345"/>
      <c r="AH224" s="345"/>
      <c r="AI224" s="345"/>
      <c r="AJ224" s="345"/>
      <c r="AK224" s="345"/>
      <c r="AL224" s="345"/>
      <c r="AM224" s="345"/>
      <c r="AN224" s="345"/>
      <c r="AO224" s="345"/>
      <c r="AP224" s="345"/>
      <c r="AQ224" s="345"/>
    </row>
    <row r="225" spans="3:43" ht="27" customHeight="1" x14ac:dyDescent="0.2">
      <c r="C225" s="345"/>
      <c r="D225" s="345"/>
      <c r="E225" s="345"/>
      <c r="F225" s="345"/>
      <c r="G225" s="345"/>
      <c r="H225" s="345"/>
      <c r="I225" s="345"/>
      <c r="J225" s="242"/>
      <c r="K225" s="345"/>
      <c r="L225" s="345"/>
      <c r="M225" s="345"/>
      <c r="N225" s="345"/>
      <c r="O225" s="242"/>
      <c r="P225" s="345"/>
      <c r="Q225" s="345"/>
      <c r="S225" s="345"/>
      <c r="T225" s="345"/>
      <c r="U225" s="345"/>
      <c r="W225" s="345"/>
      <c r="X225" s="349"/>
      <c r="Y225" s="345"/>
      <c r="Z225" s="345"/>
      <c r="AA225" s="345"/>
      <c r="AB225" s="345"/>
      <c r="AC225" s="345"/>
      <c r="AD225" s="345"/>
      <c r="AE225" s="345"/>
      <c r="AF225" s="345"/>
      <c r="AG225" s="345"/>
      <c r="AH225" s="345"/>
      <c r="AI225" s="345"/>
      <c r="AJ225" s="345"/>
      <c r="AK225" s="345"/>
      <c r="AL225" s="345"/>
      <c r="AM225" s="345"/>
      <c r="AN225" s="345"/>
      <c r="AO225" s="345"/>
      <c r="AP225" s="345"/>
      <c r="AQ225" s="345"/>
    </row>
    <row r="226" spans="3:43" ht="27" customHeight="1" x14ac:dyDescent="0.2">
      <c r="C226" s="345"/>
      <c r="D226" s="345"/>
      <c r="E226" s="345"/>
      <c r="F226" s="345"/>
      <c r="G226" s="345"/>
      <c r="H226" s="345"/>
      <c r="I226" s="345"/>
      <c r="J226" s="242"/>
      <c r="K226" s="345"/>
      <c r="L226" s="345"/>
      <c r="M226" s="345"/>
      <c r="N226" s="345"/>
      <c r="O226" s="242"/>
      <c r="P226" s="345"/>
      <c r="Q226" s="345"/>
      <c r="S226" s="345"/>
      <c r="T226" s="345"/>
      <c r="U226" s="345"/>
      <c r="W226" s="345"/>
      <c r="X226" s="349"/>
      <c r="Y226" s="345"/>
      <c r="Z226" s="345"/>
      <c r="AA226" s="345"/>
      <c r="AB226" s="345"/>
      <c r="AC226" s="345"/>
      <c r="AD226" s="345"/>
      <c r="AE226" s="345"/>
      <c r="AF226" s="345"/>
      <c r="AG226" s="345"/>
      <c r="AH226" s="345"/>
      <c r="AI226" s="345"/>
      <c r="AJ226" s="345"/>
      <c r="AK226" s="345"/>
      <c r="AL226" s="345"/>
      <c r="AM226" s="345"/>
      <c r="AN226" s="345"/>
      <c r="AO226" s="345"/>
      <c r="AP226" s="345"/>
      <c r="AQ226" s="345"/>
    </row>
    <row r="227" spans="3:43" ht="27" customHeight="1" x14ac:dyDescent="0.2">
      <c r="C227" s="345"/>
      <c r="D227" s="345"/>
      <c r="E227" s="345"/>
      <c r="F227" s="345"/>
      <c r="G227" s="345"/>
      <c r="H227" s="345"/>
      <c r="I227" s="345"/>
      <c r="J227" s="242"/>
      <c r="K227" s="345"/>
      <c r="L227" s="345"/>
      <c r="M227" s="345"/>
      <c r="N227" s="345"/>
      <c r="O227" s="242"/>
      <c r="P227" s="345"/>
      <c r="Q227" s="345"/>
      <c r="S227" s="345"/>
      <c r="T227" s="345"/>
      <c r="U227" s="345"/>
      <c r="W227" s="345"/>
      <c r="X227" s="349"/>
      <c r="Y227" s="345"/>
      <c r="Z227" s="345"/>
      <c r="AA227" s="345"/>
      <c r="AB227" s="345"/>
      <c r="AC227" s="345"/>
      <c r="AD227" s="345"/>
      <c r="AE227" s="345"/>
      <c r="AF227" s="345"/>
      <c r="AG227" s="345"/>
      <c r="AH227" s="345"/>
      <c r="AI227" s="345"/>
      <c r="AJ227" s="345"/>
      <c r="AK227" s="345"/>
      <c r="AL227" s="345"/>
      <c r="AM227" s="345"/>
      <c r="AN227" s="345"/>
      <c r="AO227" s="345"/>
      <c r="AP227" s="345"/>
      <c r="AQ227" s="345"/>
    </row>
    <row r="228" spans="3:43" ht="27" customHeight="1" x14ac:dyDescent="0.2">
      <c r="C228" s="345"/>
      <c r="D228" s="345"/>
      <c r="E228" s="345"/>
      <c r="F228" s="345"/>
      <c r="G228" s="345"/>
      <c r="H228" s="345"/>
      <c r="I228" s="345"/>
      <c r="J228" s="242"/>
      <c r="K228" s="345"/>
      <c r="L228" s="345"/>
      <c r="M228" s="345"/>
      <c r="N228" s="345"/>
      <c r="O228" s="242"/>
      <c r="P228" s="345"/>
      <c r="Q228" s="345"/>
      <c r="S228" s="345"/>
      <c r="T228" s="345"/>
      <c r="U228" s="345"/>
      <c r="W228" s="345"/>
      <c r="X228" s="349"/>
      <c r="Y228" s="345"/>
      <c r="Z228" s="345"/>
      <c r="AA228" s="345"/>
      <c r="AB228" s="345"/>
      <c r="AC228" s="345"/>
      <c r="AD228" s="345"/>
      <c r="AE228" s="345"/>
      <c r="AF228" s="345"/>
      <c r="AG228" s="345"/>
      <c r="AH228" s="345"/>
      <c r="AI228" s="345"/>
      <c r="AJ228" s="345"/>
      <c r="AK228" s="345"/>
      <c r="AL228" s="345"/>
      <c r="AM228" s="345"/>
      <c r="AN228" s="345"/>
      <c r="AO228" s="345"/>
      <c r="AP228" s="345"/>
      <c r="AQ228" s="345"/>
    </row>
    <row r="229" spans="3:43" ht="27" customHeight="1" x14ac:dyDescent="0.2">
      <c r="C229" s="345"/>
      <c r="D229" s="345"/>
      <c r="E229" s="345"/>
      <c r="F229" s="345"/>
      <c r="G229" s="345"/>
      <c r="H229" s="345"/>
      <c r="I229" s="345"/>
      <c r="J229" s="242"/>
      <c r="K229" s="345"/>
      <c r="L229" s="345"/>
      <c r="M229" s="345"/>
      <c r="N229" s="345"/>
      <c r="O229" s="242"/>
      <c r="P229" s="345"/>
      <c r="Q229" s="345"/>
      <c r="S229" s="345"/>
      <c r="T229" s="345"/>
      <c r="U229" s="345"/>
      <c r="W229" s="345"/>
      <c r="X229" s="349"/>
      <c r="Y229" s="345"/>
      <c r="Z229" s="345"/>
      <c r="AA229" s="345"/>
      <c r="AB229" s="345"/>
      <c r="AC229" s="345"/>
      <c r="AD229" s="345"/>
      <c r="AE229" s="345"/>
      <c r="AF229" s="345"/>
      <c r="AG229" s="345"/>
      <c r="AH229" s="345"/>
      <c r="AI229" s="345"/>
      <c r="AJ229" s="345"/>
      <c r="AK229" s="345"/>
      <c r="AL229" s="345"/>
      <c r="AM229" s="345"/>
      <c r="AN229" s="345"/>
      <c r="AO229" s="345"/>
      <c r="AP229" s="345"/>
      <c r="AQ229" s="345"/>
    </row>
    <row r="230" spans="3:43" ht="27" customHeight="1" x14ac:dyDescent="0.2">
      <c r="C230" s="345"/>
      <c r="D230" s="345"/>
      <c r="E230" s="345"/>
      <c r="F230" s="345"/>
      <c r="G230" s="345"/>
      <c r="H230" s="345"/>
      <c r="I230" s="345"/>
      <c r="J230" s="242"/>
      <c r="K230" s="345"/>
      <c r="L230" s="345"/>
      <c r="M230" s="345"/>
      <c r="N230" s="345"/>
      <c r="O230" s="242"/>
      <c r="P230" s="345"/>
      <c r="Q230" s="345"/>
      <c r="S230" s="345"/>
      <c r="T230" s="345"/>
      <c r="U230" s="345"/>
      <c r="W230" s="345"/>
      <c r="X230" s="349"/>
      <c r="Y230" s="345"/>
      <c r="Z230" s="345"/>
      <c r="AA230" s="345"/>
      <c r="AB230" s="345"/>
      <c r="AC230" s="345"/>
      <c r="AD230" s="345"/>
      <c r="AE230" s="345"/>
      <c r="AF230" s="345"/>
      <c r="AG230" s="345"/>
      <c r="AH230" s="345"/>
      <c r="AI230" s="345"/>
      <c r="AJ230" s="345"/>
      <c r="AK230" s="345"/>
      <c r="AL230" s="345"/>
      <c r="AM230" s="345"/>
      <c r="AN230" s="345"/>
      <c r="AO230" s="345"/>
      <c r="AP230" s="345"/>
      <c r="AQ230" s="345"/>
    </row>
    <row r="231" spans="3:43" ht="27" customHeight="1" x14ac:dyDescent="0.2">
      <c r="C231" s="345"/>
      <c r="D231" s="345"/>
      <c r="E231" s="345"/>
      <c r="F231" s="345"/>
      <c r="G231" s="345"/>
      <c r="H231" s="345"/>
      <c r="I231" s="345"/>
      <c r="J231" s="242"/>
      <c r="K231" s="345"/>
      <c r="L231" s="345"/>
      <c r="M231" s="345"/>
      <c r="N231" s="345"/>
      <c r="O231" s="242"/>
      <c r="P231" s="345"/>
      <c r="Q231" s="345"/>
      <c r="S231" s="345"/>
      <c r="T231" s="345"/>
      <c r="U231" s="345"/>
      <c r="W231" s="345"/>
      <c r="X231" s="349"/>
      <c r="Y231" s="345"/>
      <c r="Z231" s="345"/>
      <c r="AA231" s="345"/>
      <c r="AB231" s="345"/>
      <c r="AC231" s="345"/>
      <c r="AD231" s="345"/>
      <c r="AE231" s="345"/>
      <c r="AF231" s="345"/>
      <c r="AG231" s="345"/>
      <c r="AH231" s="345"/>
      <c r="AI231" s="345"/>
      <c r="AJ231" s="345"/>
      <c r="AK231" s="345"/>
      <c r="AL231" s="345"/>
      <c r="AM231" s="345"/>
      <c r="AN231" s="345"/>
      <c r="AO231" s="345"/>
      <c r="AP231" s="345"/>
      <c r="AQ231" s="345"/>
    </row>
  </sheetData>
  <sheetProtection password="CBEB" sheet="1" objects="1" scenarios="1"/>
  <mergeCells count="513">
    <mergeCell ref="AO111:AO113"/>
    <mergeCell ref="AP111:AP113"/>
    <mergeCell ref="AQ111:AQ113"/>
    <mergeCell ref="AI111:AI113"/>
    <mergeCell ref="AJ111:AJ113"/>
    <mergeCell ref="AK111:AK113"/>
    <mergeCell ref="AL111:AL113"/>
    <mergeCell ref="AM111:AM113"/>
    <mergeCell ref="AN111:AN113"/>
    <mergeCell ref="AC111:AC113"/>
    <mergeCell ref="AD111:AD113"/>
    <mergeCell ref="AE111:AE113"/>
    <mergeCell ref="AF111:AF113"/>
    <mergeCell ref="AG111:AG113"/>
    <mergeCell ref="AH111:AH113"/>
    <mergeCell ref="W111:W113"/>
    <mergeCell ref="X111:X113"/>
    <mergeCell ref="Y111:Y113"/>
    <mergeCell ref="Z111:Z113"/>
    <mergeCell ref="AA111:AA113"/>
    <mergeCell ref="AB111:AB113"/>
    <mergeCell ref="O111:O113"/>
    <mergeCell ref="P111:P113"/>
    <mergeCell ref="Q111:Q113"/>
    <mergeCell ref="R111:R113"/>
    <mergeCell ref="S111:S113"/>
    <mergeCell ref="T111:T113"/>
    <mergeCell ref="AQ104:AQ107"/>
    <mergeCell ref="A109:C113"/>
    <mergeCell ref="E109:L109"/>
    <mergeCell ref="D110:F113"/>
    <mergeCell ref="G111:I113"/>
    <mergeCell ref="J111:J113"/>
    <mergeCell ref="K111:K113"/>
    <mergeCell ref="L111:L113"/>
    <mergeCell ref="M111:M113"/>
    <mergeCell ref="N111:N113"/>
    <mergeCell ref="AK104:AK107"/>
    <mergeCell ref="AL104:AL107"/>
    <mergeCell ref="AM104:AM107"/>
    <mergeCell ref="AN104:AN107"/>
    <mergeCell ref="AO104:AO107"/>
    <mergeCell ref="AP104:AP107"/>
    <mergeCell ref="AE104:AE107"/>
    <mergeCell ref="AF104:AF107"/>
    <mergeCell ref="AG104:AG107"/>
    <mergeCell ref="AH104:AH107"/>
    <mergeCell ref="AI104:AI107"/>
    <mergeCell ref="AJ104:AJ107"/>
    <mergeCell ref="Y104:Y107"/>
    <mergeCell ref="Z104:Z107"/>
    <mergeCell ref="AA104:AA107"/>
    <mergeCell ref="AB104:AB107"/>
    <mergeCell ref="AC104:AC107"/>
    <mergeCell ref="AD104:AD107"/>
    <mergeCell ref="S104:S107"/>
    <mergeCell ref="T104:T107"/>
    <mergeCell ref="U104:U107"/>
    <mergeCell ref="V104:V107"/>
    <mergeCell ref="W104:W107"/>
    <mergeCell ref="X104:X107"/>
    <mergeCell ref="M104:M107"/>
    <mergeCell ref="N104:N107"/>
    <mergeCell ref="O104:O107"/>
    <mergeCell ref="P104:P107"/>
    <mergeCell ref="Q104:Q107"/>
    <mergeCell ref="R104:R107"/>
    <mergeCell ref="A104:C107"/>
    <mergeCell ref="D104:F107"/>
    <mergeCell ref="G104:I107"/>
    <mergeCell ref="J104:J107"/>
    <mergeCell ref="K104:K107"/>
    <mergeCell ref="L104:L107"/>
    <mergeCell ref="J100:J101"/>
    <mergeCell ref="K100:K101"/>
    <mergeCell ref="L100:L101"/>
    <mergeCell ref="D73:F103"/>
    <mergeCell ref="G74:I103"/>
    <mergeCell ref="J74:J79"/>
    <mergeCell ref="K74:K79"/>
    <mergeCell ref="L74:L79"/>
    <mergeCell ref="J102:J103"/>
    <mergeCell ref="K102:K103"/>
    <mergeCell ref="L102:L103"/>
    <mergeCell ref="M102:M103"/>
    <mergeCell ref="Q102:Q103"/>
    <mergeCell ref="W94:W95"/>
    <mergeCell ref="X94:X95"/>
    <mergeCell ref="X96:X97"/>
    <mergeCell ref="J97:J99"/>
    <mergeCell ref="K97:K99"/>
    <mergeCell ref="L97:L99"/>
    <mergeCell ref="M97:M99"/>
    <mergeCell ref="Q97:Q99"/>
    <mergeCell ref="J94:J96"/>
    <mergeCell ref="K94:K96"/>
    <mergeCell ref="L94:L96"/>
    <mergeCell ref="M94:M96"/>
    <mergeCell ref="N94:N95"/>
    <mergeCell ref="Q94:Q96"/>
    <mergeCell ref="U94:U96"/>
    <mergeCell ref="V94:V96"/>
    <mergeCell ref="M100:M101"/>
    <mergeCell ref="Q100:Q101"/>
    <mergeCell ref="AQ74:AQ103"/>
    <mergeCell ref="J80:J83"/>
    <mergeCell ref="K80:K83"/>
    <mergeCell ref="L80:L83"/>
    <mergeCell ref="M80:M83"/>
    <mergeCell ref="Q80:Q83"/>
    <mergeCell ref="J84:J89"/>
    <mergeCell ref="K84:K89"/>
    <mergeCell ref="M84:M89"/>
    <mergeCell ref="Q84:Q89"/>
    <mergeCell ref="AK74:AK103"/>
    <mergeCell ref="AL74:AL103"/>
    <mergeCell ref="AM74:AM103"/>
    <mergeCell ref="AN74:AN103"/>
    <mergeCell ref="AO74:AO103"/>
    <mergeCell ref="AP74:AP103"/>
    <mergeCell ref="AE74:AE103"/>
    <mergeCell ref="AF74:AF103"/>
    <mergeCell ref="AG74:AG103"/>
    <mergeCell ref="AH74:AH103"/>
    <mergeCell ref="AI74:AI103"/>
    <mergeCell ref="AJ74:AJ103"/>
    <mergeCell ref="Y74:Y103"/>
    <mergeCell ref="Z74:Z103"/>
    <mergeCell ref="AA74:AA103"/>
    <mergeCell ref="AB74:AB103"/>
    <mergeCell ref="AC74:AC103"/>
    <mergeCell ref="AD74:AD103"/>
    <mergeCell ref="O74:O103"/>
    <mergeCell ref="P74:P103"/>
    <mergeCell ref="Q74:Q79"/>
    <mergeCell ref="R74:R103"/>
    <mergeCell ref="S74:S103"/>
    <mergeCell ref="T74:T103"/>
    <mergeCell ref="Q90:Q93"/>
    <mergeCell ref="U90:U91"/>
    <mergeCell ref="V90:V91"/>
    <mergeCell ref="M74:M79"/>
    <mergeCell ref="J90:J93"/>
    <mergeCell ref="K90:K93"/>
    <mergeCell ref="L90:L93"/>
    <mergeCell ref="M90:M93"/>
    <mergeCell ref="K71:K72"/>
    <mergeCell ref="L71:L72"/>
    <mergeCell ref="M71:M72"/>
    <mergeCell ref="Q71:Q72"/>
    <mergeCell ref="O63:O72"/>
    <mergeCell ref="P63:P72"/>
    <mergeCell ref="Q63:Q66"/>
    <mergeCell ref="AO63:AO72"/>
    <mergeCell ref="AP63:AP72"/>
    <mergeCell ref="AQ63:AQ72"/>
    <mergeCell ref="J67:J70"/>
    <mergeCell ref="K67:K70"/>
    <mergeCell ref="L67:L70"/>
    <mergeCell ref="M67:M70"/>
    <mergeCell ref="Q67:Q70"/>
    <mergeCell ref="T67:T70"/>
    <mergeCell ref="W67:W68"/>
    <mergeCell ref="AI63:AI72"/>
    <mergeCell ref="AJ63:AJ72"/>
    <mergeCell ref="AK63:AK72"/>
    <mergeCell ref="AL63:AL72"/>
    <mergeCell ref="AM63:AM72"/>
    <mergeCell ref="AN63:AN72"/>
    <mergeCell ref="AC63:AC72"/>
    <mergeCell ref="AD63:AD72"/>
    <mergeCell ref="AE63:AE72"/>
    <mergeCell ref="AF63:AF72"/>
    <mergeCell ref="AG63:AG72"/>
    <mergeCell ref="AH63:AH72"/>
    <mergeCell ref="W63:W66"/>
    <mergeCell ref="X63:X66"/>
    <mergeCell ref="Y63:Y72"/>
    <mergeCell ref="Z63:Z72"/>
    <mergeCell ref="AA63:AA72"/>
    <mergeCell ref="AB63:AB72"/>
    <mergeCell ref="X67:X68"/>
    <mergeCell ref="W69:W70"/>
    <mergeCell ref="X69:X70"/>
    <mergeCell ref="X71:X72"/>
    <mergeCell ref="W71:W72"/>
    <mergeCell ref="R63:R72"/>
    <mergeCell ref="S63:S72"/>
    <mergeCell ref="T63:T66"/>
    <mergeCell ref="A61:C72"/>
    <mergeCell ref="E61:L61"/>
    <mergeCell ref="D62:F72"/>
    <mergeCell ref="H62:N62"/>
    <mergeCell ref="G63:I72"/>
    <mergeCell ref="J63:J66"/>
    <mergeCell ref="K63:K66"/>
    <mergeCell ref="L63:L66"/>
    <mergeCell ref="M63:M66"/>
    <mergeCell ref="J71:J72"/>
    <mergeCell ref="T71:T72"/>
    <mergeCell ref="B58:C58"/>
    <mergeCell ref="E58:F58"/>
    <mergeCell ref="H58:I58"/>
    <mergeCell ref="B59:C59"/>
    <mergeCell ref="E59:F59"/>
    <mergeCell ref="H59:I59"/>
    <mergeCell ref="AM52:AM59"/>
    <mergeCell ref="AN52:AN59"/>
    <mergeCell ref="AO52:AO59"/>
    <mergeCell ref="Z52:Z59"/>
    <mergeCell ref="U57:U59"/>
    <mergeCell ref="V57:V59"/>
    <mergeCell ref="O52:O59"/>
    <mergeCell ref="P52:P59"/>
    <mergeCell ref="Q52:Q59"/>
    <mergeCell ref="R52:R59"/>
    <mergeCell ref="S52:S59"/>
    <mergeCell ref="T52:T56"/>
    <mergeCell ref="T57:T59"/>
    <mergeCell ref="H52:I52"/>
    <mergeCell ref="J52:J59"/>
    <mergeCell ref="K52:K59"/>
    <mergeCell ref="L52:L59"/>
    <mergeCell ref="M52:M59"/>
    <mergeCell ref="AP52:AP59"/>
    <mergeCell ref="AQ52:AQ59"/>
    <mergeCell ref="B53:C53"/>
    <mergeCell ref="E53:F53"/>
    <mergeCell ref="H53:I53"/>
    <mergeCell ref="U55:U56"/>
    <mergeCell ref="V55:V56"/>
    <mergeCell ref="AG52:AG59"/>
    <mergeCell ref="AH52:AH59"/>
    <mergeCell ref="AI52:AI59"/>
    <mergeCell ref="AJ52:AJ59"/>
    <mergeCell ref="AK52:AK59"/>
    <mergeCell ref="AL52:AL59"/>
    <mergeCell ref="AA52:AA59"/>
    <mergeCell ref="AB52:AB59"/>
    <mergeCell ref="AC52:AC59"/>
    <mergeCell ref="AD52:AD59"/>
    <mergeCell ref="AE52:AE59"/>
    <mergeCell ref="AF52:AF59"/>
    <mergeCell ref="U52:U54"/>
    <mergeCell ref="V52:V54"/>
    <mergeCell ref="W52:W59"/>
    <mergeCell ref="X52:X59"/>
    <mergeCell ref="Y52:Y59"/>
    <mergeCell ref="N52:N59"/>
    <mergeCell ref="AP44:AP51"/>
    <mergeCell ref="AQ44:AQ51"/>
    <mergeCell ref="B45:C45"/>
    <mergeCell ref="E45:F45"/>
    <mergeCell ref="H45:I45"/>
    <mergeCell ref="T48:T51"/>
    <mergeCell ref="U48:U51"/>
    <mergeCell ref="V48:V51"/>
    <mergeCell ref="B50:C50"/>
    <mergeCell ref="E50:F50"/>
    <mergeCell ref="AJ44:AJ51"/>
    <mergeCell ref="AK44:AK51"/>
    <mergeCell ref="AL44:AL51"/>
    <mergeCell ref="AM44:AM51"/>
    <mergeCell ref="AN44:AN51"/>
    <mergeCell ref="AO44:AO51"/>
    <mergeCell ref="AD44:AD51"/>
    <mergeCell ref="AE44:AE51"/>
    <mergeCell ref="AF44:AF51"/>
    <mergeCell ref="AG44:AG51"/>
    <mergeCell ref="AH44:AH51"/>
    <mergeCell ref="AI44:AI51"/>
    <mergeCell ref="X44:X51"/>
    <mergeCell ref="Y44:Y51"/>
    <mergeCell ref="Z44:Z51"/>
    <mergeCell ref="AA44:AA51"/>
    <mergeCell ref="AB44:AB51"/>
    <mergeCell ref="AC44:AC51"/>
    <mergeCell ref="R44:R51"/>
    <mergeCell ref="S44:S51"/>
    <mergeCell ref="T44:T47"/>
    <mergeCell ref="U44:U47"/>
    <mergeCell ref="V44:V47"/>
    <mergeCell ref="W44:W51"/>
    <mergeCell ref="L44:L51"/>
    <mergeCell ref="M44:M51"/>
    <mergeCell ref="N44:N51"/>
    <mergeCell ref="O44:O51"/>
    <mergeCell ref="P44:P51"/>
    <mergeCell ref="Q44:Q51"/>
    <mergeCell ref="B43:C43"/>
    <mergeCell ref="E43:F43"/>
    <mergeCell ref="H43:I43"/>
    <mergeCell ref="H44:I44"/>
    <mergeCell ref="J44:J51"/>
    <mergeCell ref="K44:K51"/>
    <mergeCell ref="H50:I50"/>
    <mergeCell ref="B51:C51"/>
    <mergeCell ref="E51:F51"/>
    <mergeCell ref="H51:I51"/>
    <mergeCell ref="J36:J43"/>
    <mergeCell ref="K36:K43"/>
    <mergeCell ref="L36:L43"/>
    <mergeCell ref="M36:M43"/>
    <mergeCell ref="N36:N43"/>
    <mergeCell ref="O36:O43"/>
    <mergeCell ref="P36:P43"/>
    <mergeCell ref="AQ36:AQ43"/>
    <mergeCell ref="B37:C37"/>
    <mergeCell ref="E37:F37"/>
    <mergeCell ref="H37:I37"/>
    <mergeCell ref="B42:C42"/>
    <mergeCell ref="E42:F42"/>
    <mergeCell ref="H42:I42"/>
    <mergeCell ref="AH36:AH43"/>
    <mergeCell ref="AI36:AI43"/>
    <mergeCell ref="AJ36:AJ43"/>
    <mergeCell ref="AK36:AK43"/>
    <mergeCell ref="AL36:AL43"/>
    <mergeCell ref="AM36:AM43"/>
    <mergeCell ref="AB36:AB43"/>
    <mergeCell ref="AC36:AC43"/>
    <mergeCell ref="AD36:AD43"/>
    <mergeCell ref="AE36:AE43"/>
    <mergeCell ref="AF36:AF43"/>
    <mergeCell ref="AG36:AG43"/>
    <mergeCell ref="V36:V43"/>
    <mergeCell ref="W36:W43"/>
    <mergeCell ref="Z36:Z43"/>
    <mergeCell ref="Q36:Q43"/>
    <mergeCell ref="AA36:AA43"/>
    <mergeCell ref="AO36:AO43"/>
    <mergeCell ref="B35:C35"/>
    <mergeCell ref="E35:F35"/>
    <mergeCell ref="H35:I35"/>
    <mergeCell ref="H36:I36"/>
    <mergeCell ref="AM28:AM35"/>
    <mergeCell ref="AN28:AN35"/>
    <mergeCell ref="AO28:AO35"/>
    <mergeCell ref="Z28:Z35"/>
    <mergeCell ref="O28:O35"/>
    <mergeCell ref="P28:P35"/>
    <mergeCell ref="Q28:Q35"/>
    <mergeCell ref="R28:R35"/>
    <mergeCell ref="S28:S35"/>
    <mergeCell ref="T28:T31"/>
    <mergeCell ref="H28:I28"/>
    <mergeCell ref="J28:J35"/>
    <mergeCell ref="L28:L35"/>
    <mergeCell ref="M28:M35"/>
    <mergeCell ref="N28:N35"/>
    <mergeCell ref="X36:X43"/>
    <mergeCell ref="Y36:Y43"/>
    <mergeCell ref="AF28:AF35"/>
    <mergeCell ref="U28:U35"/>
    <mergeCell ref="AP28:AP35"/>
    <mergeCell ref="R36:R43"/>
    <mergeCell ref="S36:S43"/>
    <mergeCell ref="T36:T43"/>
    <mergeCell ref="U36:U43"/>
    <mergeCell ref="AN36:AN43"/>
    <mergeCell ref="AP36:AP43"/>
    <mergeCell ref="AQ28:AQ35"/>
    <mergeCell ref="B29:C29"/>
    <mergeCell ref="E29:F29"/>
    <mergeCell ref="H29:I29"/>
    <mergeCell ref="T32:T35"/>
    <mergeCell ref="B34:C34"/>
    <mergeCell ref="AG28:AG35"/>
    <mergeCell ref="AH28:AH35"/>
    <mergeCell ref="AI28:AI35"/>
    <mergeCell ref="AJ28:AJ35"/>
    <mergeCell ref="AK28:AK35"/>
    <mergeCell ref="AL28:AL35"/>
    <mergeCell ref="AA28:AA35"/>
    <mergeCell ref="AB28:AB35"/>
    <mergeCell ref="AC28:AC35"/>
    <mergeCell ref="AD28:AD35"/>
    <mergeCell ref="AE28:AE35"/>
    <mergeCell ref="V28:V35"/>
    <mergeCell ref="W28:W35"/>
    <mergeCell ref="X28:X35"/>
    <mergeCell ref="Y28:Y35"/>
    <mergeCell ref="K28:K35"/>
    <mergeCell ref="B26:C26"/>
    <mergeCell ref="E26:F26"/>
    <mergeCell ref="H26:I26"/>
    <mergeCell ref="B27:C27"/>
    <mergeCell ref="E27:F27"/>
    <mergeCell ref="H27:I27"/>
    <mergeCell ref="E34:F34"/>
    <mergeCell ref="H34:I34"/>
    <mergeCell ref="AN20:AN27"/>
    <mergeCell ref="AO20:AO27"/>
    <mergeCell ref="AP20:AP27"/>
    <mergeCell ref="AA20:AA27"/>
    <mergeCell ref="W24:W27"/>
    <mergeCell ref="X24:X27"/>
    <mergeCell ref="P20:P27"/>
    <mergeCell ref="Q20:Q27"/>
    <mergeCell ref="R20:R27"/>
    <mergeCell ref="S20:S27"/>
    <mergeCell ref="T20:T23"/>
    <mergeCell ref="U20:U27"/>
    <mergeCell ref="AG20:AG27"/>
    <mergeCell ref="V20:V27"/>
    <mergeCell ref="W20:W23"/>
    <mergeCell ref="X20:X23"/>
    <mergeCell ref="Y20:Y27"/>
    <mergeCell ref="Z20:Z27"/>
    <mergeCell ref="H20:I20"/>
    <mergeCell ref="J20:J27"/>
    <mergeCell ref="K20:K27"/>
    <mergeCell ref="L20:L27"/>
    <mergeCell ref="M20:M27"/>
    <mergeCell ref="O20:O27"/>
    <mergeCell ref="AQ20:AQ27"/>
    <mergeCell ref="B21:C21"/>
    <mergeCell ref="E21:F21"/>
    <mergeCell ref="H21:I21"/>
    <mergeCell ref="N22:N23"/>
    <mergeCell ref="N24:N25"/>
    <mergeCell ref="T24:T27"/>
    <mergeCell ref="AH20:AH27"/>
    <mergeCell ref="AI20:AI27"/>
    <mergeCell ref="AJ20:AJ27"/>
    <mergeCell ref="AK20:AK27"/>
    <mergeCell ref="AL20:AL27"/>
    <mergeCell ref="AM20:AM27"/>
    <mergeCell ref="AB20:AB27"/>
    <mergeCell ref="AC20:AC27"/>
    <mergeCell ref="AD20:AD27"/>
    <mergeCell ref="AE20:AE27"/>
    <mergeCell ref="AF20:AF27"/>
    <mergeCell ref="E19:F19"/>
    <mergeCell ref="H19:I19"/>
    <mergeCell ref="AO12:AO19"/>
    <mergeCell ref="AP12:AP19"/>
    <mergeCell ref="AA12:AA19"/>
    <mergeCell ref="AB12:AB19"/>
    <mergeCell ref="X16:X17"/>
    <mergeCell ref="P12:P19"/>
    <mergeCell ref="Q12:Q19"/>
    <mergeCell ref="R12:R19"/>
    <mergeCell ref="S12:S19"/>
    <mergeCell ref="T12:T15"/>
    <mergeCell ref="U12:U19"/>
    <mergeCell ref="H12:I12"/>
    <mergeCell ref="J12:J19"/>
    <mergeCell ref="K12:K19"/>
    <mergeCell ref="L12:L19"/>
    <mergeCell ref="M12:M19"/>
    <mergeCell ref="O12:O19"/>
    <mergeCell ref="B13:C13"/>
    <mergeCell ref="E13:F13"/>
    <mergeCell ref="H13:I13"/>
    <mergeCell ref="N13:N14"/>
    <mergeCell ref="X14:X15"/>
    <mergeCell ref="N15:N16"/>
    <mergeCell ref="T16:T19"/>
    <mergeCell ref="AI12:AI19"/>
    <mergeCell ref="AJ12:AJ19"/>
    <mergeCell ref="AC12:AC19"/>
    <mergeCell ref="AD12:AD19"/>
    <mergeCell ref="AE12:AE19"/>
    <mergeCell ref="AF12:AF19"/>
    <mergeCell ref="AG12:AG19"/>
    <mergeCell ref="AH12:AH19"/>
    <mergeCell ref="V12:V19"/>
    <mergeCell ref="X12:X13"/>
    <mergeCell ref="Y12:Y19"/>
    <mergeCell ref="Z12:Z19"/>
    <mergeCell ref="B18:C18"/>
    <mergeCell ref="E18:F18"/>
    <mergeCell ref="H18:I18"/>
    <mergeCell ref="X18:X19"/>
    <mergeCell ref="B19:C19"/>
    <mergeCell ref="X7:X8"/>
    <mergeCell ref="Y7:Z7"/>
    <mergeCell ref="P7:P8"/>
    <mergeCell ref="Q7:Q8"/>
    <mergeCell ref="R7:R8"/>
    <mergeCell ref="S7:S8"/>
    <mergeCell ref="T7:T8"/>
    <mergeCell ref="U7:U8"/>
    <mergeCell ref="AQ12:AQ19"/>
    <mergeCell ref="AK12:AK19"/>
    <mergeCell ref="AL12:AL19"/>
    <mergeCell ref="AM12:AM19"/>
    <mergeCell ref="AN12:AN19"/>
    <mergeCell ref="J7:J8"/>
    <mergeCell ref="K7:K8"/>
    <mergeCell ref="L7:L8"/>
    <mergeCell ref="M7:M8"/>
    <mergeCell ref="N7:N8"/>
    <mergeCell ref="O7:O8"/>
    <mergeCell ref="A1:AO4"/>
    <mergeCell ref="A5:M6"/>
    <mergeCell ref="N5:AQ5"/>
    <mergeCell ref="Y6:AN6"/>
    <mergeCell ref="A7:A8"/>
    <mergeCell ref="B7:C8"/>
    <mergeCell ref="D7:D8"/>
    <mergeCell ref="E7:F8"/>
    <mergeCell ref="G7:G8"/>
    <mergeCell ref="H7:I8"/>
    <mergeCell ref="AN7:AN8"/>
    <mergeCell ref="AO7:AO8"/>
    <mergeCell ref="AP7:AP8"/>
    <mergeCell ref="AQ7:AQ8"/>
    <mergeCell ref="AA7:AD7"/>
    <mergeCell ref="AE7:AJ7"/>
    <mergeCell ref="AK7:AM7"/>
    <mergeCell ref="V7:V8"/>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sheetPr>
  <dimension ref="A1:BK153"/>
  <sheetViews>
    <sheetView showGridLines="0" zoomScale="70" zoomScaleNormal="70" workbookViewId="0">
      <selection sqref="A1:AO4"/>
    </sheetView>
  </sheetViews>
  <sheetFormatPr baseColWidth="10" defaultColWidth="11.42578125" defaultRowHeight="27" customHeight="1" x14ac:dyDescent="0.2"/>
  <cols>
    <col min="1" max="1" width="13.140625" style="787" customWidth="1"/>
    <col min="2" max="2" width="4" style="485" customWidth="1"/>
    <col min="3" max="3" width="12.85546875" style="485" customWidth="1"/>
    <col min="4" max="4" width="14.7109375" style="485" customWidth="1"/>
    <col min="5" max="5" width="10" style="485" customWidth="1"/>
    <col min="6" max="6" width="8.85546875" style="485" customWidth="1"/>
    <col min="7" max="7" width="12.28515625" style="485" customWidth="1"/>
    <col min="8" max="8" width="8.5703125" style="485" customWidth="1"/>
    <col min="9" max="9" width="13.7109375" style="485" customWidth="1"/>
    <col min="10" max="10" width="10.85546875" style="485" customWidth="1"/>
    <col min="11" max="11" width="30.5703125" style="477" customWidth="1"/>
    <col min="12" max="12" width="18.85546875" style="468" customWidth="1"/>
    <col min="13" max="13" width="21.140625" style="467" customWidth="1"/>
    <col min="14" max="14" width="36.7109375" style="468" customWidth="1"/>
    <col min="15" max="15" width="20" style="921" customWidth="1"/>
    <col min="16" max="16" width="24.5703125" style="477" customWidth="1"/>
    <col min="17" max="17" width="12.7109375" style="1072" customWidth="1"/>
    <col min="18" max="18" width="29.5703125" style="1073" customWidth="1"/>
    <col min="19" max="19" width="23.5703125" style="477" customWidth="1"/>
    <col min="20" max="20" width="20.42578125" style="477" customWidth="1"/>
    <col min="21" max="21" width="35.140625" style="477" customWidth="1"/>
    <col min="22" max="22" width="29.42578125" style="476" customWidth="1"/>
    <col min="23" max="23" width="11.7109375" style="480" customWidth="1"/>
    <col min="24" max="24" width="16.85546875" style="888" customWidth="1"/>
    <col min="25" max="25" width="11.5703125" style="485" customWidth="1"/>
    <col min="26" max="26" width="12.7109375" style="485" customWidth="1"/>
    <col min="27" max="27" width="9" style="485" customWidth="1"/>
    <col min="28" max="28" width="8.7109375" style="485" customWidth="1"/>
    <col min="29" max="29" width="11.85546875" style="485" customWidth="1"/>
    <col min="30" max="30" width="9.5703125" style="485" customWidth="1"/>
    <col min="31" max="31" width="9.140625" style="485" customWidth="1"/>
    <col min="32" max="32" width="10" style="485" customWidth="1"/>
    <col min="33" max="36" width="8" style="485" customWidth="1"/>
    <col min="37" max="37" width="10" style="485" customWidth="1"/>
    <col min="38" max="38" width="10.28515625" style="485" customWidth="1"/>
    <col min="39" max="39" width="8.42578125" style="485" customWidth="1"/>
    <col min="40" max="40" width="11.140625" style="485" customWidth="1"/>
    <col min="41" max="41" width="20.5703125" style="785" customWidth="1"/>
    <col min="42" max="42" width="24.5703125" style="786" customWidth="1"/>
    <col min="43" max="43" width="23.5703125" style="488" customWidth="1"/>
    <col min="44" max="16384" width="11.42578125" style="485"/>
  </cols>
  <sheetData>
    <row r="1" spans="1:63" ht="16.5" customHeight="1" x14ac:dyDescent="0.2">
      <c r="A1" s="2123" t="s">
        <v>773</v>
      </c>
      <c r="B1" s="2124"/>
      <c r="C1" s="2124"/>
      <c r="D1" s="2124"/>
      <c r="E1" s="2124"/>
      <c r="F1" s="2124"/>
      <c r="G1" s="2124"/>
      <c r="H1" s="2124"/>
      <c r="I1" s="2124"/>
      <c r="J1" s="2124"/>
      <c r="K1" s="2124"/>
      <c r="L1" s="2124"/>
      <c r="M1" s="2124"/>
      <c r="N1" s="2124"/>
      <c r="O1" s="2124"/>
      <c r="P1" s="2124"/>
      <c r="Q1" s="2124"/>
      <c r="R1" s="2124"/>
      <c r="S1" s="2124"/>
      <c r="T1" s="2124"/>
      <c r="U1" s="2124"/>
      <c r="V1" s="2124"/>
      <c r="W1" s="2124"/>
      <c r="X1" s="2124"/>
      <c r="Y1" s="2124"/>
      <c r="Z1" s="2124"/>
      <c r="AA1" s="2124"/>
      <c r="AB1" s="2124"/>
      <c r="AC1" s="2124"/>
      <c r="AD1" s="2124"/>
      <c r="AE1" s="2124"/>
      <c r="AF1" s="2124"/>
      <c r="AG1" s="2124"/>
      <c r="AH1" s="2124"/>
      <c r="AI1" s="2124"/>
      <c r="AJ1" s="2124"/>
      <c r="AK1" s="2124"/>
      <c r="AL1" s="2124"/>
      <c r="AM1" s="2124"/>
      <c r="AN1" s="2124"/>
      <c r="AO1" s="2125"/>
      <c r="AP1" s="362" t="s">
        <v>0</v>
      </c>
      <c r="AQ1" s="362" t="s">
        <v>1</v>
      </c>
      <c r="AR1" s="467"/>
      <c r="AS1" s="467"/>
      <c r="AT1" s="467"/>
      <c r="AU1" s="467"/>
      <c r="AV1" s="467"/>
      <c r="AW1" s="467"/>
      <c r="AX1" s="467"/>
      <c r="AY1" s="467"/>
      <c r="AZ1" s="467"/>
      <c r="BA1" s="467"/>
      <c r="BB1" s="467"/>
      <c r="BC1" s="467"/>
      <c r="BD1" s="467"/>
      <c r="BE1" s="467"/>
      <c r="BF1" s="467"/>
      <c r="BG1" s="467"/>
      <c r="BH1" s="467"/>
      <c r="BI1" s="467"/>
      <c r="BJ1" s="467"/>
      <c r="BK1" s="467"/>
    </row>
    <row r="2" spans="1:63" ht="16.5" customHeight="1" x14ac:dyDescent="0.2">
      <c r="A2" s="2124"/>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c r="AC2" s="2124"/>
      <c r="AD2" s="2124"/>
      <c r="AE2" s="2124"/>
      <c r="AF2" s="2124"/>
      <c r="AG2" s="2124"/>
      <c r="AH2" s="2124"/>
      <c r="AI2" s="2124"/>
      <c r="AJ2" s="2124"/>
      <c r="AK2" s="2124"/>
      <c r="AL2" s="2124"/>
      <c r="AM2" s="2124"/>
      <c r="AN2" s="2124"/>
      <c r="AO2" s="2125"/>
      <c r="AP2" s="364" t="s">
        <v>2</v>
      </c>
      <c r="AQ2" s="362" t="s">
        <v>3</v>
      </c>
      <c r="AR2" s="467"/>
      <c r="AS2" s="467"/>
      <c r="AT2" s="467"/>
      <c r="AU2" s="467"/>
      <c r="AV2" s="467"/>
      <c r="AW2" s="467"/>
      <c r="AX2" s="467"/>
      <c r="AY2" s="467"/>
      <c r="AZ2" s="467"/>
      <c r="BA2" s="467"/>
      <c r="BB2" s="467"/>
      <c r="BC2" s="467"/>
      <c r="BD2" s="467"/>
      <c r="BE2" s="467"/>
      <c r="BF2" s="467"/>
      <c r="BG2" s="467"/>
      <c r="BH2" s="467"/>
      <c r="BI2" s="467"/>
      <c r="BJ2" s="467"/>
      <c r="BK2" s="467"/>
    </row>
    <row r="3" spans="1:63" ht="16.5" customHeight="1" x14ac:dyDescent="0.2">
      <c r="A3" s="2124"/>
      <c r="B3" s="2124"/>
      <c r="C3" s="2124"/>
      <c r="D3" s="2124"/>
      <c r="E3" s="2124"/>
      <c r="F3" s="2124"/>
      <c r="G3" s="2124"/>
      <c r="H3" s="2124"/>
      <c r="I3" s="2124"/>
      <c r="J3" s="2124"/>
      <c r="K3" s="2124"/>
      <c r="L3" s="2124"/>
      <c r="M3" s="2124"/>
      <c r="N3" s="2124"/>
      <c r="O3" s="2124"/>
      <c r="P3" s="2124"/>
      <c r="Q3" s="2124"/>
      <c r="R3" s="2124"/>
      <c r="S3" s="2124"/>
      <c r="T3" s="2124"/>
      <c r="U3" s="2124"/>
      <c r="V3" s="2124"/>
      <c r="W3" s="2124"/>
      <c r="X3" s="2124"/>
      <c r="Y3" s="2124"/>
      <c r="Z3" s="2124"/>
      <c r="AA3" s="2124"/>
      <c r="AB3" s="2124"/>
      <c r="AC3" s="2124"/>
      <c r="AD3" s="2124"/>
      <c r="AE3" s="2124"/>
      <c r="AF3" s="2124"/>
      <c r="AG3" s="2124"/>
      <c r="AH3" s="2124"/>
      <c r="AI3" s="2124"/>
      <c r="AJ3" s="2124"/>
      <c r="AK3" s="2124"/>
      <c r="AL3" s="2124"/>
      <c r="AM3" s="2124"/>
      <c r="AN3" s="2124"/>
      <c r="AO3" s="2125"/>
      <c r="AP3" s="362" t="s">
        <v>4</v>
      </c>
      <c r="AQ3" s="947" t="s">
        <v>5</v>
      </c>
      <c r="AR3" s="467"/>
      <c r="AS3" s="467"/>
      <c r="AT3" s="467"/>
      <c r="AU3" s="467"/>
      <c r="AV3" s="467"/>
      <c r="AW3" s="467"/>
      <c r="AX3" s="467"/>
      <c r="AY3" s="467"/>
      <c r="AZ3" s="467"/>
      <c r="BA3" s="467"/>
      <c r="BB3" s="467"/>
      <c r="BC3" s="467"/>
      <c r="BD3" s="467"/>
      <c r="BE3" s="467"/>
      <c r="BF3" s="467"/>
      <c r="BG3" s="467"/>
      <c r="BH3" s="467"/>
      <c r="BI3" s="467"/>
      <c r="BJ3" s="467"/>
      <c r="BK3" s="467"/>
    </row>
    <row r="4" spans="1:63" ht="16.5" customHeight="1" x14ac:dyDescent="0.2">
      <c r="A4" s="2126"/>
      <c r="B4" s="2126"/>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7"/>
      <c r="AP4" s="362" t="s">
        <v>6</v>
      </c>
      <c r="AQ4" s="366" t="s">
        <v>7</v>
      </c>
      <c r="AR4" s="467"/>
      <c r="AS4" s="467"/>
      <c r="AT4" s="467"/>
      <c r="AU4" s="467"/>
      <c r="AV4" s="467"/>
      <c r="AW4" s="467"/>
      <c r="AX4" s="467"/>
      <c r="AY4" s="467"/>
      <c r="AZ4" s="467"/>
      <c r="BA4" s="467"/>
      <c r="BB4" s="467"/>
      <c r="BC4" s="467"/>
      <c r="BD4" s="467"/>
      <c r="BE4" s="467"/>
      <c r="BF4" s="467"/>
      <c r="BG4" s="467"/>
      <c r="BH4" s="467"/>
      <c r="BI4" s="467"/>
      <c r="BJ4" s="467"/>
      <c r="BK4" s="467"/>
    </row>
    <row r="5" spans="1:63" ht="18" customHeight="1" x14ac:dyDescent="0.2">
      <c r="A5" s="2128" t="s">
        <v>8</v>
      </c>
      <c r="B5" s="2128"/>
      <c r="C5" s="2128"/>
      <c r="D5" s="2128"/>
      <c r="E5" s="2128"/>
      <c r="F5" s="2128"/>
      <c r="G5" s="2128"/>
      <c r="H5" s="2128"/>
      <c r="I5" s="2128"/>
      <c r="J5" s="2128"/>
      <c r="K5" s="2128"/>
      <c r="L5" s="2128"/>
      <c r="M5" s="2128"/>
      <c r="N5" s="2130" t="s">
        <v>9</v>
      </c>
      <c r="O5" s="2130"/>
      <c r="P5" s="2130"/>
      <c r="Q5" s="2130"/>
      <c r="R5" s="2130"/>
      <c r="S5" s="2130"/>
      <c r="T5" s="2130"/>
      <c r="U5" s="2130"/>
      <c r="V5" s="2130"/>
      <c r="W5" s="2130"/>
      <c r="X5" s="2130"/>
      <c r="Y5" s="2130"/>
      <c r="Z5" s="2130"/>
      <c r="AA5" s="2130"/>
      <c r="AB5" s="2130"/>
      <c r="AC5" s="2130"/>
      <c r="AD5" s="2130"/>
      <c r="AE5" s="2130"/>
      <c r="AF5" s="2130"/>
      <c r="AG5" s="2130"/>
      <c r="AH5" s="2130"/>
      <c r="AI5" s="2130"/>
      <c r="AJ5" s="2130"/>
      <c r="AK5" s="2130"/>
      <c r="AL5" s="2130"/>
      <c r="AM5" s="2130"/>
      <c r="AN5" s="2130"/>
      <c r="AO5" s="2130"/>
      <c r="AP5" s="2130"/>
      <c r="AQ5" s="2130"/>
      <c r="AR5" s="467"/>
      <c r="AS5" s="467"/>
      <c r="AT5" s="467"/>
      <c r="AU5" s="467"/>
      <c r="AV5" s="467"/>
      <c r="AW5" s="467"/>
      <c r="AX5" s="467"/>
      <c r="AY5" s="467"/>
      <c r="AZ5" s="467"/>
      <c r="BA5" s="467"/>
      <c r="BB5" s="467"/>
      <c r="BC5" s="467"/>
      <c r="BD5" s="467"/>
      <c r="BE5" s="467"/>
      <c r="BF5" s="467"/>
      <c r="BG5" s="467"/>
      <c r="BH5" s="467"/>
      <c r="BI5" s="467"/>
      <c r="BJ5" s="467"/>
      <c r="BK5" s="467"/>
    </row>
    <row r="6" spans="1:63" ht="18.75" customHeight="1" x14ac:dyDescent="0.2">
      <c r="A6" s="2129"/>
      <c r="B6" s="2129"/>
      <c r="C6" s="2129"/>
      <c r="D6" s="2129"/>
      <c r="E6" s="2129"/>
      <c r="F6" s="2129"/>
      <c r="G6" s="2129"/>
      <c r="H6" s="2129"/>
      <c r="I6" s="2129"/>
      <c r="J6" s="2129"/>
      <c r="K6" s="2129"/>
      <c r="L6" s="2129"/>
      <c r="M6" s="2129"/>
      <c r="N6" s="948"/>
      <c r="O6" s="949"/>
      <c r="P6" s="368"/>
      <c r="Q6" s="370"/>
      <c r="R6" s="370"/>
      <c r="S6" s="368"/>
      <c r="T6" s="368"/>
      <c r="U6" s="368"/>
      <c r="V6" s="370"/>
      <c r="W6" s="370"/>
      <c r="X6" s="950"/>
      <c r="Y6" s="2131" t="s">
        <v>10</v>
      </c>
      <c r="Z6" s="2129"/>
      <c r="AA6" s="2129"/>
      <c r="AB6" s="2129"/>
      <c r="AC6" s="2129"/>
      <c r="AD6" s="2129"/>
      <c r="AE6" s="2129"/>
      <c r="AF6" s="2129"/>
      <c r="AG6" s="2129"/>
      <c r="AH6" s="2129"/>
      <c r="AI6" s="2129"/>
      <c r="AJ6" s="2129"/>
      <c r="AK6" s="2129"/>
      <c r="AL6" s="2129"/>
      <c r="AM6" s="2132"/>
      <c r="AN6" s="916"/>
      <c r="AO6" s="370"/>
      <c r="AP6" s="370"/>
      <c r="AQ6" s="372"/>
      <c r="AR6" s="467"/>
      <c r="AS6" s="467"/>
      <c r="AT6" s="467"/>
      <c r="AU6" s="467"/>
      <c r="AV6" s="467"/>
      <c r="AW6" s="467"/>
      <c r="AX6" s="467"/>
      <c r="AY6" s="467"/>
      <c r="AZ6" s="467"/>
      <c r="BA6" s="467"/>
      <c r="BB6" s="467"/>
      <c r="BC6" s="467"/>
      <c r="BD6" s="467"/>
      <c r="BE6" s="467"/>
      <c r="BF6" s="467"/>
      <c r="BG6" s="467"/>
      <c r="BH6" s="467"/>
      <c r="BI6" s="467"/>
      <c r="BJ6" s="467"/>
      <c r="BK6" s="467"/>
    </row>
    <row r="7" spans="1:63" s="951" customFormat="1" ht="39" customHeight="1" x14ac:dyDescent="0.25">
      <c r="A7" s="2133" t="s">
        <v>11</v>
      </c>
      <c r="B7" s="2136" t="s">
        <v>12</v>
      </c>
      <c r="C7" s="2137"/>
      <c r="D7" s="2137" t="s">
        <v>11</v>
      </c>
      <c r="E7" s="2136" t="s">
        <v>13</v>
      </c>
      <c r="F7" s="2137"/>
      <c r="G7" s="2137" t="s">
        <v>11</v>
      </c>
      <c r="H7" s="2136" t="s">
        <v>14</v>
      </c>
      <c r="I7" s="2137"/>
      <c r="J7" s="2137" t="s">
        <v>11</v>
      </c>
      <c r="K7" s="2136" t="s">
        <v>15</v>
      </c>
      <c r="L7" s="2119" t="s">
        <v>16</v>
      </c>
      <c r="M7" s="2119" t="s">
        <v>17</v>
      </c>
      <c r="N7" s="2119" t="s">
        <v>18</v>
      </c>
      <c r="O7" s="2119" t="s">
        <v>19</v>
      </c>
      <c r="P7" s="2119" t="s">
        <v>9</v>
      </c>
      <c r="Q7" s="2180" t="s">
        <v>20</v>
      </c>
      <c r="R7" s="2145" t="s">
        <v>21</v>
      </c>
      <c r="S7" s="2136" t="s">
        <v>22</v>
      </c>
      <c r="T7" s="2136" t="s">
        <v>23</v>
      </c>
      <c r="U7" s="2119" t="s">
        <v>24</v>
      </c>
      <c r="V7" s="2116" t="s">
        <v>21</v>
      </c>
      <c r="W7" s="373"/>
      <c r="X7" s="2119" t="s">
        <v>25</v>
      </c>
      <c r="Y7" s="2122" t="s">
        <v>26</v>
      </c>
      <c r="Z7" s="2122"/>
      <c r="AA7" s="2109" t="s">
        <v>27</v>
      </c>
      <c r="AB7" s="2109"/>
      <c r="AC7" s="2109"/>
      <c r="AD7" s="2109"/>
      <c r="AE7" s="2106" t="s">
        <v>28</v>
      </c>
      <c r="AF7" s="2107"/>
      <c r="AG7" s="2107"/>
      <c r="AH7" s="2107"/>
      <c r="AI7" s="2107"/>
      <c r="AJ7" s="2108"/>
      <c r="AK7" s="2109" t="s">
        <v>29</v>
      </c>
      <c r="AL7" s="2109"/>
      <c r="AM7" s="2109"/>
      <c r="AN7" s="2092" t="s">
        <v>30</v>
      </c>
      <c r="AO7" s="2095" t="s">
        <v>31</v>
      </c>
      <c r="AP7" s="2095" t="s">
        <v>32</v>
      </c>
      <c r="AQ7" s="2148" t="s">
        <v>33</v>
      </c>
      <c r="AR7" s="920"/>
      <c r="AS7" s="920"/>
      <c r="AT7" s="920"/>
      <c r="AU7" s="920"/>
      <c r="AV7" s="920"/>
      <c r="AW7" s="920"/>
      <c r="AX7" s="920"/>
      <c r="AY7" s="920"/>
      <c r="AZ7" s="920"/>
      <c r="BA7" s="920"/>
      <c r="BB7" s="920"/>
      <c r="BC7" s="920"/>
      <c r="BD7" s="920"/>
      <c r="BE7" s="920"/>
      <c r="BF7" s="920"/>
      <c r="BG7" s="920"/>
      <c r="BH7" s="920"/>
      <c r="BI7" s="920"/>
      <c r="BJ7" s="920"/>
      <c r="BK7" s="920"/>
    </row>
    <row r="8" spans="1:63" s="951" customFormat="1" ht="126" customHeight="1" x14ac:dyDescent="0.25">
      <c r="A8" s="2134"/>
      <c r="B8" s="2138"/>
      <c r="C8" s="2139"/>
      <c r="D8" s="2139"/>
      <c r="E8" s="2138"/>
      <c r="F8" s="2139"/>
      <c r="G8" s="2139"/>
      <c r="H8" s="2138"/>
      <c r="I8" s="2139"/>
      <c r="J8" s="2139"/>
      <c r="K8" s="2138"/>
      <c r="L8" s="2120"/>
      <c r="M8" s="2120"/>
      <c r="N8" s="2120"/>
      <c r="O8" s="2120"/>
      <c r="P8" s="2120"/>
      <c r="Q8" s="2181"/>
      <c r="R8" s="2146"/>
      <c r="S8" s="2138"/>
      <c r="T8" s="2138"/>
      <c r="U8" s="2120"/>
      <c r="V8" s="2117"/>
      <c r="W8" s="917" t="s">
        <v>11</v>
      </c>
      <c r="X8" s="2120"/>
      <c r="Y8" s="914" t="s">
        <v>34</v>
      </c>
      <c r="Z8" s="915" t="s">
        <v>35</v>
      </c>
      <c r="AA8" s="655" t="s">
        <v>36</v>
      </c>
      <c r="AB8" s="655" t="s">
        <v>37</v>
      </c>
      <c r="AC8" s="655" t="s">
        <v>38</v>
      </c>
      <c r="AD8" s="655" t="s">
        <v>39</v>
      </c>
      <c r="AE8" s="655" t="s">
        <v>40</v>
      </c>
      <c r="AF8" s="655" t="s">
        <v>41</v>
      </c>
      <c r="AG8" s="655" t="s">
        <v>42</v>
      </c>
      <c r="AH8" s="655" t="s">
        <v>43</v>
      </c>
      <c r="AI8" s="655" t="s">
        <v>44</v>
      </c>
      <c r="AJ8" s="655" t="s">
        <v>45</v>
      </c>
      <c r="AK8" s="655" t="s">
        <v>46</v>
      </c>
      <c r="AL8" s="655" t="s">
        <v>47</v>
      </c>
      <c r="AM8" s="655" t="s">
        <v>48</v>
      </c>
      <c r="AN8" s="2094"/>
      <c r="AO8" s="2096"/>
      <c r="AP8" s="2096"/>
      <c r="AQ8" s="2149"/>
      <c r="AR8" s="920"/>
      <c r="AS8" s="920"/>
      <c r="AT8" s="920"/>
      <c r="AU8" s="920"/>
      <c r="AV8" s="920"/>
      <c r="AW8" s="920"/>
      <c r="AX8" s="920"/>
      <c r="AY8" s="920"/>
      <c r="AZ8" s="920"/>
      <c r="BA8" s="920"/>
      <c r="BB8" s="920"/>
      <c r="BC8" s="920"/>
      <c r="BD8" s="920"/>
      <c r="BE8" s="920"/>
      <c r="BF8" s="920"/>
      <c r="BG8" s="920"/>
      <c r="BH8" s="920"/>
      <c r="BI8" s="920"/>
      <c r="BJ8" s="920"/>
      <c r="BK8" s="920"/>
    </row>
    <row r="9" spans="1:63" s="611" customFormat="1" ht="15.75" x14ac:dyDescent="0.2">
      <c r="A9" s="377">
        <v>4</v>
      </c>
      <c r="B9" s="378" t="s">
        <v>241</v>
      </c>
      <c r="C9" s="378"/>
      <c r="D9" s="952"/>
      <c r="E9" s="952"/>
      <c r="F9" s="952"/>
      <c r="G9" s="952"/>
      <c r="H9" s="952"/>
      <c r="I9" s="952"/>
      <c r="J9" s="953"/>
      <c r="K9" s="954"/>
      <c r="L9" s="955"/>
      <c r="M9" s="952"/>
      <c r="N9" s="956"/>
      <c r="O9" s="953"/>
      <c r="P9" s="955"/>
      <c r="Q9" s="957"/>
      <c r="R9" s="958"/>
      <c r="S9" s="955"/>
      <c r="T9" s="954"/>
      <c r="U9" s="954"/>
      <c r="V9" s="959"/>
      <c r="W9" s="959"/>
      <c r="X9" s="960"/>
      <c r="Y9" s="952"/>
      <c r="Z9" s="952"/>
      <c r="AA9" s="952"/>
      <c r="AB9" s="952"/>
      <c r="AC9" s="952"/>
      <c r="AD9" s="952"/>
      <c r="AE9" s="952"/>
      <c r="AF9" s="952"/>
      <c r="AG9" s="952"/>
      <c r="AH9" s="952"/>
      <c r="AI9" s="952"/>
      <c r="AJ9" s="952"/>
      <c r="AK9" s="961"/>
      <c r="AL9" s="961"/>
      <c r="AM9" s="955"/>
      <c r="AN9" s="955"/>
      <c r="AO9" s="955"/>
      <c r="AP9" s="955"/>
      <c r="AQ9" s="962"/>
    </row>
    <row r="10" spans="1:63" s="467" customFormat="1" ht="15.75" x14ac:dyDescent="0.2">
      <c r="A10" s="2608"/>
      <c r="B10" s="2518"/>
      <c r="C10" s="2520"/>
      <c r="D10" s="963">
        <v>23</v>
      </c>
      <c r="E10" s="565" t="s">
        <v>774</v>
      </c>
      <c r="F10" s="565"/>
      <c r="G10" s="964"/>
      <c r="H10" s="964"/>
      <c r="I10" s="964"/>
      <c r="J10" s="965"/>
      <c r="K10" s="966"/>
      <c r="L10" s="967"/>
      <c r="M10" s="964"/>
      <c r="N10" s="968"/>
      <c r="O10" s="965"/>
      <c r="P10" s="967"/>
      <c r="Q10" s="969"/>
      <c r="R10" s="970"/>
      <c r="S10" s="967"/>
      <c r="T10" s="966"/>
      <c r="U10" s="966"/>
      <c r="V10" s="971"/>
      <c r="W10" s="971"/>
      <c r="X10" s="972"/>
      <c r="Y10" s="964"/>
      <c r="Z10" s="964"/>
      <c r="AA10" s="964"/>
      <c r="AB10" s="964"/>
      <c r="AC10" s="964"/>
      <c r="AD10" s="964"/>
      <c r="AE10" s="964"/>
      <c r="AF10" s="964"/>
      <c r="AG10" s="964"/>
      <c r="AH10" s="964"/>
      <c r="AI10" s="964"/>
      <c r="AJ10" s="964"/>
      <c r="AK10" s="973"/>
      <c r="AL10" s="973"/>
      <c r="AM10" s="967"/>
      <c r="AN10" s="967"/>
      <c r="AO10" s="967"/>
      <c r="AP10" s="967"/>
      <c r="AQ10" s="974"/>
    </row>
    <row r="11" spans="1:63" s="467" customFormat="1" ht="19.5" customHeight="1" x14ac:dyDescent="0.2">
      <c r="A11" s="2609"/>
      <c r="B11" s="2521"/>
      <c r="C11" s="2523"/>
      <c r="D11" s="2075"/>
      <c r="E11" s="2076"/>
      <c r="F11" s="2077"/>
      <c r="G11" s="975">
        <v>75</v>
      </c>
      <c r="H11" s="399" t="s">
        <v>775</v>
      </c>
      <c r="I11" s="399"/>
      <c r="J11" s="976"/>
      <c r="K11" s="977"/>
      <c r="L11" s="749"/>
      <c r="M11" s="754"/>
      <c r="N11" s="978"/>
      <c r="O11" s="979"/>
      <c r="P11" s="400"/>
      <c r="Q11" s="980"/>
      <c r="R11" s="981"/>
      <c r="S11" s="749"/>
      <c r="T11" s="977"/>
      <c r="U11" s="977"/>
      <c r="V11" s="753"/>
      <c r="W11" s="753"/>
      <c r="X11" s="982"/>
      <c r="Y11" s="754"/>
      <c r="Z11" s="754"/>
      <c r="AA11" s="754"/>
      <c r="AB11" s="754"/>
      <c r="AC11" s="754"/>
      <c r="AD11" s="754"/>
      <c r="AE11" s="754"/>
      <c r="AF11" s="754"/>
      <c r="AG11" s="754"/>
      <c r="AH11" s="754"/>
      <c r="AI11" s="754"/>
      <c r="AJ11" s="754"/>
      <c r="AK11" s="755"/>
      <c r="AL11" s="755"/>
      <c r="AM11" s="749"/>
      <c r="AN11" s="749"/>
      <c r="AO11" s="749"/>
      <c r="AP11" s="749"/>
      <c r="AQ11" s="983"/>
    </row>
    <row r="12" spans="1:63" ht="57.75" customHeight="1" x14ac:dyDescent="0.2">
      <c r="A12" s="2609"/>
      <c r="B12" s="2521"/>
      <c r="C12" s="2523"/>
      <c r="D12" s="2078"/>
      <c r="E12" s="2079"/>
      <c r="F12" s="2080"/>
      <c r="G12" s="467"/>
      <c r="H12" s="984"/>
      <c r="I12" s="833"/>
      <c r="J12" s="2548">
        <v>214</v>
      </c>
      <c r="K12" s="2490" t="s">
        <v>776</v>
      </c>
      <c r="L12" s="2516" t="s">
        <v>777</v>
      </c>
      <c r="M12" s="2510">
        <v>3</v>
      </c>
      <c r="N12" s="2583"/>
      <c r="O12" s="2575" t="s">
        <v>778</v>
      </c>
      <c r="P12" s="2536" t="s">
        <v>779</v>
      </c>
      <c r="Q12" s="2342">
        <f>(V12+V13)/(R12+R14+R15+R18+R31)</f>
        <v>8.4771114844521475E-3</v>
      </c>
      <c r="R12" s="2584">
        <f>+V12+V13</f>
        <v>50000000</v>
      </c>
      <c r="S12" s="2490" t="s">
        <v>780</v>
      </c>
      <c r="T12" s="2490" t="s">
        <v>781</v>
      </c>
      <c r="U12" s="2490" t="s">
        <v>782</v>
      </c>
      <c r="V12" s="850">
        <v>30000000</v>
      </c>
      <c r="W12" s="2588" t="s">
        <v>783</v>
      </c>
      <c r="X12" s="2591" t="s">
        <v>784</v>
      </c>
      <c r="Y12" s="2597">
        <v>292684</v>
      </c>
      <c r="Z12" s="2594">
        <v>282326</v>
      </c>
      <c r="AA12" s="2585">
        <v>135912</v>
      </c>
      <c r="AB12" s="2585">
        <v>45122</v>
      </c>
      <c r="AC12" s="2585">
        <v>307101</v>
      </c>
      <c r="AD12" s="2587">
        <v>86875</v>
      </c>
      <c r="AE12" s="2585">
        <v>2145</v>
      </c>
      <c r="AF12" s="2585">
        <v>12718</v>
      </c>
      <c r="AG12" s="2044">
        <v>26</v>
      </c>
      <c r="AH12" s="2043">
        <v>37</v>
      </c>
      <c r="AI12" s="2043"/>
      <c r="AJ12" s="2043"/>
      <c r="AK12" s="2043">
        <v>53164</v>
      </c>
      <c r="AL12" s="2043">
        <v>16982</v>
      </c>
      <c r="AM12" s="2043">
        <v>60013</v>
      </c>
      <c r="AN12" s="2044">
        <f>Y12+Z12</f>
        <v>575010</v>
      </c>
      <c r="AO12" s="2601" t="s">
        <v>1038</v>
      </c>
      <c r="AP12" s="2601">
        <v>42724</v>
      </c>
      <c r="AQ12" s="2604" t="s">
        <v>785</v>
      </c>
    </row>
    <row r="13" spans="1:63" ht="71.25" customHeight="1" x14ac:dyDescent="0.2">
      <c r="A13" s="2609"/>
      <c r="B13" s="2521"/>
      <c r="C13" s="2523"/>
      <c r="D13" s="2078"/>
      <c r="E13" s="2079"/>
      <c r="F13" s="2080"/>
      <c r="G13" s="467"/>
      <c r="H13" s="985"/>
      <c r="I13" s="986"/>
      <c r="J13" s="2548"/>
      <c r="K13" s="2490"/>
      <c r="L13" s="2516"/>
      <c r="M13" s="2510"/>
      <c r="N13" s="2494"/>
      <c r="O13" s="2491"/>
      <c r="P13" s="2469"/>
      <c r="Q13" s="2342">
        <f>R13/SUM(R12:R32)*100</f>
        <v>0</v>
      </c>
      <c r="R13" s="2584"/>
      <c r="S13" s="2490"/>
      <c r="T13" s="2490"/>
      <c r="U13" s="2490"/>
      <c r="V13" s="850">
        <v>20000000</v>
      </c>
      <c r="W13" s="2589"/>
      <c r="X13" s="2592"/>
      <c r="Y13" s="2598"/>
      <c r="Z13" s="2595"/>
      <c r="AA13" s="2586"/>
      <c r="AB13" s="2586"/>
      <c r="AC13" s="2586"/>
      <c r="AD13" s="2586"/>
      <c r="AE13" s="2586"/>
      <c r="AF13" s="2586"/>
      <c r="AG13" s="2606"/>
      <c r="AH13" s="2586"/>
      <c r="AI13" s="2586"/>
      <c r="AJ13" s="2586"/>
      <c r="AK13" s="2586"/>
      <c r="AL13" s="2586"/>
      <c r="AM13" s="2586"/>
      <c r="AN13" s="2600"/>
      <c r="AO13" s="2602"/>
      <c r="AP13" s="2602"/>
      <c r="AQ13" s="2605"/>
    </row>
    <row r="14" spans="1:63" ht="81" customHeight="1" x14ac:dyDescent="0.2">
      <c r="A14" s="2609"/>
      <c r="B14" s="2521"/>
      <c r="C14" s="2523"/>
      <c r="D14" s="2078"/>
      <c r="E14" s="2079"/>
      <c r="F14" s="2080"/>
      <c r="G14" s="467"/>
      <c r="H14" s="985"/>
      <c r="I14" s="986"/>
      <c r="J14" s="987">
        <v>215</v>
      </c>
      <c r="K14" s="988" t="s">
        <v>786</v>
      </c>
      <c r="L14" s="989" t="s">
        <v>787</v>
      </c>
      <c r="M14" s="990">
        <v>3</v>
      </c>
      <c r="N14" s="2494"/>
      <c r="O14" s="2491"/>
      <c r="P14" s="2469"/>
      <c r="Q14" s="991">
        <f>(R14)/(R12+R14+R18+R31+R15)</f>
        <v>1.1867956078233008E-2</v>
      </c>
      <c r="R14" s="992">
        <f>+V14</f>
        <v>70000000</v>
      </c>
      <c r="S14" s="2490"/>
      <c r="T14" s="2490"/>
      <c r="U14" s="988" t="s">
        <v>788</v>
      </c>
      <c r="V14" s="850">
        <v>70000000</v>
      </c>
      <c r="W14" s="2589"/>
      <c r="X14" s="2592"/>
      <c r="Y14" s="2598"/>
      <c r="Z14" s="2595"/>
      <c r="AA14" s="2586"/>
      <c r="AB14" s="2586"/>
      <c r="AC14" s="2586"/>
      <c r="AD14" s="2586"/>
      <c r="AE14" s="2586"/>
      <c r="AF14" s="2586"/>
      <c r="AG14" s="2606"/>
      <c r="AH14" s="2586"/>
      <c r="AI14" s="2586"/>
      <c r="AJ14" s="2586"/>
      <c r="AK14" s="2586"/>
      <c r="AL14" s="2586"/>
      <c r="AM14" s="2586"/>
      <c r="AN14" s="2600"/>
      <c r="AO14" s="2602"/>
      <c r="AP14" s="2602"/>
      <c r="AQ14" s="2605"/>
    </row>
    <row r="15" spans="1:63" ht="66.75" customHeight="1" x14ac:dyDescent="0.2">
      <c r="A15" s="2609"/>
      <c r="B15" s="2521"/>
      <c r="C15" s="2523"/>
      <c r="D15" s="2078"/>
      <c r="E15" s="2079"/>
      <c r="F15" s="2080"/>
      <c r="G15" s="467"/>
      <c r="H15" s="985"/>
      <c r="I15" s="986"/>
      <c r="J15" s="2548">
        <v>216</v>
      </c>
      <c r="K15" s="2490" t="s">
        <v>789</v>
      </c>
      <c r="L15" s="2516" t="s">
        <v>790</v>
      </c>
      <c r="M15" s="2493">
        <v>2</v>
      </c>
      <c r="N15" s="2494"/>
      <c r="O15" s="2491"/>
      <c r="P15" s="2469"/>
      <c r="Q15" s="2581">
        <f>(R15)/(R12+R14+R15+R18+R31)</f>
        <v>0.13309065030589873</v>
      </c>
      <c r="R15" s="2584">
        <f>SUM(V15:V17)</f>
        <v>785000000</v>
      </c>
      <c r="S15" s="2490"/>
      <c r="T15" s="2490"/>
      <c r="U15" s="993" t="s">
        <v>791</v>
      </c>
      <c r="V15" s="918">
        <v>20000000</v>
      </c>
      <c r="W15" s="2589"/>
      <c r="X15" s="2592"/>
      <c r="Y15" s="2598"/>
      <c r="Z15" s="2595"/>
      <c r="AA15" s="2586"/>
      <c r="AB15" s="2586"/>
      <c r="AC15" s="2586"/>
      <c r="AD15" s="2586"/>
      <c r="AE15" s="2586"/>
      <c r="AF15" s="2586"/>
      <c r="AG15" s="2606"/>
      <c r="AH15" s="2586"/>
      <c r="AI15" s="2586"/>
      <c r="AJ15" s="2586"/>
      <c r="AK15" s="2586"/>
      <c r="AL15" s="2586"/>
      <c r="AM15" s="2586"/>
      <c r="AN15" s="2600"/>
      <c r="AO15" s="2602"/>
      <c r="AP15" s="2602"/>
      <c r="AQ15" s="2605"/>
    </row>
    <row r="16" spans="1:63" ht="45.75" customHeight="1" x14ac:dyDescent="0.2">
      <c r="A16" s="2609"/>
      <c r="B16" s="2521"/>
      <c r="C16" s="2523"/>
      <c r="D16" s="2078"/>
      <c r="E16" s="2079"/>
      <c r="F16" s="2080"/>
      <c r="G16" s="467"/>
      <c r="H16" s="985"/>
      <c r="I16" s="986"/>
      <c r="J16" s="2548"/>
      <c r="K16" s="2490"/>
      <c r="L16" s="2516"/>
      <c r="M16" s="2493"/>
      <c r="N16" s="2494"/>
      <c r="O16" s="2491"/>
      <c r="P16" s="2469"/>
      <c r="Q16" s="2581"/>
      <c r="R16" s="2584"/>
      <c r="S16" s="2490"/>
      <c r="T16" s="2490"/>
      <c r="U16" s="993" t="s">
        <v>792</v>
      </c>
      <c r="V16" s="918">
        <f>80000000+635000000</f>
        <v>715000000</v>
      </c>
      <c r="W16" s="2589"/>
      <c r="X16" s="2592"/>
      <c r="Y16" s="2598"/>
      <c r="Z16" s="2595"/>
      <c r="AA16" s="2586"/>
      <c r="AB16" s="2586"/>
      <c r="AC16" s="2586"/>
      <c r="AD16" s="2586"/>
      <c r="AE16" s="2586"/>
      <c r="AF16" s="2586"/>
      <c r="AG16" s="2606"/>
      <c r="AH16" s="2586"/>
      <c r="AI16" s="2586"/>
      <c r="AJ16" s="2586"/>
      <c r="AK16" s="2586"/>
      <c r="AL16" s="2586"/>
      <c r="AM16" s="2586"/>
      <c r="AN16" s="2600"/>
      <c r="AO16" s="2602"/>
      <c r="AP16" s="2602"/>
      <c r="AQ16" s="2605"/>
    </row>
    <row r="17" spans="1:44" ht="43.5" customHeight="1" x14ac:dyDescent="0.2">
      <c r="A17" s="2609"/>
      <c r="B17" s="2521"/>
      <c r="C17" s="2523"/>
      <c r="D17" s="2078"/>
      <c r="E17" s="2079"/>
      <c r="F17" s="2080"/>
      <c r="G17" s="467"/>
      <c r="H17" s="985"/>
      <c r="I17" s="986"/>
      <c r="J17" s="2548"/>
      <c r="K17" s="2490"/>
      <c r="L17" s="2516"/>
      <c r="M17" s="2493"/>
      <c r="N17" s="2494"/>
      <c r="O17" s="2491"/>
      <c r="P17" s="2469"/>
      <c r="Q17" s="2581"/>
      <c r="R17" s="2584"/>
      <c r="S17" s="2490"/>
      <c r="T17" s="2490"/>
      <c r="U17" s="993" t="s">
        <v>793</v>
      </c>
      <c r="V17" s="918">
        <v>50000000</v>
      </c>
      <c r="W17" s="2589"/>
      <c r="X17" s="2592"/>
      <c r="Y17" s="2598"/>
      <c r="Z17" s="2595"/>
      <c r="AA17" s="2586"/>
      <c r="AB17" s="2586"/>
      <c r="AC17" s="2586"/>
      <c r="AD17" s="2586"/>
      <c r="AE17" s="2586"/>
      <c r="AF17" s="2586"/>
      <c r="AG17" s="2606"/>
      <c r="AH17" s="2586"/>
      <c r="AI17" s="2586"/>
      <c r="AJ17" s="2586"/>
      <c r="AK17" s="2586"/>
      <c r="AL17" s="2586"/>
      <c r="AM17" s="2586"/>
      <c r="AN17" s="2600"/>
      <c r="AO17" s="2602"/>
      <c r="AP17" s="2602"/>
      <c r="AQ17" s="2605"/>
    </row>
    <row r="18" spans="1:44" ht="44.25" customHeight="1" x14ac:dyDescent="0.2">
      <c r="A18" s="2609"/>
      <c r="B18" s="2521"/>
      <c r="C18" s="2523"/>
      <c r="D18" s="2078"/>
      <c r="E18" s="2079"/>
      <c r="F18" s="2080"/>
      <c r="G18" s="467"/>
      <c r="H18" s="985"/>
      <c r="I18" s="986"/>
      <c r="J18" s="2548">
        <v>217</v>
      </c>
      <c r="K18" s="2490" t="s">
        <v>794</v>
      </c>
      <c r="L18" s="2516" t="s">
        <v>795</v>
      </c>
      <c r="M18" s="2510">
        <v>5</v>
      </c>
      <c r="N18" s="994"/>
      <c r="O18" s="2491"/>
      <c r="P18" s="2469"/>
      <c r="Q18" s="2581">
        <f>(R18)/(R12+R14+R15+R18+R31)</f>
        <v>0.80248330241226495</v>
      </c>
      <c r="R18" s="2582">
        <f>SUM(V18:V30)</f>
        <v>4733235512.3800001</v>
      </c>
      <c r="S18" s="2490"/>
      <c r="T18" s="2490"/>
      <c r="U18" s="993" t="s">
        <v>796</v>
      </c>
      <c r="V18" s="995">
        <f>1130600000+960000000</f>
        <v>2090600000</v>
      </c>
      <c r="W18" s="2589"/>
      <c r="X18" s="2592"/>
      <c r="Y18" s="2598"/>
      <c r="Z18" s="2595"/>
      <c r="AA18" s="2586"/>
      <c r="AB18" s="2586"/>
      <c r="AC18" s="2586"/>
      <c r="AD18" s="2586"/>
      <c r="AE18" s="2586"/>
      <c r="AF18" s="2586"/>
      <c r="AG18" s="2606"/>
      <c r="AH18" s="2586"/>
      <c r="AI18" s="2586"/>
      <c r="AJ18" s="2586"/>
      <c r="AK18" s="2586"/>
      <c r="AL18" s="2586"/>
      <c r="AM18" s="2586"/>
      <c r="AN18" s="2600"/>
      <c r="AO18" s="2602"/>
      <c r="AP18" s="2602"/>
      <c r="AQ18" s="2605"/>
    </row>
    <row r="19" spans="1:44" ht="30" x14ac:dyDescent="0.2">
      <c r="A19" s="2609"/>
      <c r="B19" s="2521"/>
      <c r="C19" s="2523"/>
      <c r="D19" s="2078"/>
      <c r="E19" s="2079"/>
      <c r="F19" s="2080"/>
      <c r="G19" s="467"/>
      <c r="H19" s="985"/>
      <c r="I19" s="986"/>
      <c r="J19" s="2548"/>
      <c r="K19" s="2490"/>
      <c r="L19" s="2516"/>
      <c r="M19" s="2510"/>
      <c r="N19" s="994"/>
      <c r="O19" s="2491"/>
      <c r="P19" s="2469"/>
      <c r="Q19" s="2581"/>
      <c r="R19" s="2582"/>
      <c r="S19" s="2490"/>
      <c r="T19" s="2490"/>
      <c r="U19" s="993" t="s">
        <v>797</v>
      </c>
      <c r="V19" s="995">
        <f>300000000+450000000</f>
        <v>750000000</v>
      </c>
      <c r="W19" s="2589"/>
      <c r="X19" s="2592"/>
      <c r="Y19" s="2598"/>
      <c r="Z19" s="2595"/>
      <c r="AA19" s="2586"/>
      <c r="AB19" s="2586"/>
      <c r="AC19" s="2586"/>
      <c r="AD19" s="2586"/>
      <c r="AE19" s="2586"/>
      <c r="AF19" s="2586"/>
      <c r="AG19" s="2606"/>
      <c r="AH19" s="2586"/>
      <c r="AI19" s="2586"/>
      <c r="AJ19" s="2586"/>
      <c r="AK19" s="2586"/>
      <c r="AL19" s="2586"/>
      <c r="AM19" s="2586"/>
      <c r="AN19" s="2600"/>
      <c r="AO19" s="2602"/>
      <c r="AP19" s="2602"/>
      <c r="AQ19" s="2605"/>
    </row>
    <row r="20" spans="1:44" ht="36.75" customHeight="1" x14ac:dyDescent="0.2">
      <c r="A20" s="2609"/>
      <c r="B20" s="2521"/>
      <c r="C20" s="2523"/>
      <c r="D20" s="2078"/>
      <c r="E20" s="2079"/>
      <c r="F20" s="2080"/>
      <c r="G20" s="467"/>
      <c r="H20" s="985"/>
      <c r="I20" s="986"/>
      <c r="J20" s="2548"/>
      <c r="K20" s="2490"/>
      <c r="L20" s="2516"/>
      <c r="M20" s="2510"/>
      <c r="N20" s="994"/>
      <c r="O20" s="2491"/>
      <c r="P20" s="2469"/>
      <c r="Q20" s="2581"/>
      <c r="R20" s="2582"/>
      <c r="S20" s="2490"/>
      <c r="T20" s="2490"/>
      <c r="U20" s="993" t="s">
        <v>798</v>
      </c>
      <c r="V20" s="995">
        <f>80000000+45000000</f>
        <v>125000000</v>
      </c>
      <c r="W20" s="2589"/>
      <c r="X20" s="2592"/>
      <c r="Y20" s="2598"/>
      <c r="Z20" s="2595"/>
      <c r="AA20" s="2586"/>
      <c r="AB20" s="2586"/>
      <c r="AC20" s="2586"/>
      <c r="AD20" s="2586"/>
      <c r="AE20" s="2586"/>
      <c r="AF20" s="2586"/>
      <c r="AG20" s="2606"/>
      <c r="AH20" s="2586"/>
      <c r="AI20" s="2586"/>
      <c r="AJ20" s="2586"/>
      <c r="AK20" s="2586"/>
      <c r="AL20" s="2586"/>
      <c r="AM20" s="2586"/>
      <c r="AN20" s="2600"/>
      <c r="AO20" s="2602"/>
      <c r="AP20" s="2602"/>
      <c r="AQ20" s="2605"/>
    </row>
    <row r="21" spans="1:44" ht="39" customHeight="1" x14ac:dyDescent="0.2">
      <c r="A21" s="2609"/>
      <c r="B21" s="2521"/>
      <c r="C21" s="2523"/>
      <c r="D21" s="2078"/>
      <c r="E21" s="2079"/>
      <c r="F21" s="2080"/>
      <c r="G21" s="467"/>
      <c r="H21" s="985"/>
      <c r="I21" s="986"/>
      <c r="J21" s="2548"/>
      <c r="K21" s="2490"/>
      <c r="L21" s="2516"/>
      <c r="M21" s="2510"/>
      <c r="N21" s="994"/>
      <c r="O21" s="2491"/>
      <c r="P21" s="2469"/>
      <c r="Q21" s="2581"/>
      <c r="R21" s="2582"/>
      <c r="S21" s="2490"/>
      <c r="T21" s="2490"/>
      <c r="U21" s="993" t="s">
        <v>799</v>
      </c>
      <c r="V21" s="995">
        <v>2000000</v>
      </c>
      <c r="W21" s="2589"/>
      <c r="X21" s="2592"/>
      <c r="Y21" s="2598"/>
      <c r="Z21" s="2595"/>
      <c r="AA21" s="2586"/>
      <c r="AB21" s="2586"/>
      <c r="AC21" s="2586"/>
      <c r="AD21" s="2586"/>
      <c r="AE21" s="2586"/>
      <c r="AF21" s="2586"/>
      <c r="AG21" s="2606"/>
      <c r="AH21" s="2586"/>
      <c r="AI21" s="2586"/>
      <c r="AJ21" s="2586"/>
      <c r="AK21" s="2586"/>
      <c r="AL21" s="2586"/>
      <c r="AM21" s="2586"/>
      <c r="AN21" s="2600"/>
      <c r="AO21" s="2602"/>
      <c r="AP21" s="2602"/>
      <c r="AQ21" s="2605"/>
    </row>
    <row r="22" spans="1:44" ht="45" x14ac:dyDescent="0.2">
      <c r="A22" s="2609"/>
      <c r="B22" s="2521"/>
      <c r="C22" s="2523"/>
      <c r="D22" s="2078"/>
      <c r="E22" s="2079"/>
      <c r="F22" s="2080"/>
      <c r="G22" s="467"/>
      <c r="H22" s="985"/>
      <c r="I22" s="986"/>
      <c r="J22" s="2548"/>
      <c r="K22" s="2490"/>
      <c r="L22" s="2516"/>
      <c r="M22" s="2510"/>
      <c r="N22" s="994" t="s">
        <v>800</v>
      </c>
      <c r="O22" s="2491"/>
      <c r="P22" s="2469"/>
      <c r="Q22" s="2581"/>
      <c r="R22" s="2582"/>
      <c r="S22" s="2490"/>
      <c r="T22" s="2490"/>
      <c r="U22" s="993" t="s">
        <v>801</v>
      </c>
      <c r="V22" s="995">
        <f>40000000+864000000</f>
        <v>904000000</v>
      </c>
      <c r="W22" s="2589"/>
      <c r="X22" s="2592"/>
      <c r="Y22" s="2598"/>
      <c r="Z22" s="2595"/>
      <c r="AA22" s="2586"/>
      <c r="AB22" s="2586"/>
      <c r="AC22" s="2586"/>
      <c r="AD22" s="2586"/>
      <c r="AE22" s="2586"/>
      <c r="AF22" s="2586"/>
      <c r="AG22" s="2606"/>
      <c r="AH22" s="2586"/>
      <c r="AI22" s="2586"/>
      <c r="AJ22" s="2586"/>
      <c r="AK22" s="2586"/>
      <c r="AL22" s="2586"/>
      <c r="AM22" s="2586"/>
      <c r="AN22" s="2600"/>
      <c r="AO22" s="2602"/>
      <c r="AP22" s="2602"/>
      <c r="AQ22" s="2605"/>
    </row>
    <row r="23" spans="1:44" ht="33.75" customHeight="1" x14ac:dyDescent="0.2">
      <c r="A23" s="2609"/>
      <c r="B23" s="2521"/>
      <c r="C23" s="2523"/>
      <c r="D23" s="2078"/>
      <c r="E23" s="2079"/>
      <c r="F23" s="2080"/>
      <c r="G23" s="467"/>
      <c r="H23" s="985"/>
      <c r="I23" s="986"/>
      <c r="J23" s="2548"/>
      <c r="K23" s="2490"/>
      <c r="L23" s="2516"/>
      <c r="M23" s="2510"/>
      <c r="N23" s="996"/>
      <c r="O23" s="2491"/>
      <c r="P23" s="2469"/>
      <c r="Q23" s="2581"/>
      <c r="R23" s="2582"/>
      <c r="S23" s="2490"/>
      <c r="T23" s="2490"/>
      <c r="U23" s="993" t="s">
        <v>802</v>
      </c>
      <c r="V23" s="995">
        <f>90000000+10000000</f>
        <v>100000000</v>
      </c>
      <c r="W23" s="2589"/>
      <c r="X23" s="2592"/>
      <c r="Y23" s="2598"/>
      <c r="Z23" s="2595"/>
      <c r="AA23" s="2586"/>
      <c r="AB23" s="2586"/>
      <c r="AC23" s="2586"/>
      <c r="AD23" s="2586"/>
      <c r="AE23" s="2586"/>
      <c r="AF23" s="2586"/>
      <c r="AG23" s="2606"/>
      <c r="AH23" s="2586"/>
      <c r="AI23" s="2586"/>
      <c r="AJ23" s="2586"/>
      <c r="AK23" s="2586"/>
      <c r="AL23" s="2586"/>
      <c r="AM23" s="2586"/>
      <c r="AN23" s="2600"/>
      <c r="AO23" s="2602"/>
      <c r="AP23" s="2602"/>
      <c r="AQ23" s="2605"/>
    </row>
    <row r="24" spans="1:44" ht="87" customHeight="1" x14ac:dyDescent="0.2">
      <c r="A24" s="2609"/>
      <c r="B24" s="2521"/>
      <c r="C24" s="2523"/>
      <c r="D24" s="2078"/>
      <c r="E24" s="2079"/>
      <c r="F24" s="2080"/>
      <c r="G24" s="467"/>
      <c r="H24" s="985"/>
      <c r="I24" s="986"/>
      <c r="J24" s="2548"/>
      <c r="K24" s="2490"/>
      <c r="L24" s="2516"/>
      <c r="M24" s="2510"/>
      <c r="N24" s="994" t="s">
        <v>803</v>
      </c>
      <c r="O24" s="2491"/>
      <c r="P24" s="2469"/>
      <c r="Q24" s="2581"/>
      <c r="R24" s="2582"/>
      <c r="S24" s="2490"/>
      <c r="T24" s="2490"/>
      <c r="U24" s="993" t="s">
        <v>804</v>
      </c>
      <c r="V24" s="995">
        <f>10000000+181000000</f>
        <v>191000000</v>
      </c>
      <c r="W24" s="2589"/>
      <c r="X24" s="2592"/>
      <c r="Y24" s="2598"/>
      <c r="Z24" s="2595"/>
      <c r="AA24" s="2586"/>
      <c r="AB24" s="2586"/>
      <c r="AC24" s="2586"/>
      <c r="AD24" s="2586"/>
      <c r="AE24" s="2586"/>
      <c r="AF24" s="2586"/>
      <c r="AG24" s="2606"/>
      <c r="AH24" s="2586"/>
      <c r="AI24" s="2586"/>
      <c r="AJ24" s="2586"/>
      <c r="AK24" s="2586"/>
      <c r="AL24" s="2586"/>
      <c r="AM24" s="2586"/>
      <c r="AN24" s="2600"/>
      <c r="AO24" s="2602"/>
      <c r="AP24" s="2602"/>
      <c r="AQ24" s="2605"/>
    </row>
    <row r="25" spans="1:44" ht="73.5" customHeight="1" x14ac:dyDescent="0.2">
      <c r="A25" s="2609"/>
      <c r="B25" s="2521"/>
      <c r="C25" s="2523"/>
      <c r="D25" s="2078"/>
      <c r="E25" s="2079"/>
      <c r="F25" s="2080"/>
      <c r="G25" s="467"/>
      <c r="H25" s="985"/>
      <c r="I25" s="986"/>
      <c r="J25" s="2548"/>
      <c r="K25" s="2490"/>
      <c r="L25" s="2516"/>
      <c r="M25" s="2510"/>
      <c r="N25" s="996" t="s">
        <v>805</v>
      </c>
      <c r="O25" s="2491"/>
      <c r="P25" s="2469"/>
      <c r="Q25" s="2581"/>
      <c r="R25" s="2582"/>
      <c r="S25" s="2490"/>
      <c r="T25" s="2490"/>
      <c r="U25" s="993" t="s">
        <v>806</v>
      </c>
      <c r="V25" s="995">
        <f>28800000+17182532.38</f>
        <v>45982532.379999995</v>
      </c>
      <c r="W25" s="2589"/>
      <c r="X25" s="2592"/>
      <c r="Y25" s="2598"/>
      <c r="Z25" s="2595"/>
      <c r="AA25" s="2586"/>
      <c r="AB25" s="2586"/>
      <c r="AC25" s="2586"/>
      <c r="AD25" s="2586"/>
      <c r="AE25" s="2586"/>
      <c r="AF25" s="2586"/>
      <c r="AG25" s="2606"/>
      <c r="AH25" s="2586"/>
      <c r="AI25" s="2586"/>
      <c r="AJ25" s="2586"/>
      <c r="AK25" s="2586"/>
      <c r="AL25" s="2586"/>
      <c r="AM25" s="2586"/>
      <c r="AN25" s="2600"/>
      <c r="AO25" s="2602"/>
      <c r="AP25" s="2602"/>
      <c r="AQ25" s="2605"/>
    </row>
    <row r="26" spans="1:44" ht="45.75" customHeight="1" x14ac:dyDescent="0.2">
      <c r="A26" s="2609"/>
      <c r="B26" s="2521"/>
      <c r="C26" s="2523"/>
      <c r="D26" s="2078"/>
      <c r="E26" s="2079"/>
      <c r="F26" s="2080"/>
      <c r="G26" s="467"/>
      <c r="H26" s="985"/>
      <c r="I26" s="986"/>
      <c r="J26" s="2548"/>
      <c r="K26" s="2490"/>
      <c r="L26" s="2516"/>
      <c r="M26" s="2510"/>
      <c r="N26" s="996"/>
      <c r="O26" s="2491"/>
      <c r="P26" s="2469"/>
      <c r="Q26" s="2581"/>
      <c r="R26" s="2582"/>
      <c r="S26" s="2490"/>
      <c r="T26" s="2490"/>
      <c r="U26" s="993" t="s">
        <v>807</v>
      </c>
      <c r="V26" s="995">
        <f>6000000+14300000</f>
        <v>20300000</v>
      </c>
      <c r="W26" s="2589"/>
      <c r="X26" s="2592"/>
      <c r="Y26" s="2598"/>
      <c r="Z26" s="2595"/>
      <c r="AA26" s="2586"/>
      <c r="AB26" s="2586"/>
      <c r="AC26" s="2586"/>
      <c r="AD26" s="2586"/>
      <c r="AE26" s="2586"/>
      <c r="AF26" s="2586"/>
      <c r="AG26" s="2606"/>
      <c r="AH26" s="2586"/>
      <c r="AI26" s="2586"/>
      <c r="AJ26" s="2586"/>
      <c r="AK26" s="2586"/>
      <c r="AL26" s="2586"/>
      <c r="AM26" s="2586"/>
      <c r="AN26" s="2600"/>
      <c r="AO26" s="2602"/>
      <c r="AP26" s="2602"/>
      <c r="AQ26" s="2605"/>
    </row>
    <row r="27" spans="1:44" ht="72.75" customHeight="1" x14ac:dyDescent="0.2">
      <c r="A27" s="2609"/>
      <c r="B27" s="2521"/>
      <c r="C27" s="2523"/>
      <c r="D27" s="2078"/>
      <c r="E27" s="2079"/>
      <c r="F27" s="2080"/>
      <c r="G27" s="467"/>
      <c r="H27" s="985"/>
      <c r="I27" s="986"/>
      <c r="J27" s="2548"/>
      <c r="K27" s="2490"/>
      <c r="L27" s="2516"/>
      <c r="M27" s="2510"/>
      <c r="N27" s="996"/>
      <c r="O27" s="2491"/>
      <c r="P27" s="2469"/>
      <c r="Q27" s="2581"/>
      <c r="R27" s="2582"/>
      <c r="S27" s="2490"/>
      <c r="T27" s="2490"/>
      <c r="U27" s="913" t="s">
        <v>808</v>
      </c>
      <c r="V27" s="995">
        <f>6000000+32340000</f>
        <v>38340000</v>
      </c>
      <c r="W27" s="2589"/>
      <c r="X27" s="2592"/>
      <c r="Y27" s="2598"/>
      <c r="Z27" s="2595"/>
      <c r="AA27" s="2586"/>
      <c r="AB27" s="2586"/>
      <c r="AC27" s="2586"/>
      <c r="AD27" s="2586"/>
      <c r="AE27" s="2586"/>
      <c r="AF27" s="2586"/>
      <c r="AG27" s="2606"/>
      <c r="AH27" s="2586"/>
      <c r="AI27" s="2586"/>
      <c r="AJ27" s="2586"/>
      <c r="AK27" s="2586"/>
      <c r="AL27" s="2586"/>
      <c r="AM27" s="2586"/>
      <c r="AN27" s="2600"/>
      <c r="AO27" s="2602"/>
      <c r="AP27" s="2602"/>
      <c r="AQ27" s="2605"/>
    </row>
    <row r="28" spans="1:44" ht="36.75" customHeight="1" x14ac:dyDescent="0.2">
      <c r="A28" s="2609"/>
      <c r="B28" s="2521"/>
      <c r="C28" s="2523"/>
      <c r="D28" s="2078"/>
      <c r="E28" s="2079"/>
      <c r="F28" s="2080"/>
      <c r="G28" s="467"/>
      <c r="H28" s="985"/>
      <c r="I28" s="986"/>
      <c r="J28" s="2548"/>
      <c r="K28" s="2490"/>
      <c r="L28" s="2516"/>
      <c r="M28" s="2510"/>
      <c r="N28" s="996"/>
      <c r="O28" s="2491"/>
      <c r="P28" s="2469"/>
      <c r="Q28" s="2581"/>
      <c r="R28" s="2582"/>
      <c r="S28" s="2490"/>
      <c r="T28" s="2490"/>
      <c r="U28" s="913" t="s">
        <v>809</v>
      </c>
      <c r="V28" s="995">
        <v>80000000</v>
      </c>
      <c r="W28" s="2589"/>
      <c r="X28" s="2592"/>
      <c r="Y28" s="2598"/>
      <c r="Z28" s="2595"/>
      <c r="AA28" s="2586"/>
      <c r="AB28" s="2586"/>
      <c r="AC28" s="2586"/>
      <c r="AD28" s="2586"/>
      <c r="AE28" s="2586"/>
      <c r="AF28" s="2586"/>
      <c r="AG28" s="2606"/>
      <c r="AH28" s="2586"/>
      <c r="AI28" s="2586"/>
      <c r="AJ28" s="2586"/>
      <c r="AK28" s="2586"/>
      <c r="AL28" s="2586"/>
      <c r="AM28" s="2586"/>
      <c r="AN28" s="2600"/>
      <c r="AO28" s="2602"/>
      <c r="AP28" s="2602"/>
      <c r="AQ28" s="2605"/>
    </row>
    <row r="29" spans="1:44" ht="45.75" customHeight="1" x14ac:dyDescent="0.2">
      <c r="A29" s="2609"/>
      <c r="B29" s="2521"/>
      <c r="C29" s="2523"/>
      <c r="D29" s="2078"/>
      <c r="E29" s="2079"/>
      <c r="F29" s="2080"/>
      <c r="G29" s="467"/>
      <c r="H29" s="985"/>
      <c r="I29" s="986"/>
      <c r="J29" s="2548"/>
      <c r="K29" s="2490"/>
      <c r="L29" s="2516"/>
      <c r="M29" s="2510"/>
      <c r="N29" s="996"/>
      <c r="O29" s="2491"/>
      <c r="P29" s="2469"/>
      <c r="Q29" s="2581"/>
      <c r="R29" s="2582"/>
      <c r="S29" s="2490"/>
      <c r="T29" s="2490"/>
      <c r="U29" s="913" t="s">
        <v>810</v>
      </c>
      <c r="V29" s="995">
        <v>198000000</v>
      </c>
      <c r="W29" s="2589"/>
      <c r="X29" s="2592"/>
      <c r="Y29" s="2598"/>
      <c r="Z29" s="2595"/>
      <c r="AA29" s="2586"/>
      <c r="AB29" s="2586"/>
      <c r="AC29" s="2586"/>
      <c r="AD29" s="2586"/>
      <c r="AE29" s="2586"/>
      <c r="AF29" s="2586"/>
      <c r="AG29" s="2606"/>
      <c r="AH29" s="2586"/>
      <c r="AI29" s="2586"/>
      <c r="AJ29" s="2586"/>
      <c r="AK29" s="2586"/>
      <c r="AL29" s="2586"/>
      <c r="AM29" s="2586"/>
      <c r="AN29" s="2600"/>
      <c r="AO29" s="2602"/>
      <c r="AP29" s="2602"/>
      <c r="AQ29" s="2605"/>
    </row>
    <row r="30" spans="1:44" ht="44.25" customHeight="1" x14ac:dyDescent="0.2">
      <c r="A30" s="2609"/>
      <c r="B30" s="2521"/>
      <c r="C30" s="2523"/>
      <c r="D30" s="2078"/>
      <c r="E30" s="2079"/>
      <c r="F30" s="2080"/>
      <c r="G30" s="467"/>
      <c r="H30" s="985"/>
      <c r="I30" s="986"/>
      <c r="J30" s="2548"/>
      <c r="K30" s="2490"/>
      <c r="L30" s="2516"/>
      <c r="M30" s="2510"/>
      <c r="N30" s="996"/>
      <c r="O30" s="2491"/>
      <c r="P30" s="2469"/>
      <c r="Q30" s="2581"/>
      <c r="R30" s="2582"/>
      <c r="S30" s="2490"/>
      <c r="T30" s="2490"/>
      <c r="U30" s="913" t="s">
        <v>811</v>
      </c>
      <c r="V30" s="995">
        <v>188012980</v>
      </c>
      <c r="W30" s="2589"/>
      <c r="X30" s="2592"/>
      <c r="Y30" s="2598"/>
      <c r="Z30" s="2595"/>
      <c r="AA30" s="2586"/>
      <c r="AB30" s="2586"/>
      <c r="AC30" s="2586"/>
      <c r="AD30" s="2586"/>
      <c r="AE30" s="2586"/>
      <c r="AF30" s="2586"/>
      <c r="AG30" s="2606"/>
      <c r="AH30" s="2586"/>
      <c r="AI30" s="2586"/>
      <c r="AJ30" s="2586"/>
      <c r="AK30" s="2586"/>
      <c r="AL30" s="2586"/>
      <c r="AM30" s="2586"/>
      <c r="AN30" s="2600"/>
      <c r="AO30" s="2602"/>
      <c r="AP30" s="2602"/>
      <c r="AQ30" s="2605"/>
    </row>
    <row r="31" spans="1:44" ht="57.75" customHeight="1" x14ac:dyDescent="0.2">
      <c r="A31" s="2609"/>
      <c r="B31" s="2521"/>
      <c r="C31" s="2523"/>
      <c r="D31" s="2078"/>
      <c r="E31" s="2079"/>
      <c r="F31" s="2080"/>
      <c r="G31" s="467"/>
      <c r="H31" s="985"/>
      <c r="I31" s="986"/>
      <c r="J31" s="2548">
        <v>218</v>
      </c>
      <c r="K31" s="2490" t="s">
        <v>812</v>
      </c>
      <c r="L31" s="2516" t="s">
        <v>813</v>
      </c>
      <c r="M31" s="2510">
        <v>3</v>
      </c>
      <c r="N31" s="996"/>
      <c r="O31" s="2491"/>
      <c r="P31" s="2469"/>
      <c r="Q31" s="2581">
        <f>(R31)/(R12+R14+R15+R18+R31)</f>
        <v>4.4080979719151168E-2</v>
      </c>
      <c r="R31" s="2584">
        <f>SUM(V31:V32)</f>
        <v>260000000</v>
      </c>
      <c r="S31" s="2490"/>
      <c r="T31" s="2490"/>
      <c r="U31" s="988" t="s">
        <v>814</v>
      </c>
      <c r="V31" s="997">
        <v>251000000</v>
      </c>
      <c r="W31" s="2589"/>
      <c r="X31" s="2592"/>
      <c r="Y31" s="2598"/>
      <c r="Z31" s="2595"/>
      <c r="AA31" s="2586"/>
      <c r="AB31" s="2586"/>
      <c r="AC31" s="2586"/>
      <c r="AD31" s="2586"/>
      <c r="AE31" s="2586"/>
      <c r="AF31" s="2586"/>
      <c r="AG31" s="2606"/>
      <c r="AH31" s="2586"/>
      <c r="AI31" s="2586"/>
      <c r="AJ31" s="2586"/>
      <c r="AK31" s="2586"/>
      <c r="AL31" s="2586"/>
      <c r="AM31" s="2586"/>
      <c r="AN31" s="2600"/>
      <c r="AO31" s="2602"/>
      <c r="AP31" s="2602"/>
      <c r="AQ31" s="2605"/>
      <c r="AR31" s="898"/>
    </row>
    <row r="32" spans="1:44" ht="67.5" customHeight="1" x14ac:dyDescent="0.2">
      <c r="A32" s="2609"/>
      <c r="B32" s="2521"/>
      <c r="C32" s="2523"/>
      <c r="D32" s="2078"/>
      <c r="E32" s="2079"/>
      <c r="F32" s="2080"/>
      <c r="G32" s="467"/>
      <c r="H32" s="998"/>
      <c r="I32" s="999"/>
      <c r="J32" s="2548"/>
      <c r="K32" s="2490"/>
      <c r="L32" s="2516"/>
      <c r="M32" s="2510"/>
      <c r="N32" s="996"/>
      <c r="O32" s="2491"/>
      <c r="P32" s="2469"/>
      <c r="Q32" s="2581"/>
      <c r="R32" s="2584"/>
      <c r="S32" s="2490"/>
      <c r="T32" s="2490"/>
      <c r="U32" s="993" t="s">
        <v>815</v>
      </c>
      <c r="V32" s="997">
        <v>9000000</v>
      </c>
      <c r="W32" s="2590"/>
      <c r="X32" s="2593"/>
      <c r="Y32" s="2599"/>
      <c r="Z32" s="2596"/>
      <c r="AA32" s="2586"/>
      <c r="AB32" s="2586"/>
      <c r="AC32" s="2586"/>
      <c r="AD32" s="2586"/>
      <c r="AE32" s="2586"/>
      <c r="AF32" s="2586"/>
      <c r="AG32" s="2607"/>
      <c r="AH32" s="2586"/>
      <c r="AI32" s="2586"/>
      <c r="AJ32" s="2586"/>
      <c r="AK32" s="2586"/>
      <c r="AL32" s="2586"/>
      <c r="AM32" s="2586"/>
      <c r="AN32" s="2068"/>
      <c r="AO32" s="2603"/>
      <c r="AP32" s="2603"/>
      <c r="AQ32" s="2605"/>
    </row>
    <row r="33" spans="1:43" s="467" customFormat="1" ht="17.25" customHeight="1" x14ac:dyDescent="0.2">
      <c r="A33" s="2609"/>
      <c r="B33" s="2521"/>
      <c r="C33" s="2523"/>
      <c r="D33" s="2078"/>
      <c r="E33" s="2079"/>
      <c r="F33" s="2080"/>
      <c r="G33" s="975">
        <v>76</v>
      </c>
      <c r="H33" s="399" t="s">
        <v>816</v>
      </c>
      <c r="I33" s="399"/>
      <c r="J33" s="1000"/>
      <c r="K33" s="1001"/>
      <c r="L33" s="1002"/>
      <c r="M33" s="1003"/>
      <c r="N33" s="978"/>
      <c r="O33" s="979"/>
      <c r="P33" s="400"/>
      <c r="Q33" s="1004"/>
      <c r="R33" s="1005"/>
      <c r="S33" s="1002"/>
      <c r="T33" s="1001"/>
      <c r="U33" s="1001"/>
      <c r="V33" s="1006"/>
      <c r="W33" s="1006"/>
      <c r="X33" s="1007"/>
      <c r="Y33" s="399"/>
      <c r="Z33" s="399"/>
      <c r="AA33" s="399"/>
      <c r="AB33" s="399"/>
      <c r="AC33" s="399"/>
      <c r="AD33" s="399"/>
      <c r="AE33" s="399"/>
      <c r="AF33" s="399"/>
      <c r="AG33" s="399"/>
      <c r="AH33" s="399"/>
      <c r="AI33" s="399"/>
      <c r="AJ33" s="399"/>
      <c r="AK33" s="406"/>
      <c r="AL33" s="406"/>
      <c r="AM33" s="406"/>
      <c r="AN33" s="406"/>
      <c r="AO33" s="406"/>
      <c r="AP33" s="406"/>
      <c r="AQ33" s="406"/>
    </row>
    <row r="34" spans="1:43" ht="147" customHeight="1" x14ac:dyDescent="0.2">
      <c r="A34" s="2609"/>
      <c r="B34" s="2521"/>
      <c r="C34" s="2523"/>
      <c r="D34" s="2078"/>
      <c r="E34" s="2079"/>
      <c r="F34" s="2080"/>
      <c r="G34" s="467"/>
      <c r="H34" s="984"/>
      <c r="I34" s="833"/>
      <c r="J34" s="1008">
        <v>219</v>
      </c>
      <c r="K34" s="988" t="s">
        <v>817</v>
      </c>
      <c r="L34" s="988" t="s">
        <v>818</v>
      </c>
      <c r="M34" s="1009">
        <v>11</v>
      </c>
      <c r="N34" s="994"/>
      <c r="O34" s="2575" t="s">
        <v>819</v>
      </c>
      <c r="P34" s="2536" t="s">
        <v>820</v>
      </c>
      <c r="Q34" s="919">
        <f>(R34)/(R34+R35+R44+R40)</f>
        <v>0.37690336197798885</v>
      </c>
      <c r="R34" s="549">
        <f>SUM(V34:V34)</f>
        <v>500000000</v>
      </c>
      <c r="S34" s="2490" t="s">
        <v>821</v>
      </c>
      <c r="T34" s="2490" t="s">
        <v>822</v>
      </c>
      <c r="U34" s="993" t="s">
        <v>823</v>
      </c>
      <c r="V34" s="420">
        <f>250000000+250000000</f>
        <v>500000000</v>
      </c>
      <c r="W34" s="2576" t="s">
        <v>783</v>
      </c>
      <c r="X34" s="2532" t="s">
        <v>824</v>
      </c>
      <c r="Y34" s="2566">
        <v>5173</v>
      </c>
      <c r="Z34" s="2569">
        <v>5075</v>
      </c>
      <c r="AA34" s="2572">
        <v>2519</v>
      </c>
      <c r="AB34" s="2572">
        <v>507</v>
      </c>
      <c r="AC34" s="2572">
        <v>5801</v>
      </c>
      <c r="AD34" s="2572">
        <v>1421</v>
      </c>
      <c r="AE34" s="2561"/>
      <c r="AF34" s="2561"/>
      <c r="AG34" s="2561"/>
      <c r="AH34" s="2561"/>
      <c r="AI34" s="2561"/>
      <c r="AJ34" s="2561"/>
      <c r="AK34" s="2561"/>
      <c r="AL34" s="2561"/>
      <c r="AM34" s="2561"/>
      <c r="AN34" s="2564">
        <v>10248</v>
      </c>
      <c r="AO34" s="2463">
        <v>43110</v>
      </c>
      <c r="AP34" s="2463">
        <v>43454</v>
      </c>
      <c r="AQ34" s="2557" t="s">
        <v>785</v>
      </c>
    </row>
    <row r="35" spans="1:43" ht="40.5" customHeight="1" x14ac:dyDescent="0.2">
      <c r="A35" s="2609"/>
      <c r="B35" s="2521"/>
      <c r="C35" s="2523"/>
      <c r="D35" s="2078"/>
      <c r="E35" s="2079"/>
      <c r="F35" s="2080"/>
      <c r="G35" s="467"/>
      <c r="H35" s="985"/>
      <c r="I35" s="986"/>
      <c r="J35" s="2529">
        <v>220</v>
      </c>
      <c r="K35" s="2490" t="s">
        <v>825</v>
      </c>
      <c r="L35" s="2490" t="s">
        <v>826</v>
      </c>
      <c r="M35" s="2556">
        <v>12</v>
      </c>
      <c r="N35" s="996"/>
      <c r="O35" s="2491"/>
      <c r="P35" s="2469"/>
      <c r="Q35" s="2342">
        <f>(R35)/(R34+R35+R40+R44)</f>
        <v>0.57289311020654299</v>
      </c>
      <c r="R35" s="2542">
        <f>SUM(V35:V39)</f>
        <v>760000000</v>
      </c>
      <c r="S35" s="2490"/>
      <c r="T35" s="2490"/>
      <c r="U35" s="2560" t="s">
        <v>827</v>
      </c>
      <c r="V35" s="2552">
        <f>157000000+120000000</f>
        <v>277000000</v>
      </c>
      <c r="W35" s="2577"/>
      <c r="X35" s="2533"/>
      <c r="Y35" s="2567"/>
      <c r="Z35" s="2570"/>
      <c r="AA35" s="2573"/>
      <c r="AB35" s="2573"/>
      <c r="AC35" s="2573"/>
      <c r="AD35" s="2573"/>
      <c r="AE35" s="2562"/>
      <c r="AF35" s="2562"/>
      <c r="AG35" s="2562"/>
      <c r="AH35" s="2562"/>
      <c r="AI35" s="2562"/>
      <c r="AJ35" s="2562"/>
      <c r="AK35" s="2562"/>
      <c r="AL35" s="2562"/>
      <c r="AM35" s="2562"/>
      <c r="AN35" s="2565"/>
      <c r="AO35" s="2464"/>
      <c r="AP35" s="2464"/>
      <c r="AQ35" s="2558"/>
    </row>
    <row r="36" spans="1:43" ht="25.5" customHeight="1" x14ac:dyDescent="0.2">
      <c r="A36" s="2609"/>
      <c r="B36" s="2521"/>
      <c r="C36" s="2523"/>
      <c r="D36" s="2078"/>
      <c r="E36" s="2079"/>
      <c r="F36" s="2080"/>
      <c r="G36" s="467"/>
      <c r="H36" s="985"/>
      <c r="I36" s="986"/>
      <c r="J36" s="2529"/>
      <c r="K36" s="2490"/>
      <c r="L36" s="2490"/>
      <c r="M36" s="2556"/>
      <c r="N36" s="996"/>
      <c r="O36" s="2491"/>
      <c r="P36" s="2469"/>
      <c r="Q36" s="2342"/>
      <c r="R36" s="2542"/>
      <c r="S36" s="2490"/>
      <c r="T36" s="2490"/>
      <c r="U36" s="2560"/>
      <c r="V36" s="2552"/>
      <c r="W36" s="2577"/>
      <c r="X36" s="2533"/>
      <c r="Y36" s="2567"/>
      <c r="Z36" s="2570"/>
      <c r="AA36" s="2573"/>
      <c r="AB36" s="2573"/>
      <c r="AC36" s="2573"/>
      <c r="AD36" s="2573"/>
      <c r="AE36" s="2562"/>
      <c r="AF36" s="2562"/>
      <c r="AG36" s="2562"/>
      <c r="AH36" s="2562"/>
      <c r="AI36" s="2562"/>
      <c r="AJ36" s="2562"/>
      <c r="AK36" s="2562"/>
      <c r="AL36" s="2562"/>
      <c r="AM36" s="2562"/>
      <c r="AN36" s="2565"/>
      <c r="AO36" s="2464"/>
      <c r="AP36" s="2464"/>
      <c r="AQ36" s="2558"/>
    </row>
    <row r="37" spans="1:43" ht="69.75" customHeight="1" x14ac:dyDescent="0.2">
      <c r="A37" s="2609"/>
      <c r="B37" s="2521"/>
      <c r="C37" s="2523"/>
      <c r="D37" s="2078"/>
      <c r="E37" s="2079"/>
      <c r="F37" s="2080"/>
      <c r="G37" s="467"/>
      <c r="H37" s="985"/>
      <c r="I37" s="986"/>
      <c r="J37" s="2529"/>
      <c r="K37" s="2490"/>
      <c r="L37" s="2490"/>
      <c r="M37" s="2556"/>
      <c r="N37" s="994" t="s">
        <v>828</v>
      </c>
      <c r="O37" s="2491"/>
      <c r="P37" s="2469"/>
      <c r="Q37" s="2342"/>
      <c r="R37" s="2542"/>
      <c r="S37" s="2490"/>
      <c r="T37" s="2490"/>
      <c r="U37" s="993" t="s">
        <v>829</v>
      </c>
      <c r="V37" s="420">
        <f>138000000+125000000</f>
        <v>263000000</v>
      </c>
      <c r="W37" s="2577"/>
      <c r="X37" s="2533"/>
      <c r="Y37" s="2567"/>
      <c r="Z37" s="2570"/>
      <c r="AA37" s="2573"/>
      <c r="AB37" s="2573"/>
      <c r="AC37" s="2573"/>
      <c r="AD37" s="2573"/>
      <c r="AE37" s="2562"/>
      <c r="AF37" s="2562"/>
      <c r="AG37" s="2562"/>
      <c r="AH37" s="2562"/>
      <c r="AI37" s="2562"/>
      <c r="AJ37" s="2562"/>
      <c r="AK37" s="2562"/>
      <c r="AL37" s="2562"/>
      <c r="AM37" s="2562"/>
      <c r="AN37" s="2565"/>
      <c r="AO37" s="2464"/>
      <c r="AP37" s="2464"/>
      <c r="AQ37" s="2558"/>
    </row>
    <row r="38" spans="1:43" ht="45" x14ac:dyDescent="0.2">
      <c r="A38" s="2609"/>
      <c r="B38" s="2521"/>
      <c r="C38" s="2523"/>
      <c r="D38" s="2078"/>
      <c r="E38" s="2079"/>
      <c r="F38" s="2080"/>
      <c r="G38" s="467"/>
      <c r="H38" s="985"/>
      <c r="I38" s="986"/>
      <c r="J38" s="2529"/>
      <c r="K38" s="2490"/>
      <c r="L38" s="2490"/>
      <c r="M38" s="2556"/>
      <c r="N38" s="996" t="s">
        <v>830</v>
      </c>
      <c r="O38" s="2491"/>
      <c r="P38" s="2469"/>
      <c r="Q38" s="2342"/>
      <c r="R38" s="2542"/>
      <c r="S38" s="2490"/>
      <c r="T38" s="2490"/>
      <c r="U38" s="993" t="s">
        <v>831</v>
      </c>
      <c r="V38" s="420">
        <f>120000000+85000000</f>
        <v>205000000</v>
      </c>
      <c r="W38" s="2577"/>
      <c r="X38" s="2533"/>
      <c r="Y38" s="2567"/>
      <c r="Z38" s="2570"/>
      <c r="AA38" s="2573"/>
      <c r="AB38" s="2573"/>
      <c r="AC38" s="2573"/>
      <c r="AD38" s="2573"/>
      <c r="AE38" s="2562"/>
      <c r="AF38" s="2562"/>
      <c r="AG38" s="2562"/>
      <c r="AH38" s="2562"/>
      <c r="AI38" s="2562"/>
      <c r="AJ38" s="2562"/>
      <c r="AK38" s="2562"/>
      <c r="AL38" s="2562"/>
      <c r="AM38" s="2562"/>
      <c r="AN38" s="2565"/>
      <c r="AO38" s="2464"/>
      <c r="AP38" s="2464"/>
      <c r="AQ38" s="2558"/>
    </row>
    <row r="39" spans="1:43" ht="40.5" customHeight="1" x14ac:dyDescent="0.2">
      <c r="A39" s="2609"/>
      <c r="B39" s="2521"/>
      <c r="C39" s="2523"/>
      <c r="D39" s="2078"/>
      <c r="E39" s="2079"/>
      <c r="F39" s="2080"/>
      <c r="G39" s="467"/>
      <c r="H39" s="985"/>
      <c r="I39" s="986"/>
      <c r="J39" s="2529"/>
      <c r="K39" s="2490"/>
      <c r="L39" s="2490"/>
      <c r="M39" s="2556"/>
      <c r="N39" s="996" t="s">
        <v>832</v>
      </c>
      <c r="O39" s="2491"/>
      <c r="P39" s="2469"/>
      <c r="Q39" s="2342"/>
      <c r="R39" s="2542"/>
      <c r="S39" s="2490"/>
      <c r="T39" s="2490"/>
      <c r="U39" s="993" t="s">
        <v>833</v>
      </c>
      <c r="V39" s="420">
        <v>15000000</v>
      </c>
      <c r="W39" s="2577"/>
      <c r="X39" s="2533"/>
      <c r="Y39" s="2567"/>
      <c r="Z39" s="2570"/>
      <c r="AA39" s="2573"/>
      <c r="AB39" s="2573"/>
      <c r="AC39" s="2573"/>
      <c r="AD39" s="2573"/>
      <c r="AE39" s="2562"/>
      <c r="AF39" s="2562"/>
      <c r="AG39" s="2562"/>
      <c r="AH39" s="2562"/>
      <c r="AI39" s="2562"/>
      <c r="AJ39" s="2562"/>
      <c r="AK39" s="2562"/>
      <c r="AL39" s="2562"/>
      <c r="AM39" s="2562"/>
      <c r="AN39" s="2565"/>
      <c r="AO39" s="2464"/>
      <c r="AP39" s="2464"/>
      <c r="AQ39" s="2558"/>
    </row>
    <row r="40" spans="1:43" ht="33" customHeight="1" x14ac:dyDescent="0.2">
      <c r="A40" s="2609"/>
      <c r="B40" s="2521"/>
      <c r="C40" s="2523"/>
      <c r="D40" s="2078"/>
      <c r="E40" s="2079"/>
      <c r="F40" s="2080"/>
      <c r="G40" s="467"/>
      <c r="H40" s="985"/>
      <c r="I40" s="986"/>
      <c r="J40" s="2529">
        <v>221</v>
      </c>
      <c r="K40" s="2490" t="s">
        <v>834</v>
      </c>
      <c r="L40" s="2490" t="s">
        <v>835</v>
      </c>
      <c r="M40" s="2556">
        <v>1</v>
      </c>
      <c r="N40" s="994"/>
      <c r="O40" s="2491"/>
      <c r="P40" s="2469"/>
      <c r="Q40" s="2342">
        <f>(R40)/(R34+R35+R40+R44)</f>
        <v>2.3594150459822102E-2</v>
      </c>
      <c r="R40" s="2542">
        <f>SUM(V40:V43)</f>
        <v>31300000</v>
      </c>
      <c r="S40" s="2490"/>
      <c r="T40" s="2490"/>
      <c r="U40" s="2560" t="s">
        <v>836</v>
      </c>
      <c r="V40" s="2579">
        <v>24300000</v>
      </c>
      <c r="W40" s="2577"/>
      <c r="X40" s="2533"/>
      <c r="Y40" s="2567"/>
      <c r="Z40" s="2570"/>
      <c r="AA40" s="2573"/>
      <c r="AB40" s="2573"/>
      <c r="AC40" s="2573"/>
      <c r="AD40" s="2573"/>
      <c r="AE40" s="2562"/>
      <c r="AF40" s="2562"/>
      <c r="AG40" s="2562"/>
      <c r="AH40" s="2562"/>
      <c r="AI40" s="2562"/>
      <c r="AJ40" s="2562"/>
      <c r="AK40" s="2562"/>
      <c r="AL40" s="2562"/>
      <c r="AM40" s="2562"/>
      <c r="AN40" s="2565"/>
      <c r="AO40" s="2464"/>
      <c r="AP40" s="2464"/>
      <c r="AQ40" s="2558"/>
    </row>
    <row r="41" spans="1:43" ht="34.5" customHeight="1" x14ac:dyDescent="0.2">
      <c r="A41" s="2609"/>
      <c r="B41" s="2521"/>
      <c r="C41" s="2523"/>
      <c r="D41" s="2078"/>
      <c r="E41" s="2079"/>
      <c r="F41" s="2080"/>
      <c r="G41" s="467"/>
      <c r="H41" s="985"/>
      <c r="I41" s="986"/>
      <c r="J41" s="2529"/>
      <c r="K41" s="2490"/>
      <c r="L41" s="2490"/>
      <c r="M41" s="2556"/>
      <c r="N41" s="994"/>
      <c r="O41" s="2491"/>
      <c r="P41" s="2469"/>
      <c r="Q41" s="2342"/>
      <c r="R41" s="2542"/>
      <c r="S41" s="2490"/>
      <c r="T41" s="2490"/>
      <c r="U41" s="2560"/>
      <c r="V41" s="2580"/>
      <c r="W41" s="2577"/>
      <c r="X41" s="2533"/>
      <c r="Y41" s="2567"/>
      <c r="Z41" s="2570"/>
      <c r="AA41" s="2573"/>
      <c r="AB41" s="2573"/>
      <c r="AC41" s="2573"/>
      <c r="AD41" s="2573"/>
      <c r="AE41" s="2562"/>
      <c r="AF41" s="2562"/>
      <c r="AG41" s="2562"/>
      <c r="AH41" s="2562"/>
      <c r="AI41" s="2562"/>
      <c r="AJ41" s="2562"/>
      <c r="AK41" s="2562"/>
      <c r="AL41" s="2562"/>
      <c r="AM41" s="2562"/>
      <c r="AN41" s="2565"/>
      <c r="AO41" s="2464"/>
      <c r="AP41" s="2464"/>
      <c r="AQ41" s="2558"/>
    </row>
    <row r="42" spans="1:43" ht="36.75" customHeight="1" x14ac:dyDescent="0.2">
      <c r="A42" s="2609"/>
      <c r="B42" s="2521"/>
      <c r="C42" s="2523"/>
      <c r="D42" s="2078"/>
      <c r="E42" s="2079"/>
      <c r="F42" s="2080"/>
      <c r="G42" s="467"/>
      <c r="H42" s="985"/>
      <c r="I42" s="986"/>
      <c r="J42" s="2529"/>
      <c r="K42" s="2490"/>
      <c r="L42" s="2490"/>
      <c r="M42" s="2556"/>
      <c r="N42" s="994"/>
      <c r="O42" s="2491"/>
      <c r="P42" s="2469"/>
      <c r="Q42" s="2342"/>
      <c r="R42" s="2542"/>
      <c r="S42" s="2490"/>
      <c r="T42" s="2490"/>
      <c r="U42" s="2560" t="s">
        <v>837</v>
      </c>
      <c r="V42" s="2579">
        <v>7000000</v>
      </c>
      <c r="W42" s="2577"/>
      <c r="X42" s="2533"/>
      <c r="Y42" s="2567"/>
      <c r="Z42" s="2570"/>
      <c r="AA42" s="2573"/>
      <c r="AB42" s="2573"/>
      <c r="AC42" s="2573"/>
      <c r="AD42" s="2573"/>
      <c r="AE42" s="2562"/>
      <c r="AF42" s="2562"/>
      <c r="AG42" s="2562"/>
      <c r="AH42" s="2562"/>
      <c r="AI42" s="2562"/>
      <c r="AJ42" s="2562"/>
      <c r="AK42" s="2562"/>
      <c r="AL42" s="2562"/>
      <c r="AM42" s="2562"/>
      <c r="AN42" s="2565"/>
      <c r="AO42" s="2464"/>
      <c r="AP42" s="2464"/>
      <c r="AQ42" s="2558"/>
    </row>
    <row r="43" spans="1:43" ht="26.25" customHeight="1" x14ac:dyDescent="0.2">
      <c r="A43" s="2609"/>
      <c r="B43" s="2521"/>
      <c r="C43" s="2523"/>
      <c r="D43" s="2078"/>
      <c r="E43" s="2079"/>
      <c r="F43" s="2080"/>
      <c r="G43" s="467"/>
      <c r="H43" s="985"/>
      <c r="I43" s="986"/>
      <c r="J43" s="2529"/>
      <c r="K43" s="2490"/>
      <c r="L43" s="2490"/>
      <c r="M43" s="2556"/>
      <c r="N43" s="994"/>
      <c r="O43" s="2484"/>
      <c r="P43" s="2469"/>
      <c r="Q43" s="2342"/>
      <c r="R43" s="2542"/>
      <c r="S43" s="2490"/>
      <c r="T43" s="2490"/>
      <c r="U43" s="2560"/>
      <c r="V43" s="2580"/>
      <c r="W43" s="2577"/>
      <c r="X43" s="2533"/>
      <c r="Y43" s="2567"/>
      <c r="Z43" s="2570"/>
      <c r="AA43" s="2573"/>
      <c r="AB43" s="2573"/>
      <c r="AC43" s="2573"/>
      <c r="AD43" s="2573"/>
      <c r="AE43" s="2562"/>
      <c r="AF43" s="2562"/>
      <c r="AG43" s="2562"/>
      <c r="AH43" s="2562"/>
      <c r="AI43" s="2562"/>
      <c r="AJ43" s="2562"/>
      <c r="AK43" s="2562"/>
      <c r="AL43" s="2562"/>
      <c r="AM43" s="2562"/>
      <c r="AN43" s="2565"/>
      <c r="AO43" s="2464"/>
      <c r="AP43" s="2464"/>
      <c r="AQ43" s="2558"/>
    </row>
    <row r="44" spans="1:43" ht="90.75" customHeight="1" x14ac:dyDescent="0.2">
      <c r="A44" s="2609"/>
      <c r="B44" s="2521"/>
      <c r="C44" s="2523"/>
      <c r="D44" s="2611"/>
      <c r="E44" s="2612"/>
      <c r="F44" s="2613"/>
      <c r="G44" s="467"/>
      <c r="H44" s="998"/>
      <c r="I44" s="999"/>
      <c r="J44" s="1008">
        <v>222</v>
      </c>
      <c r="K44" s="1010" t="s">
        <v>838</v>
      </c>
      <c r="L44" s="1010" t="s">
        <v>839</v>
      </c>
      <c r="M44" s="1011">
        <v>1</v>
      </c>
      <c r="N44" s="994"/>
      <c r="O44" s="2484"/>
      <c r="P44" s="2469"/>
      <c r="Q44" s="919">
        <f>(R44)/(R34+R35+R40+R44)</f>
        <v>2.6609377355646013E-2</v>
      </c>
      <c r="R44" s="549">
        <f>+V44</f>
        <v>35300000</v>
      </c>
      <c r="S44" s="2490"/>
      <c r="T44" s="2490"/>
      <c r="U44" s="989" t="s">
        <v>840</v>
      </c>
      <c r="V44" s="1012">
        <v>35300000</v>
      </c>
      <c r="W44" s="2578"/>
      <c r="X44" s="2554"/>
      <c r="Y44" s="2568"/>
      <c r="Z44" s="2571"/>
      <c r="AA44" s="2574"/>
      <c r="AB44" s="2574"/>
      <c r="AC44" s="2574"/>
      <c r="AD44" s="2574"/>
      <c r="AE44" s="2563"/>
      <c r="AF44" s="2563"/>
      <c r="AG44" s="2563"/>
      <c r="AH44" s="2563"/>
      <c r="AI44" s="2563"/>
      <c r="AJ44" s="2563"/>
      <c r="AK44" s="2563"/>
      <c r="AL44" s="2563"/>
      <c r="AM44" s="2563"/>
      <c r="AN44" s="2565"/>
      <c r="AO44" s="2487"/>
      <c r="AP44" s="2487"/>
      <c r="AQ44" s="2559"/>
    </row>
    <row r="45" spans="1:43" s="467" customFormat="1" ht="15.75" x14ac:dyDescent="0.2">
      <c r="A45" s="2609"/>
      <c r="B45" s="2521"/>
      <c r="C45" s="2523"/>
      <c r="D45" s="963">
        <v>24</v>
      </c>
      <c r="E45" s="565" t="s">
        <v>841</v>
      </c>
      <c r="F45" s="565"/>
      <c r="G45" s="964"/>
      <c r="H45" s="964"/>
      <c r="I45" s="964"/>
      <c r="J45" s="1013"/>
      <c r="K45" s="1014"/>
      <c r="L45" s="511"/>
      <c r="M45" s="510"/>
      <c r="N45" s="968"/>
      <c r="O45" s="965"/>
      <c r="P45" s="967"/>
      <c r="Q45" s="1015"/>
      <c r="R45" s="1016"/>
      <c r="S45" s="511"/>
      <c r="T45" s="1014"/>
      <c r="U45" s="1014"/>
      <c r="V45" s="1017"/>
      <c r="W45" s="1017"/>
      <c r="X45" s="1018"/>
      <c r="Y45" s="971"/>
      <c r="Z45" s="971"/>
      <c r="AA45" s="971"/>
      <c r="AB45" s="971"/>
      <c r="AC45" s="971"/>
      <c r="AD45" s="971"/>
      <c r="AE45" s="971"/>
      <c r="AF45" s="971"/>
      <c r="AG45" s="971"/>
      <c r="AH45" s="971"/>
      <c r="AI45" s="971"/>
      <c r="AJ45" s="971"/>
      <c r="AK45" s="971"/>
      <c r="AL45" s="973"/>
      <c r="AM45" s="967"/>
      <c r="AN45" s="967"/>
      <c r="AO45" s="967"/>
      <c r="AP45" s="967"/>
      <c r="AQ45" s="974"/>
    </row>
    <row r="46" spans="1:43" s="467" customFormat="1" ht="15.75" x14ac:dyDescent="0.2">
      <c r="A46" s="2609"/>
      <c r="B46" s="2521"/>
      <c r="C46" s="2523"/>
      <c r="D46" s="2518"/>
      <c r="E46" s="2519"/>
      <c r="F46" s="2520"/>
      <c r="G46" s="975">
        <v>78</v>
      </c>
      <c r="H46" s="399" t="s">
        <v>842</v>
      </c>
      <c r="I46" s="399"/>
      <c r="J46" s="976"/>
      <c r="K46" s="977"/>
      <c r="L46" s="749"/>
      <c r="M46" s="754"/>
      <c r="N46" s="978"/>
      <c r="O46" s="979"/>
      <c r="P46" s="400"/>
      <c r="Q46" s="980"/>
      <c r="R46" s="981"/>
      <c r="S46" s="749"/>
      <c r="T46" s="977"/>
      <c r="U46" s="977"/>
      <c r="V46" s="753"/>
      <c r="W46" s="753"/>
      <c r="X46" s="1019"/>
      <c r="Y46" s="403"/>
      <c r="Z46" s="403"/>
      <c r="AA46" s="403"/>
      <c r="AB46" s="403"/>
      <c r="AC46" s="403"/>
      <c r="AD46" s="403"/>
      <c r="AE46" s="403"/>
      <c r="AF46" s="403"/>
      <c r="AG46" s="403"/>
      <c r="AH46" s="403"/>
      <c r="AI46" s="403"/>
      <c r="AJ46" s="403"/>
      <c r="AK46" s="403"/>
      <c r="AL46" s="403"/>
      <c r="AM46" s="403"/>
      <c r="AN46" s="403"/>
      <c r="AO46" s="403"/>
      <c r="AP46" s="403"/>
      <c r="AQ46" s="1020"/>
    </row>
    <row r="47" spans="1:43" ht="93" customHeight="1" x14ac:dyDescent="0.25">
      <c r="A47" s="2609"/>
      <c r="B47" s="2521"/>
      <c r="C47" s="2523"/>
      <c r="D47" s="2521"/>
      <c r="E47" s="2522"/>
      <c r="F47" s="2523"/>
      <c r="G47" s="1021"/>
      <c r="H47" s="1022"/>
      <c r="I47" s="1023"/>
      <c r="J47" s="2529">
        <v>226</v>
      </c>
      <c r="K47" s="2509" t="s">
        <v>843</v>
      </c>
      <c r="L47" s="2516" t="s">
        <v>844</v>
      </c>
      <c r="M47" s="2540">
        <v>12</v>
      </c>
      <c r="N47" s="2494" t="s">
        <v>845</v>
      </c>
      <c r="O47" s="2491" t="s">
        <v>846</v>
      </c>
      <c r="P47" s="2469" t="s">
        <v>847</v>
      </c>
      <c r="Q47" s="2541">
        <f>(R47)/(R47+R55+R58+R64+R66)</f>
        <v>0.42084168336673344</v>
      </c>
      <c r="R47" s="2542">
        <f>SUM(V47:V54)</f>
        <v>210000000</v>
      </c>
      <c r="S47" s="2490" t="s">
        <v>848</v>
      </c>
      <c r="T47" s="2490" t="s">
        <v>849</v>
      </c>
      <c r="U47" s="993" t="s">
        <v>850</v>
      </c>
      <c r="V47" s="420">
        <f>17000000+10000000</f>
        <v>27000000</v>
      </c>
      <c r="W47" s="2553" t="s">
        <v>851</v>
      </c>
      <c r="X47" s="2533" t="s">
        <v>852</v>
      </c>
      <c r="Y47" s="2530">
        <v>2386</v>
      </c>
      <c r="Z47" s="2530">
        <v>2323</v>
      </c>
      <c r="AA47" s="2530">
        <v>363</v>
      </c>
      <c r="AB47" s="2530">
        <v>1153</v>
      </c>
      <c r="AC47" s="2530">
        <v>1388</v>
      </c>
      <c r="AD47" s="2530">
        <v>1552</v>
      </c>
      <c r="AE47" s="2530">
        <v>112</v>
      </c>
      <c r="AF47" s="2530">
        <v>141</v>
      </c>
      <c r="AG47" s="2530"/>
      <c r="AH47" s="2530"/>
      <c r="AI47" s="2530"/>
      <c r="AJ47" s="2530"/>
      <c r="AK47" s="2530"/>
      <c r="AL47" s="2530"/>
      <c r="AM47" s="2530"/>
      <c r="AN47" s="2485">
        <v>4709</v>
      </c>
      <c r="AO47" s="2463">
        <v>42745</v>
      </c>
      <c r="AP47" s="2463" t="s">
        <v>853</v>
      </c>
      <c r="AQ47" s="2457" t="s">
        <v>785</v>
      </c>
    </row>
    <row r="48" spans="1:43" ht="66.75" customHeight="1" x14ac:dyDescent="0.25">
      <c r="A48" s="2609"/>
      <c r="B48" s="2521"/>
      <c r="C48" s="2523"/>
      <c r="D48" s="2521"/>
      <c r="E48" s="2522"/>
      <c r="F48" s="2523"/>
      <c r="G48" s="1024"/>
      <c r="H48" s="1024"/>
      <c r="I48" s="1025"/>
      <c r="J48" s="2529"/>
      <c r="K48" s="2509"/>
      <c r="L48" s="2516"/>
      <c r="M48" s="2540"/>
      <c r="N48" s="2494"/>
      <c r="O48" s="2491"/>
      <c r="P48" s="2469"/>
      <c r="Q48" s="2541"/>
      <c r="R48" s="2542"/>
      <c r="S48" s="2490"/>
      <c r="T48" s="2490"/>
      <c r="U48" s="993" t="s">
        <v>854</v>
      </c>
      <c r="V48" s="420">
        <f>10000000+2500000</f>
        <v>12500000</v>
      </c>
      <c r="W48" s="2553"/>
      <c r="X48" s="2533"/>
      <c r="Y48" s="2531"/>
      <c r="Z48" s="2531"/>
      <c r="AA48" s="2531"/>
      <c r="AB48" s="2531"/>
      <c r="AC48" s="2531"/>
      <c r="AD48" s="2531"/>
      <c r="AE48" s="2531"/>
      <c r="AF48" s="2531"/>
      <c r="AG48" s="2531"/>
      <c r="AH48" s="2531"/>
      <c r="AI48" s="2531"/>
      <c r="AJ48" s="2531"/>
      <c r="AK48" s="2531"/>
      <c r="AL48" s="2531"/>
      <c r="AM48" s="2531"/>
      <c r="AN48" s="2486"/>
      <c r="AO48" s="2464"/>
      <c r="AP48" s="2464"/>
      <c r="AQ48" s="2496"/>
    </row>
    <row r="49" spans="1:43" ht="69" customHeight="1" x14ac:dyDescent="0.25">
      <c r="A49" s="2609"/>
      <c r="B49" s="2521"/>
      <c r="C49" s="2523"/>
      <c r="D49" s="2521"/>
      <c r="E49" s="2522"/>
      <c r="F49" s="2523"/>
      <c r="G49" s="1024"/>
      <c r="H49" s="1024"/>
      <c r="I49" s="1025"/>
      <c r="J49" s="2529"/>
      <c r="K49" s="2509"/>
      <c r="L49" s="2516"/>
      <c r="M49" s="2540"/>
      <c r="N49" s="2494"/>
      <c r="O49" s="2491"/>
      <c r="P49" s="2469"/>
      <c r="Q49" s="2541"/>
      <c r="R49" s="2542"/>
      <c r="S49" s="2490"/>
      <c r="T49" s="2490"/>
      <c r="U49" s="993" t="s">
        <v>855</v>
      </c>
      <c r="V49" s="420">
        <f>15000000+2500000</f>
        <v>17500000</v>
      </c>
      <c r="W49" s="2553"/>
      <c r="X49" s="2533"/>
      <c r="Y49" s="2531"/>
      <c r="Z49" s="2531"/>
      <c r="AA49" s="2531"/>
      <c r="AB49" s="2531"/>
      <c r="AC49" s="2531"/>
      <c r="AD49" s="2531"/>
      <c r="AE49" s="2531"/>
      <c r="AF49" s="2531"/>
      <c r="AG49" s="2531"/>
      <c r="AH49" s="2531"/>
      <c r="AI49" s="2531"/>
      <c r="AJ49" s="2531"/>
      <c r="AK49" s="2531"/>
      <c r="AL49" s="2531"/>
      <c r="AM49" s="2531"/>
      <c r="AN49" s="2486"/>
      <c r="AO49" s="2464"/>
      <c r="AP49" s="2464"/>
      <c r="AQ49" s="2496"/>
    </row>
    <row r="50" spans="1:43" ht="122.25" customHeight="1" x14ac:dyDescent="0.25">
      <c r="A50" s="2609"/>
      <c r="B50" s="2521"/>
      <c r="C50" s="2523"/>
      <c r="D50" s="2521"/>
      <c r="E50" s="2522"/>
      <c r="F50" s="2523"/>
      <c r="G50" s="1024"/>
      <c r="H50" s="1024"/>
      <c r="I50" s="1025"/>
      <c r="J50" s="2529"/>
      <c r="K50" s="2509"/>
      <c r="L50" s="2516"/>
      <c r="M50" s="2540"/>
      <c r="N50" s="2494"/>
      <c r="O50" s="2491"/>
      <c r="P50" s="2469"/>
      <c r="Q50" s="2541"/>
      <c r="R50" s="2542"/>
      <c r="S50" s="2490"/>
      <c r="T50" s="2490"/>
      <c r="U50" s="993" t="s">
        <v>856</v>
      </c>
      <c r="V50" s="420">
        <f>16000000+2500000</f>
        <v>18500000</v>
      </c>
      <c r="W50" s="2553"/>
      <c r="X50" s="2533"/>
      <c r="Y50" s="2531"/>
      <c r="Z50" s="2531"/>
      <c r="AA50" s="2531"/>
      <c r="AB50" s="2531"/>
      <c r="AC50" s="2531"/>
      <c r="AD50" s="2531"/>
      <c r="AE50" s="2531"/>
      <c r="AF50" s="2531"/>
      <c r="AG50" s="2531"/>
      <c r="AH50" s="2531"/>
      <c r="AI50" s="2531"/>
      <c r="AJ50" s="2531"/>
      <c r="AK50" s="2531"/>
      <c r="AL50" s="2531"/>
      <c r="AM50" s="2531"/>
      <c r="AN50" s="2486"/>
      <c r="AO50" s="2464"/>
      <c r="AP50" s="2464"/>
      <c r="AQ50" s="2496"/>
    </row>
    <row r="51" spans="1:43" ht="62.25" customHeight="1" x14ac:dyDescent="0.25">
      <c r="A51" s="2609"/>
      <c r="B51" s="2521"/>
      <c r="C51" s="2523"/>
      <c r="D51" s="2521"/>
      <c r="E51" s="2522"/>
      <c r="F51" s="2523"/>
      <c r="G51" s="1024"/>
      <c r="H51" s="1024"/>
      <c r="I51" s="1025"/>
      <c r="J51" s="2529"/>
      <c r="K51" s="2509"/>
      <c r="L51" s="2516"/>
      <c r="M51" s="2540"/>
      <c r="N51" s="2494"/>
      <c r="O51" s="2491"/>
      <c r="P51" s="2469"/>
      <c r="Q51" s="2541"/>
      <c r="R51" s="2542"/>
      <c r="S51" s="2490"/>
      <c r="T51" s="2490"/>
      <c r="U51" s="993" t="s">
        <v>857</v>
      </c>
      <c r="V51" s="420">
        <f>20000000+1250000</f>
        <v>21250000</v>
      </c>
      <c r="W51" s="2553"/>
      <c r="X51" s="2533"/>
      <c r="Y51" s="2531"/>
      <c r="Z51" s="2531"/>
      <c r="AA51" s="2531"/>
      <c r="AB51" s="2531"/>
      <c r="AC51" s="2531"/>
      <c r="AD51" s="2531"/>
      <c r="AE51" s="2531"/>
      <c r="AF51" s="2531"/>
      <c r="AG51" s="2531"/>
      <c r="AH51" s="2531"/>
      <c r="AI51" s="2531"/>
      <c r="AJ51" s="2531"/>
      <c r="AK51" s="2531"/>
      <c r="AL51" s="2531"/>
      <c r="AM51" s="2531"/>
      <c r="AN51" s="2486"/>
      <c r="AO51" s="2464"/>
      <c r="AP51" s="2464"/>
      <c r="AQ51" s="2496"/>
    </row>
    <row r="52" spans="1:43" ht="81.75" customHeight="1" x14ac:dyDescent="0.25">
      <c r="A52" s="2609"/>
      <c r="B52" s="2521"/>
      <c r="C52" s="2523"/>
      <c r="D52" s="2521"/>
      <c r="E52" s="2522"/>
      <c r="F52" s="2523"/>
      <c r="G52" s="1024"/>
      <c r="H52" s="1024"/>
      <c r="I52" s="1025"/>
      <c r="J52" s="2529"/>
      <c r="K52" s="2509"/>
      <c r="L52" s="2516"/>
      <c r="M52" s="2540"/>
      <c r="N52" s="2494"/>
      <c r="O52" s="2491"/>
      <c r="P52" s="2469"/>
      <c r="Q52" s="2541"/>
      <c r="R52" s="2542"/>
      <c r="S52" s="2490"/>
      <c r="T52" s="2490"/>
      <c r="U52" s="993" t="s">
        <v>858</v>
      </c>
      <c r="V52" s="420">
        <f>15000000+1250000</f>
        <v>16250000</v>
      </c>
      <c r="W52" s="2553"/>
      <c r="X52" s="2533"/>
      <c r="Y52" s="2531"/>
      <c r="Z52" s="2531"/>
      <c r="AA52" s="2531"/>
      <c r="AB52" s="2531"/>
      <c r="AC52" s="2531"/>
      <c r="AD52" s="2531"/>
      <c r="AE52" s="2531"/>
      <c r="AF52" s="2531"/>
      <c r="AG52" s="2531"/>
      <c r="AH52" s="2531"/>
      <c r="AI52" s="2531"/>
      <c r="AJ52" s="2531"/>
      <c r="AK52" s="2531"/>
      <c r="AL52" s="2531"/>
      <c r="AM52" s="2531"/>
      <c r="AN52" s="2486"/>
      <c r="AO52" s="2464"/>
      <c r="AP52" s="2464"/>
      <c r="AQ52" s="2496"/>
    </row>
    <row r="53" spans="1:43" ht="38.25" customHeight="1" x14ac:dyDescent="0.25">
      <c r="A53" s="2609"/>
      <c r="B53" s="2521"/>
      <c r="C53" s="2523"/>
      <c r="D53" s="2521"/>
      <c r="E53" s="2522"/>
      <c r="F53" s="2523"/>
      <c r="G53" s="1024"/>
      <c r="H53" s="1024"/>
      <c r="I53" s="1025"/>
      <c r="J53" s="2529"/>
      <c r="K53" s="2509"/>
      <c r="L53" s="2516"/>
      <c r="M53" s="2540"/>
      <c r="N53" s="2494"/>
      <c r="O53" s="2491"/>
      <c r="P53" s="2469"/>
      <c r="Q53" s="2541"/>
      <c r="R53" s="2542"/>
      <c r="S53" s="2490"/>
      <c r="T53" s="2490"/>
      <c r="U53" s="993" t="s">
        <v>859</v>
      </c>
      <c r="V53" s="420">
        <f>62000000+20000000</f>
        <v>82000000</v>
      </c>
      <c r="W53" s="2553"/>
      <c r="X53" s="2533"/>
      <c r="Y53" s="2531"/>
      <c r="Z53" s="2531"/>
      <c r="AA53" s="2531"/>
      <c r="AB53" s="2531"/>
      <c r="AC53" s="2531"/>
      <c r="AD53" s="2531"/>
      <c r="AE53" s="2531"/>
      <c r="AF53" s="2531"/>
      <c r="AG53" s="2531"/>
      <c r="AH53" s="2531"/>
      <c r="AI53" s="2531"/>
      <c r="AJ53" s="2531"/>
      <c r="AK53" s="2531"/>
      <c r="AL53" s="2531"/>
      <c r="AM53" s="2531"/>
      <c r="AN53" s="2486"/>
      <c r="AO53" s="2464"/>
      <c r="AP53" s="2464"/>
      <c r="AQ53" s="2496"/>
    </row>
    <row r="54" spans="1:43" ht="30" customHeight="1" x14ac:dyDescent="0.25">
      <c r="A54" s="2609"/>
      <c r="B54" s="2521"/>
      <c r="C54" s="2523"/>
      <c r="D54" s="2521"/>
      <c r="E54" s="2522"/>
      <c r="F54" s="2523"/>
      <c r="G54" s="1024"/>
      <c r="H54" s="1024"/>
      <c r="I54" s="1025"/>
      <c r="J54" s="2529"/>
      <c r="K54" s="2509"/>
      <c r="L54" s="2516"/>
      <c r="M54" s="2540"/>
      <c r="N54" s="2494"/>
      <c r="O54" s="2491"/>
      <c r="P54" s="2469"/>
      <c r="Q54" s="2541"/>
      <c r="R54" s="2542"/>
      <c r="S54" s="2490"/>
      <c r="T54" s="2490"/>
      <c r="U54" s="993" t="s">
        <v>860</v>
      </c>
      <c r="V54" s="420">
        <v>15000000</v>
      </c>
      <c r="W54" s="2553"/>
      <c r="X54" s="2533"/>
      <c r="Y54" s="2531"/>
      <c r="Z54" s="2531"/>
      <c r="AA54" s="2531"/>
      <c r="AB54" s="2531"/>
      <c r="AC54" s="2531"/>
      <c r="AD54" s="2531"/>
      <c r="AE54" s="2531"/>
      <c r="AF54" s="2531"/>
      <c r="AG54" s="2531"/>
      <c r="AH54" s="2531"/>
      <c r="AI54" s="2531"/>
      <c r="AJ54" s="2531"/>
      <c r="AK54" s="2531"/>
      <c r="AL54" s="2531"/>
      <c r="AM54" s="2531"/>
      <c r="AN54" s="2486"/>
      <c r="AO54" s="2464"/>
      <c r="AP54" s="2464"/>
      <c r="AQ54" s="2496"/>
    </row>
    <row r="55" spans="1:43" ht="42.75" customHeight="1" x14ac:dyDescent="0.25">
      <c r="A55" s="2609"/>
      <c r="B55" s="2521"/>
      <c r="C55" s="2523"/>
      <c r="D55" s="2521"/>
      <c r="E55" s="2522"/>
      <c r="F55" s="2523"/>
      <c r="G55" s="1024"/>
      <c r="H55" s="1024"/>
      <c r="I55" s="1025"/>
      <c r="J55" s="2548">
        <v>227</v>
      </c>
      <c r="K55" s="2490" t="s">
        <v>861</v>
      </c>
      <c r="L55" s="2516" t="s">
        <v>862</v>
      </c>
      <c r="M55" s="2540">
        <v>12</v>
      </c>
      <c r="N55" s="2494"/>
      <c r="O55" s="2491"/>
      <c r="P55" s="2469"/>
      <c r="Q55" s="2541">
        <f>(R55)/(R47+R55+R58+R64+R66)</f>
        <v>0.38076152304609218</v>
      </c>
      <c r="R55" s="2552">
        <f>SUM(V55:V57)</f>
        <v>190000000</v>
      </c>
      <c r="S55" s="2490"/>
      <c r="T55" s="2490"/>
      <c r="U55" s="993" t="s">
        <v>863</v>
      </c>
      <c r="V55" s="420">
        <v>10000000</v>
      </c>
      <c r="W55" s="2553"/>
      <c r="X55" s="2533"/>
      <c r="Y55" s="2531"/>
      <c r="Z55" s="2531"/>
      <c r="AA55" s="2531"/>
      <c r="AB55" s="2531"/>
      <c r="AC55" s="2531"/>
      <c r="AD55" s="2531"/>
      <c r="AE55" s="2531"/>
      <c r="AF55" s="2531"/>
      <c r="AG55" s="2531"/>
      <c r="AH55" s="2531"/>
      <c r="AI55" s="2531"/>
      <c r="AJ55" s="2531"/>
      <c r="AK55" s="2531"/>
      <c r="AL55" s="2531"/>
      <c r="AM55" s="2531"/>
      <c r="AN55" s="2486"/>
      <c r="AO55" s="2464"/>
      <c r="AP55" s="2464"/>
      <c r="AQ55" s="2496"/>
    </row>
    <row r="56" spans="1:43" ht="60" customHeight="1" x14ac:dyDescent="0.25">
      <c r="A56" s="2609"/>
      <c r="B56" s="2521"/>
      <c r="C56" s="2523"/>
      <c r="D56" s="2521"/>
      <c r="E56" s="2522"/>
      <c r="F56" s="2523"/>
      <c r="G56" s="1024"/>
      <c r="H56" s="1024"/>
      <c r="I56" s="1025"/>
      <c r="J56" s="2548"/>
      <c r="K56" s="2490"/>
      <c r="L56" s="2516"/>
      <c r="M56" s="2540"/>
      <c r="N56" s="2494"/>
      <c r="O56" s="2491"/>
      <c r="P56" s="2469"/>
      <c r="Q56" s="2541"/>
      <c r="R56" s="2552"/>
      <c r="S56" s="2490"/>
      <c r="T56" s="2490"/>
      <c r="U56" s="993" t="s">
        <v>864</v>
      </c>
      <c r="V56" s="420">
        <v>80000000</v>
      </c>
      <c r="W56" s="2553"/>
      <c r="X56" s="2533"/>
      <c r="Y56" s="2531"/>
      <c r="Z56" s="2531"/>
      <c r="AA56" s="2531"/>
      <c r="AB56" s="2531"/>
      <c r="AC56" s="2531"/>
      <c r="AD56" s="2531"/>
      <c r="AE56" s="2531"/>
      <c r="AF56" s="2531"/>
      <c r="AG56" s="2531"/>
      <c r="AH56" s="2531"/>
      <c r="AI56" s="2531"/>
      <c r="AJ56" s="2531"/>
      <c r="AK56" s="2531"/>
      <c r="AL56" s="2531"/>
      <c r="AM56" s="2531"/>
      <c r="AN56" s="2486"/>
      <c r="AO56" s="2464"/>
      <c r="AP56" s="2464"/>
      <c r="AQ56" s="2496"/>
    </row>
    <row r="57" spans="1:43" ht="57.75" customHeight="1" x14ac:dyDescent="0.25">
      <c r="A57" s="2609"/>
      <c r="B57" s="2521"/>
      <c r="C57" s="2523"/>
      <c r="D57" s="2521"/>
      <c r="E57" s="2522"/>
      <c r="F57" s="2523"/>
      <c r="G57" s="1024"/>
      <c r="H57" s="1024"/>
      <c r="I57" s="1025"/>
      <c r="J57" s="2549"/>
      <c r="K57" s="2550"/>
      <c r="L57" s="2550"/>
      <c r="M57" s="2551"/>
      <c r="N57" s="2494"/>
      <c r="O57" s="2491"/>
      <c r="P57" s="2469"/>
      <c r="Q57" s="2546"/>
      <c r="R57" s="2547"/>
      <c r="S57" s="2490"/>
      <c r="T57" s="2490"/>
      <c r="U57" s="993" t="s">
        <v>865</v>
      </c>
      <c r="V57" s="420">
        <f>50000000+50000000</f>
        <v>100000000</v>
      </c>
      <c r="W57" s="2553"/>
      <c r="X57" s="2533"/>
      <c r="Y57" s="2531"/>
      <c r="Z57" s="2531"/>
      <c r="AA57" s="2531"/>
      <c r="AB57" s="2531"/>
      <c r="AC57" s="2531"/>
      <c r="AD57" s="2531"/>
      <c r="AE57" s="2531"/>
      <c r="AF57" s="2531"/>
      <c r="AG57" s="2531"/>
      <c r="AH57" s="2531"/>
      <c r="AI57" s="2531"/>
      <c r="AJ57" s="2531"/>
      <c r="AK57" s="2531"/>
      <c r="AL57" s="2531"/>
      <c r="AM57" s="2531"/>
      <c r="AN57" s="2486"/>
      <c r="AO57" s="2464"/>
      <c r="AP57" s="2464"/>
      <c r="AQ57" s="2496"/>
    </row>
    <row r="58" spans="1:43" ht="43.5" customHeight="1" x14ac:dyDescent="0.25">
      <c r="A58" s="2609"/>
      <c r="B58" s="2521"/>
      <c r="C58" s="2523"/>
      <c r="D58" s="2521"/>
      <c r="E58" s="2522"/>
      <c r="F58" s="2523"/>
      <c r="G58" s="1024"/>
      <c r="H58" s="1024"/>
      <c r="I58" s="1025"/>
      <c r="J58" s="2548">
        <v>228</v>
      </c>
      <c r="K58" s="2516" t="s">
        <v>866</v>
      </c>
      <c r="L58" s="2516" t="s">
        <v>867</v>
      </c>
      <c r="M58" s="2540">
        <v>2</v>
      </c>
      <c r="N58" s="2494"/>
      <c r="O58" s="2491"/>
      <c r="P58" s="2469"/>
      <c r="Q58" s="2541">
        <f>(R58)/(R47+R55+R58+R64+R66)</f>
        <v>7.0140280561122245E-2</v>
      </c>
      <c r="R58" s="2542">
        <f>SUM(V58:V63)</f>
        <v>35000000</v>
      </c>
      <c r="S58" s="2490"/>
      <c r="T58" s="2490"/>
      <c r="U58" s="993" t="s">
        <v>868</v>
      </c>
      <c r="V58" s="420">
        <v>6400000</v>
      </c>
      <c r="W58" s="2553"/>
      <c r="X58" s="2533"/>
      <c r="Y58" s="2531"/>
      <c r="Z58" s="2531"/>
      <c r="AA58" s="2531"/>
      <c r="AB58" s="2531"/>
      <c r="AC58" s="2531"/>
      <c r="AD58" s="2531"/>
      <c r="AE58" s="2531"/>
      <c r="AF58" s="2531"/>
      <c r="AG58" s="2531"/>
      <c r="AH58" s="2531"/>
      <c r="AI58" s="2531"/>
      <c r="AJ58" s="2531"/>
      <c r="AK58" s="2531"/>
      <c r="AL58" s="2531"/>
      <c r="AM58" s="2531"/>
      <c r="AN58" s="2486"/>
      <c r="AO58" s="2464"/>
      <c r="AP58" s="2464"/>
      <c r="AQ58" s="2496"/>
    </row>
    <row r="59" spans="1:43" ht="30" customHeight="1" x14ac:dyDescent="0.25">
      <c r="A59" s="2609"/>
      <c r="B59" s="2521"/>
      <c r="C59" s="2523"/>
      <c r="D59" s="2521"/>
      <c r="E59" s="2522"/>
      <c r="F59" s="2523"/>
      <c r="G59" s="1024"/>
      <c r="H59" s="1024"/>
      <c r="I59" s="1025"/>
      <c r="J59" s="2548"/>
      <c r="K59" s="2516"/>
      <c r="L59" s="2516"/>
      <c r="M59" s="2540"/>
      <c r="N59" s="2494"/>
      <c r="O59" s="2491"/>
      <c r="P59" s="2469"/>
      <c r="Q59" s="2541"/>
      <c r="R59" s="2542"/>
      <c r="S59" s="2490"/>
      <c r="T59" s="2490"/>
      <c r="U59" s="993" t="s">
        <v>869</v>
      </c>
      <c r="V59" s="420">
        <f>11200000+5000000</f>
        <v>16200000</v>
      </c>
      <c r="W59" s="2553"/>
      <c r="X59" s="2533"/>
      <c r="Y59" s="2531"/>
      <c r="Z59" s="2531"/>
      <c r="AA59" s="2531"/>
      <c r="AB59" s="2531"/>
      <c r="AC59" s="2531"/>
      <c r="AD59" s="2531"/>
      <c r="AE59" s="2531"/>
      <c r="AF59" s="2531"/>
      <c r="AG59" s="2531"/>
      <c r="AH59" s="2531"/>
      <c r="AI59" s="2531"/>
      <c r="AJ59" s="2531"/>
      <c r="AK59" s="2531"/>
      <c r="AL59" s="2531"/>
      <c r="AM59" s="2531"/>
      <c r="AN59" s="2486"/>
      <c r="AO59" s="2464"/>
      <c r="AP59" s="2464"/>
      <c r="AQ59" s="2496"/>
    </row>
    <row r="60" spans="1:43" ht="46.5" customHeight="1" x14ac:dyDescent="0.25">
      <c r="A60" s="2609"/>
      <c r="B60" s="2521"/>
      <c r="C60" s="2523"/>
      <c r="D60" s="2521"/>
      <c r="E60" s="2522"/>
      <c r="F60" s="2523"/>
      <c r="G60" s="1024"/>
      <c r="H60" s="1024"/>
      <c r="I60" s="1025"/>
      <c r="J60" s="2548"/>
      <c r="K60" s="2516"/>
      <c r="L60" s="2516"/>
      <c r="M60" s="2540"/>
      <c r="N60" s="2494"/>
      <c r="O60" s="2491"/>
      <c r="P60" s="2469"/>
      <c r="Q60" s="2541"/>
      <c r="R60" s="2542"/>
      <c r="S60" s="2490"/>
      <c r="T60" s="2490"/>
      <c r="U60" s="993" t="s">
        <v>870</v>
      </c>
      <c r="V60" s="420">
        <v>7500000</v>
      </c>
      <c r="W60" s="2553"/>
      <c r="X60" s="2533"/>
      <c r="Y60" s="2531"/>
      <c r="Z60" s="2531"/>
      <c r="AA60" s="2531"/>
      <c r="AB60" s="2531"/>
      <c r="AC60" s="2531"/>
      <c r="AD60" s="2531"/>
      <c r="AE60" s="2531"/>
      <c r="AF60" s="2531"/>
      <c r="AG60" s="2531"/>
      <c r="AH60" s="2531"/>
      <c r="AI60" s="2531"/>
      <c r="AJ60" s="2531"/>
      <c r="AK60" s="2531"/>
      <c r="AL60" s="2531"/>
      <c r="AM60" s="2531"/>
      <c r="AN60" s="2486"/>
      <c r="AO60" s="2464"/>
      <c r="AP60" s="2464"/>
      <c r="AQ60" s="2496"/>
    </row>
    <row r="61" spans="1:43" ht="84.75" customHeight="1" x14ac:dyDescent="0.25">
      <c r="A61" s="2609"/>
      <c r="B61" s="2521"/>
      <c r="C61" s="2523"/>
      <c r="D61" s="2521"/>
      <c r="E61" s="2522"/>
      <c r="F61" s="2523"/>
      <c r="G61" s="1024"/>
      <c r="H61" s="1024"/>
      <c r="I61" s="1025"/>
      <c r="J61" s="2548"/>
      <c r="K61" s="2516"/>
      <c r="L61" s="2516"/>
      <c r="M61" s="2540"/>
      <c r="N61" s="2494"/>
      <c r="O61" s="2491"/>
      <c r="P61" s="2469"/>
      <c r="Q61" s="2541"/>
      <c r="R61" s="2542"/>
      <c r="S61" s="2490"/>
      <c r="T61" s="2490"/>
      <c r="U61" s="993" t="s">
        <v>871</v>
      </c>
      <c r="V61" s="420">
        <v>1600000</v>
      </c>
      <c r="W61" s="2553"/>
      <c r="X61" s="2533"/>
      <c r="Y61" s="2531"/>
      <c r="Z61" s="2531"/>
      <c r="AA61" s="2531"/>
      <c r="AB61" s="2531"/>
      <c r="AC61" s="2531"/>
      <c r="AD61" s="2531"/>
      <c r="AE61" s="2531"/>
      <c r="AF61" s="2531"/>
      <c r="AG61" s="2531"/>
      <c r="AH61" s="2531"/>
      <c r="AI61" s="2531"/>
      <c r="AJ61" s="2531"/>
      <c r="AK61" s="2531"/>
      <c r="AL61" s="2531"/>
      <c r="AM61" s="2531"/>
      <c r="AN61" s="2486"/>
      <c r="AO61" s="2464"/>
      <c r="AP61" s="2464"/>
      <c r="AQ61" s="2496"/>
    </row>
    <row r="62" spans="1:43" ht="84" customHeight="1" x14ac:dyDescent="0.25">
      <c r="A62" s="2609"/>
      <c r="B62" s="2521"/>
      <c r="C62" s="2523"/>
      <c r="D62" s="2521"/>
      <c r="E62" s="2522"/>
      <c r="F62" s="2523"/>
      <c r="G62" s="1024"/>
      <c r="H62" s="1024"/>
      <c r="I62" s="1025"/>
      <c r="J62" s="2549"/>
      <c r="K62" s="2550"/>
      <c r="L62" s="2550"/>
      <c r="M62" s="2551"/>
      <c r="N62" s="2494"/>
      <c r="O62" s="2491"/>
      <c r="P62" s="2469"/>
      <c r="Q62" s="2546"/>
      <c r="R62" s="2547"/>
      <c r="S62" s="2490"/>
      <c r="T62" s="2490"/>
      <c r="U62" s="993" t="s">
        <v>872</v>
      </c>
      <c r="V62" s="420">
        <v>900000</v>
      </c>
      <c r="W62" s="2553"/>
      <c r="X62" s="2533"/>
      <c r="Y62" s="2531"/>
      <c r="Z62" s="2531"/>
      <c r="AA62" s="2531"/>
      <c r="AB62" s="2531"/>
      <c r="AC62" s="2531"/>
      <c r="AD62" s="2531"/>
      <c r="AE62" s="2531"/>
      <c r="AF62" s="2531"/>
      <c r="AG62" s="2531"/>
      <c r="AH62" s="2531"/>
      <c r="AI62" s="2531"/>
      <c r="AJ62" s="2531"/>
      <c r="AK62" s="2531"/>
      <c r="AL62" s="2531"/>
      <c r="AM62" s="2531"/>
      <c r="AN62" s="2486"/>
      <c r="AO62" s="2464"/>
      <c r="AP62" s="2464"/>
      <c r="AQ62" s="2496"/>
    </row>
    <row r="63" spans="1:43" ht="40.5" customHeight="1" x14ac:dyDescent="0.25">
      <c r="A63" s="2609"/>
      <c r="B63" s="2521"/>
      <c r="C63" s="2523"/>
      <c r="D63" s="2521"/>
      <c r="E63" s="2522"/>
      <c r="F63" s="2523"/>
      <c r="G63" s="1024"/>
      <c r="H63" s="1024"/>
      <c r="I63" s="1025"/>
      <c r="J63" s="2549"/>
      <c r="K63" s="2550"/>
      <c r="L63" s="2550"/>
      <c r="M63" s="2551"/>
      <c r="N63" s="2494"/>
      <c r="O63" s="2491"/>
      <c r="P63" s="2469"/>
      <c r="Q63" s="2546"/>
      <c r="R63" s="2547"/>
      <c r="S63" s="2490"/>
      <c r="T63" s="2490"/>
      <c r="U63" s="993" t="s">
        <v>873</v>
      </c>
      <c r="V63" s="420">
        <v>2400000</v>
      </c>
      <c r="W63" s="2553"/>
      <c r="X63" s="2533"/>
      <c r="Y63" s="2531"/>
      <c r="Z63" s="2531"/>
      <c r="AA63" s="2531"/>
      <c r="AB63" s="2531"/>
      <c r="AC63" s="2531"/>
      <c r="AD63" s="2531"/>
      <c r="AE63" s="2531"/>
      <c r="AF63" s="2531"/>
      <c r="AG63" s="2531"/>
      <c r="AH63" s="2531"/>
      <c r="AI63" s="2531"/>
      <c r="AJ63" s="2531"/>
      <c r="AK63" s="2531"/>
      <c r="AL63" s="2531"/>
      <c r="AM63" s="2531"/>
      <c r="AN63" s="2486"/>
      <c r="AO63" s="2464"/>
      <c r="AP63" s="2464"/>
      <c r="AQ63" s="2496"/>
    </row>
    <row r="64" spans="1:43" ht="70.5" customHeight="1" x14ac:dyDescent="0.25">
      <c r="A64" s="2609"/>
      <c r="B64" s="2521"/>
      <c r="C64" s="2523"/>
      <c r="D64" s="2521"/>
      <c r="E64" s="2522"/>
      <c r="F64" s="2523"/>
      <c r="G64" s="1024"/>
      <c r="H64" s="1024"/>
      <c r="I64" s="1025"/>
      <c r="J64" s="2548">
        <v>229</v>
      </c>
      <c r="K64" s="2490" t="s">
        <v>874</v>
      </c>
      <c r="L64" s="2516" t="s">
        <v>875</v>
      </c>
      <c r="M64" s="2540">
        <v>13</v>
      </c>
      <c r="N64" s="2494"/>
      <c r="O64" s="2491"/>
      <c r="P64" s="2469"/>
      <c r="Q64" s="2541">
        <f>(R64)/(R47+R55+R58+R64+R66)</f>
        <v>7.5150300601202411E-2</v>
      </c>
      <c r="R64" s="2542">
        <f>SUM(V64:V65)</f>
        <v>37500000</v>
      </c>
      <c r="S64" s="2490"/>
      <c r="T64" s="2490"/>
      <c r="U64" s="993" t="s">
        <v>876</v>
      </c>
      <c r="V64" s="420">
        <f>5400000+2500000</f>
        <v>7900000</v>
      </c>
      <c r="W64" s="2553"/>
      <c r="X64" s="2533"/>
      <c r="Y64" s="2531"/>
      <c r="Z64" s="2531"/>
      <c r="AA64" s="2531"/>
      <c r="AB64" s="2531"/>
      <c r="AC64" s="2531"/>
      <c r="AD64" s="2531"/>
      <c r="AE64" s="2531"/>
      <c r="AF64" s="2531"/>
      <c r="AG64" s="2531"/>
      <c r="AH64" s="2531"/>
      <c r="AI64" s="2531"/>
      <c r="AJ64" s="2531"/>
      <c r="AK64" s="2531"/>
      <c r="AL64" s="2531"/>
      <c r="AM64" s="2531"/>
      <c r="AN64" s="2486"/>
      <c r="AO64" s="2464"/>
      <c r="AP64" s="2464"/>
      <c r="AQ64" s="2496"/>
    </row>
    <row r="65" spans="1:43" ht="84.75" customHeight="1" x14ac:dyDescent="0.25">
      <c r="A65" s="2609"/>
      <c r="B65" s="2521"/>
      <c r="C65" s="2523"/>
      <c r="D65" s="2521"/>
      <c r="E65" s="2522"/>
      <c r="F65" s="2523"/>
      <c r="G65" s="1024"/>
      <c r="H65" s="1024"/>
      <c r="I65" s="1025"/>
      <c r="J65" s="2548"/>
      <c r="K65" s="2490"/>
      <c r="L65" s="2516"/>
      <c r="M65" s="2540"/>
      <c r="N65" s="2494"/>
      <c r="O65" s="2491"/>
      <c r="P65" s="2469"/>
      <c r="Q65" s="2541"/>
      <c r="R65" s="2542"/>
      <c r="S65" s="2490"/>
      <c r="T65" s="2490"/>
      <c r="U65" s="993" t="s">
        <v>877</v>
      </c>
      <c r="V65" s="420">
        <v>29600000</v>
      </c>
      <c r="W65" s="2553"/>
      <c r="X65" s="2533"/>
      <c r="Y65" s="2531"/>
      <c r="Z65" s="2531"/>
      <c r="AA65" s="2531"/>
      <c r="AB65" s="2531"/>
      <c r="AC65" s="2531"/>
      <c r="AD65" s="2531"/>
      <c r="AE65" s="2531"/>
      <c r="AF65" s="2531"/>
      <c r="AG65" s="2531"/>
      <c r="AH65" s="2531"/>
      <c r="AI65" s="2531"/>
      <c r="AJ65" s="2531"/>
      <c r="AK65" s="2531"/>
      <c r="AL65" s="2531"/>
      <c r="AM65" s="2531"/>
      <c r="AN65" s="2486"/>
      <c r="AO65" s="2464"/>
      <c r="AP65" s="2464"/>
      <c r="AQ65" s="2496"/>
    </row>
    <row r="66" spans="1:43" ht="55.5" customHeight="1" x14ac:dyDescent="0.25">
      <c r="A66" s="2609"/>
      <c r="B66" s="2521"/>
      <c r="C66" s="2523"/>
      <c r="D66" s="2521"/>
      <c r="E66" s="2522"/>
      <c r="F66" s="2523"/>
      <c r="G66" s="1024"/>
      <c r="H66" s="1024"/>
      <c r="I66" s="1025"/>
      <c r="J66" s="2548">
        <v>230</v>
      </c>
      <c r="K66" s="2516" t="s">
        <v>878</v>
      </c>
      <c r="L66" s="2516" t="s">
        <v>879</v>
      </c>
      <c r="M66" s="2556">
        <v>1</v>
      </c>
      <c r="N66" s="2494"/>
      <c r="O66" s="2491"/>
      <c r="P66" s="2469"/>
      <c r="Q66" s="2541">
        <f>(R66)/(R47+R55+R58+R64+R66)</f>
        <v>5.3106212424849697E-2</v>
      </c>
      <c r="R66" s="2542">
        <f>SUM(V66:V68)</f>
        <v>26500000</v>
      </c>
      <c r="S66" s="2490"/>
      <c r="T66" s="2490"/>
      <c r="U66" s="993" t="s">
        <v>880</v>
      </c>
      <c r="V66" s="420">
        <f>7500000+2500000</f>
        <v>10000000</v>
      </c>
      <c r="W66" s="2553"/>
      <c r="X66" s="2533"/>
      <c r="Y66" s="2531"/>
      <c r="Z66" s="2531"/>
      <c r="AA66" s="2531"/>
      <c r="AB66" s="2531"/>
      <c r="AC66" s="2531"/>
      <c r="AD66" s="2531"/>
      <c r="AE66" s="2531"/>
      <c r="AF66" s="2531"/>
      <c r="AG66" s="2531"/>
      <c r="AH66" s="2531"/>
      <c r="AI66" s="2531"/>
      <c r="AJ66" s="2531"/>
      <c r="AK66" s="2531"/>
      <c r="AL66" s="2531"/>
      <c r="AM66" s="2531"/>
      <c r="AN66" s="2486"/>
      <c r="AO66" s="2464"/>
      <c r="AP66" s="2464"/>
      <c r="AQ66" s="2496"/>
    </row>
    <row r="67" spans="1:43" ht="72" customHeight="1" x14ac:dyDescent="0.25">
      <c r="A67" s="2609"/>
      <c r="B67" s="2521"/>
      <c r="C67" s="2523"/>
      <c r="D67" s="2521"/>
      <c r="E67" s="2522"/>
      <c r="F67" s="2523"/>
      <c r="G67" s="1024"/>
      <c r="H67" s="1024"/>
      <c r="I67" s="1025"/>
      <c r="J67" s="2548"/>
      <c r="K67" s="2516"/>
      <c r="L67" s="2516"/>
      <c r="M67" s="2556"/>
      <c r="N67" s="2494"/>
      <c r="O67" s="2491"/>
      <c r="P67" s="2469"/>
      <c r="Q67" s="2541"/>
      <c r="R67" s="2542"/>
      <c r="S67" s="2490"/>
      <c r="T67" s="2490"/>
      <c r="U67" s="993" t="s">
        <v>881</v>
      </c>
      <c r="V67" s="420">
        <v>12500000</v>
      </c>
      <c r="W67" s="2553"/>
      <c r="X67" s="2533"/>
      <c r="Y67" s="2531"/>
      <c r="Z67" s="2531"/>
      <c r="AA67" s="2531"/>
      <c r="AB67" s="2531"/>
      <c r="AC67" s="2531"/>
      <c r="AD67" s="2531"/>
      <c r="AE67" s="2531"/>
      <c r="AF67" s="2531"/>
      <c r="AG67" s="2531"/>
      <c r="AH67" s="2531"/>
      <c r="AI67" s="2531"/>
      <c r="AJ67" s="2531"/>
      <c r="AK67" s="2531"/>
      <c r="AL67" s="2531"/>
      <c r="AM67" s="2531"/>
      <c r="AN67" s="2486"/>
      <c r="AO67" s="2464"/>
      <c r="AP67" s="2464"/>
      <c r="AQ67" s="2496"/>
    </row>
    <row r="68" spans="1:43" ht="43.5" customHeight="1" x14ac:dyDescent="0.25">
      <c r="A68" s="2609"/>
      <c r="B68" s="2521"/>
      <c r="C68" s="2523"/>
      <c r="D68" s="2521"/>
      <c r="E68" s="2522"/>
      <c r="F68" s="2523"/>
      <c r="G68" s="1026"/>
      <c r="H68" s="1026"/>
      <c r="I68" s="1027"/>
      <c r="J68" s="2548"/>
      <c r="K68" s="2516"/>
      <c r="L68" s="2516"/>
      <c r="M68" s="2556"/>
      <c r="N68" s="2555"/>
      <c r="O68" s="2544"/>
      <c r="P68" s="2545"/>
      <c r="Q68" s="2541"/>
      <c r="R68" s="2542"/>
      <c r="S68" s="2490"/>
      <c r="T68" s="2490"/>
      <c r="U68" s="993" t="s">
        <v>873</v>
      </c>
      <c r="V68" s="420">
        <v>4000000</v>
      </c>
      <c r="W68" s="2553"/>
      <c r="X68" s="2554"/>
      <c r="Y68" s="2543"/>
      <c r="Z68" s="2543"/>
      <c r="AA68" s="2543"/>
      <c r="AB68" s="2543"/>
      <c r="AC68" s="2543"/>
      <c r="AD68" s="2543"/>
      <c r="AE68" s="2543"/>
      <c r="AF68" s="2543"/>
      <c r="AG68" s="2543"/>
      <c r="AH68" s="2543"/>
      <c r="AI68" s="2543"/>
      <c r="AJ68" s="2543"/>
      <c r="AK68" s="2543"/>
      <c r="AL68" s="2543"/>
      <c r="AM68" s="2543"/>
      <c r="AN68" s="2486"/>
      <c r="AO68" s="2487"/>
      <c r="AP68" s="2487"/>
      <c r="AQ68" s="2496"/>
    </row>
    <row r="69" spans="1:43" s="467" customFormat="1" ht="15.75" x14ac:dyDescent="0.2">
      <c r="A69" s="2609"/>
      <c r="B69" s="2521"/>
      <c r="C69" s="2523"/>
      <c r="D69" s="2521"/>
      <c r="E69" s="2522"/>
      <c r="F69" s="2523"/>
      <c r="G69" s="975">
        <v>79</v>
      </c>
      <c r="H69" s="399" t="s">
        <v>882</v>
      </c>
      <c r="I69" s="399"/>
      <c r="J69" s="1000"/>
      <c r="K69" s="1001"/>
      <c r="L69" s="1002"/>
      <c r="M69" s="1003"/>
      <c r="N69" s="978"/>
      <c r="O69" s="1028"/>
      <c r="P69" s="400"/>
      <c r="Q69" s="1004"/>
      <c r="R69" s="1005"/>
      <c r="S69" s="1002"/>
      <c r="T69" s="1001"/>
      <c r="U69" s="1001"/>
      <c r="V69" s="1006"/>
      <c r="W69" s="1029"/>
      <c r="X69" s="1019"/>
      <c r="Y69" s="403"/>
      <c r="Z69" s="403"/>
      <c r="AA69" s="403"/>
      <c r="AB69" s="403"/>
      <c r="AC69" s="403"/>
      <c r="AD69" s="403"/>
      <c r="AE69" s="403"/>
      <c r="AF69" s="403"/>
      <c r="AG69" s="403"/>
      <c r="AH69" s="403"/>
      <c r="AI69" s="403"/>
      <c r="AJ69" s="403"/>
      <c r="AK69" s="403"/>
      <c r="AL69" s="403"/>
      <c r="AM69" s="403"/>
      <c r="AN69" s="403"/>
      <c r="AO69" s="403"/>
      <c r="AP69" s="403"/>
      <c r="AQ69" s="1020"/>
    </row>
    <row r="70" spans="1:43" ht="57" customHeight="1" x14ac:dyDescent="0.2">
      <c r="A70" s="2609"/>
      <c r="B70" s="2521"/>
      <c r="C70" s="2523"/>
      <c r="D70" s="2521"/>
      <c r="E70" s="2522"/>
      <c r="F70" s="2523"/>
      <c r="G70" s="467"/>
      <c r="H70" s="984"/>
      <c r="I70" s="833"/>
      <c r="J70" s="2529">
        <v>231</v>
      </c>
      <c r="K70" s="2516" t="s">
        <v>883</v>
      </c>
      <c r="L70" s="2516" t="s">
        <v>884</v>
      </c>
      <c r="M70" s="2510">
        <v>1</v>
      </c>
      <c r="N70" s="2494" t="s">
        <v>885</v>
      </c>
      <c r="O70" s="2539" t="s">
        <v>886</v>
      </c>
      <c r="P70" s="2536" t="s">
        <v>887</v>
      </c>
      <c r="Q70" s="2488">
        <f>(R70)/(R70+R72+R76)</f>
        <v>0.13942307692307693</v>
      </c>
      <c r="R70" s="2489">
        <f>SUM(V70:V71)</f>
        <v>7250000</v>
      </c>
      <c r="S70" s="2490" t="s">
        <v>888</v>
      </c>
      <c r="T70" s="2490" t="s">
        <v>889</v>
      </c>
      <c r="U70" s="993" t="s">
        <v>890</v>
      </c>
      <c r="V70" s="1030">
        <f>1250000+2500000</f>
        <v>3750000</v>
      </c>
      <c r="W70" s="2537" t="s">
        <v>851</v>
      </c>
      <c r="X70" s="2532" t="s">
        <v>852</v>
      </c>
      <c r="Y70" s="2534">
        <v>1657</v>
      </c>
      <c r="Z70" s="2530">
        <v>1599</v>
      </c>
      <c r="AA70" s="2530">
        <v>367</v>
      </c>
      <c r="AB70" s="2530">
        <v>571</v>
      </c>
      <c r="AC70" s="2530">
        <v>1852</v>
      </c>
      <c r="AD70" s="2530"/>
      <c r="AE70" s="2530">
        <v>466</v>
      </c>
      <c r="AF70" s="2530"/>
      <c r="AG70" s="2530"/>
      <c r="AH70" s="2530"/>
      <c r="AI70" s="2530"/>
      <c r="AJ70" s="2530"/>
      <c r="AK70" s="2530"/>
      <c r="AL70" s="2530"/>
      <c r="AM70" s="2530"/>
      <c r="AN70" s="2485">
        <v>3256</v>
      </c>
      <c r="AO70" s="2463">
        <v>43110</v>
      </c>
      <c r="AP70" s="2463">
        <v>43454</v>
      </c>
      <c r="AQ70" s="2457" t="s">
        <v>785</v>
      </c>
    </row>
    <row r="71" spans="1:43" ht="75" x14ac:dyDescent="0.2">
      <c r="A71" s="2609"/>
      <c r="B71" s="2521"/>
      <c r="C71" s="2523"/>
      <c r="D71" s="2521"/>
      <c r="E71" s="2522"/>
      <c r="F71" s="2523"/>
      <c r="G71" s="467"/>
      <c r="H71" s="985"/>
      <c r="I71" s="986"/>
      <c r="J71" s="2529"/>
      <c r="K71" s="2516"/>
      <c r="L71" s="2516"/>
      <c r="M71" s="2510"/>
      <c r="N71" s="2495"/>
      <c r="O71" s="2484"/>
      <c r="P71" s="2469"/>
      <c r="Q71" s="2488"/>
      <c r="R71" s="2489"/>
      <c r="S71" s="2490"/>
      <c r="T71" s="2490"/>
      <c r="U71" s="993" t="s">
        <v>891</v>
      </c>
      <c r="V71" s="1030">
        <f>1000000+2500000</f>
        <v>3500000</v>
      </c>
      <c r="W71" s="2538"/>
      <c r="X71" s="2533"/>
      <c r="Y71" s="2535"/>
      <c r="Z71" s="2531"/>
      <c r="AA71" s="2531"/>
      <c r="AB71" s="2531"/>
      <c r="AC71" s="2531"/>
      <c r="AD71" s="2531"/>
      <c r="AE71" s="2531"/>
      <c r="AF71" s="2531"/>
      <c r="AG71" s="2531"/>
      <c r="AH71" s="2531"/>
      <c r="AI71" s="2531"/>
      <c r="AJ71" s="2531"/>
      <c r="AK71" s="2531"/>
      <c r="AL71" s="2531"/>
      <c r="AM71" s="2531"/>
      <c r="AN71" s="2486"/>
      <c r="AO71" s="2464"/>
      <c r="AP71" s="2464"/>
      <c r="AQ71" s="2458"/>
    </row>
    <row r="72" spans="1:43" ht="36.75" customHeight="1" x14ac:dyDescent="0.2">
      <c r="A72" s="2609"/>
      <c r="B72" s="2521"/>
      <c r="C72" s="2523"/>
      <c r="D72" s="2521"/>
      <c r="E72" s="2522"/>
      <c r="F72" s="2523"/>
      <c r="G72" s="467"/>
      <c r="H72" s="985"/>
      <c r="I72" s="986"/>
      <c r="J72" s="2529">
        <v>232</v>
      </c>
      <c r="K72" s="2516" t="s">
        <v>892</v>
      </c>
      <c r="L72" s="2516" t="s">
        <v>893</v>
      </c>
      <c r="M72" s="2510">
        <v>12</v>
      </c>
      <c r="N72" s="2495"/>
      <c r="O72" s="2484"/>
      <c r="P72" s="2469"/>
      <c r="Q72" s="2488">
        <f>(R72)/(R70+R72+R76)</f>
        <v>0.45769230769230768</v>
      </c>
      <c r="R72" s="2489">
        <f>SUM(V72:V75)</f>
        <v>23800000</v>
      </c>
      <c r="S72" s="2490"/>
      <c r="T72" s="2490"/>
      <c r="U72" s="993" t="s">
        <v>894</v>
      </c>
      <c r="V72" s="1030">
        <f>6000000+5000000</f>
        <v>11000000</v>
      </c>
      <c r="W72" s="2538"/>
      <c r="X72" s="2533"/>
      <c r="Y72" s="2535"/>
      <c r="Z72" s="2531"/>
      <c r="AA72" s="2531"/>
      <c r="AB72" s="2531"/>
      <c r="AC72" s="2531"/>
      <c r="AD72" s="2531"/>
      <c r="AE72" s="2531"/>
      <c r="AF72" s="2531"/>
      <c r="AG72" s="2531"/>
      <c r="AH72" s="2531"/>
      <c r="AI72" s="2531"/>
      <c r="AJ72" s="2531"/>
      <c r="AK72" s="2531"/>
      <c r="AL72" s="2531"/>
      <c r="AM72" s="2531"/>
      <c r="AN72" s="2486"/>
      <c r="AO72" s="2464"/>
      <c r="AP72" s="2464"/>
      <c r="AQ72" s="2458"/>
    </row>
    <row r="73" spans="1:43" ht="77.25" customHeight="1" x14ac:dyDescent="0.2">
      <c r="A73" s="2609"/>
      <c r="B73" s="2521"/>
      <c r="C73" s="2523"/>
      <c r="D73" s="2521"/>
      <c r="E73" s="2522"/>
      <c r="F73" s="2523"/>
      <c r="G73" s="467"/>
      <c r="H73" s="985"/>
      <c r="I73" s="986"/>
      <c r="J73" s="2529"/>
      <c r="K73" s="2516"/>
      <c r="L73" s="2516"/>
      <c r="M73" s="2510"/>
      <c r="N73" s="2495"/>
      <c r="O73" s="2484"/>
      <c r="P73" s="2469"/>
      <c r="Q73" s="2488"/>
      <c r="R73" s="2489"/>
      <c r="S73" s="2490"/>
      <c r="T73" s="2490"/>
      <c r="U73" s="993" t="s">
        <v>895</v>
      </c>
      <c r="V73" s="1030">
        <f>6250000+5000000</f>
        <v>11250000</v>
      </c>
      <c r="W73" s="2538"/>
      <c r="X73" s="2533"/>
      <c r="Y73" s="2535"/>
      <c r="Z73" s="2531"/>
      <c r="AA73" s="2531"/>
      <c r="AB73" s="2531"/>
      <c r="AC73" s="2531"/>
      <c r="AD73" s="2531"/>
      <c r="AE73" s="2531"/>
      <c r="AF73" s="2531"/>
      <c r="AG73" s="2531"/>
      <c r="AH73" s="2531"/>
      <c r="AI73" s="2531"/>
      <c r="AJ73" s="2531"/>
      <c r="AK73" s="2531"/>
      <c r="AL73" s="2531"/>
      <c r="AM73" s="2531"/>
      <c r="AN73" s="2486"/>
      <c r="AO73" s="2464"/>
      <c r="AP73" s="2464"/>
      <c r="AQ73" s="2458"/>
    </row>
    <row r="74" spans="1:43" ht="30.75" customHeight="1" x14ac:dyDescent="0.2">
      <c r="A74" s="2609"/>
      <c r="B74" s="2521"/>
      <c r="C74" s="2523"/>
      <c r="D74" s="2521"/>
      <c r="E74" s="2522"/>
      <c r="F74" s="2523"/>
      <c r="G74" s="467"/>
      <c r="H74" s="985"/>
      <c r="I74" s="986"/>
      <c r="J74" s="2529"/>
      <c r="K74" s="2516"/>
      <c r="L74" s="2516"/>
      <c r="M74" s="2510"/>
      <c r="N74" s="2495"/>
      <c r="O74" s="2484"/>
      <c r="P74" s="2469"/>
      <c r="Q74" s="2488"/>
      <c r="R74" s="2489"/>
      <c r="S74" s="2490"/>
      <c r="T74" s="2490"/>
      <c r="U74" s="993" t="s">
        <v>873</v>
      </c>
      <c r="V74" s="1030">
        <v>500000</v>
      </c>
      <c r="W74" s="2538"/>
      <c r="X74" s="2533"/>
      <c r="Y74" s="2535"/>
      <c r="Z74" s="2531"/>
      <c r="AA74" s="2531"/>
      <c r="AB74" s="2531"/>
      <c r="AC74" s="2531"/>
      <c r="AD74" s="2531"/>
      <c r="AE74" s="2531"/>
      <c r="AF74" s="2531"/>
      <c r="AG74" s="2531"/>
      <c r="AH74" s="2531"/>
      <c r="AI74" s="2531"/>
      <c r="AJ74" s="2531"/>
      <c r="AK74" s="2531"/>
      <c r="AL74" s="2531"/>
      <c r="AM74" s="2531"/>
      <c r="AN74" s="2486"/>
      <c r="AO74" s="2464"/>
      <c r="AP74" s="2464"/>
      <c r="AQ74" s="2458"/>
    </row>
    <row r="75" spans="1:43" ht="24.75" customHeight="1" x14ac:dyDescent="0.2">
      <c r="A75" s="2609"/>
      <c r="B75" s="2521"/>
      <c r="C75" s="2523"/>
      <c r="D75" s="2521"/>
      <c r="E75" s="2522"/>
      <c r="F75" s="2523"/>
      <c r="G75" s="467"/>
      <c r="H75" s="985"/>
      <c r="I75" s="986"/>
      <c r="J75" s="2529"/>
      <c r="K75" s="2516"/>
      <c r="L75" s="2516"/>
      <c r="M75" s="2510"/>
      <c r="N75" s="2495"/>
      <c r="O75" s="2484"/>
      <c r="P75" s="2469"/>
      <c r="Q75" s="2488"/>
      <c r="R75" s="2489"/>
      <c r="S75" s="2490"/>
      <c r="T75" s="2490"/>
      <c r="U75" s="993" t="s">
        <v>896</v>
      </c>
      <c r="V75" s="1030">
        <v>1050000</v>
      </c>
      <c r="W75" s="2538"/>
      <c r="X75" s="2533"/>
      <c r="Y75" s="2535"/>
      <c r="Z75" s="2531"/>
      <c r="AA75" s="2531"/>
      <c r="AB75" s="2531"/>
      <c r="AC75" s="2531"/>
      <c r="AD75" s="2531"/>
      <c r="AE75" s="2531"/>
      <c r="AF75" s="2531"/>
      <c r="AG75" s="2531"/>
      <c r="AH75" s="2531"/>
      <c r="AI75" s="2531"/>
      <c r="AJ75" s="2531"/>
      <c r="AK75" s="2531"/>
      <c r="AL75" s="2531"/>
      <c r="AM75" s="2531"/>
      <c r="AN75" s="2486"/>
      <c r="AO75" s="2464"/>
      <c r="AP75" s="2464"/>
      <c r="AQ75" s="2458"/>
    </row>
    <row r="76" spans="1:43" ht="66" customHeight="1" x14ac:dyDescent="0.2">
      <c r="A76" s="2609"/>
      <c r="B76" s="2521"/>
      <c r="C76" s="2523"/>
      <c r="D76" s="2521"/>
      <c r="E76" s="2522"/>
      <c r="F76" s="2523"/>
      <c r="G76" s="467"/>
      <c r="H76" s="985"/>
      <c r="I76" s="986"/>
      <c r="J76" s="2529">
        <v>233</v>
      </c>
      <c r="K76" s="2516" t="s">
        <v>897</v>
      </c>
      <c r="L76" s="2516" t="s">
        <v>898</v>
      </c>
      <c r="M76" s="2510">
        <v>1</v>
      </c>
      <c r="N76" s="2495"/>
      <c r="O76" s="2484"/>
      <c r="P76" s="2469"/>
      <c r="Q76" s="2488">
        <f>(R76)/(R70+R72+R76)</f>
        <v>0.4028846153846154</v>
      </c>
      <c r="R76" s="2489">
        <f>SUM(V76:V78)</f>
        <v>20950000</v>
      </c>
      <c r="S76" s="2490"/>
      <c r="T76" s="2490"/>
      <c r="U76" s="993" t="s">
        <v>899</v>
      </c>
      <c r="V76" s="1030">
        <f>8200000+2500000</f>
        <v>10700000</v>
      </c>
      <c r="W76" s="2538"/>
      <c r="X76" s="2533"/>
      <c r="Y76" s="2535"/>
      <c r="Z76" s="2531"/>
      <c r="AA76" s="2531"/>
      <c r="AB76" s="2531"/>
      <c r="AC76" s="2531"/>
      <c r="AD76" s="2531"/>
      <c r="AE76" s="2531"/>
      <c r="AF76" s="2531"/>
      <c r="AG76" s="2531"/>
      <c r="AH76" s="2531"/>
      <c r="AI76" s="2531"/>
      <c r="AJ76" s="2531"/>
      <c r="AK76" s="2531"/>
      <c r="AL76" s="2531"/>
      <c r="AM76" s="2531"/>
      <c r="AN76" s="2486"/>
      <c r="AO76" s="2464"/>
      <c r="AP76" s="2464"/>
      <c r="AQ76" s="2458"/>
    </row>
    <row r="77" spans="1:43" ht="60.75" customHeight="1" x14ac:dyDescent="0.2">
      <c r="A77" s="2609"/>
      <c r="B77" s="2521"/>
      <c r="C77" s="2523"/>
      <c r="D77" s="2521"/>
      <c r="E77" s="2522"/>
      <c r="F77" s="2523"/>
      <c r="G77" s="467"/>
      <c r="H77" s="985"/>
      <c r="I77" s="986"/>
      <c r="J77" s="2529"/>
      <c r="K77" s="2516"/>
      <c r="L77" s="2516"/>
      <c r="M77" s="2510"/>
      <c r="N77" s="2495"/>
      <c r="O77" s="2484"/>
      <c r="P77" s="2469"/>
      <c r="Q77" s="2488"/>
      <c r="R77" s="2489"/>
      <c r="S77" s="2490"/>
      <c r="T77" s="2490"/>
      <c r="U77" s="993" t="s">
        <v>900</v>
      </c>
      <c r="V77" s="1030">
        <f>1750000+2500000</f>
        <v>4250000</v>
      </c>
      <c r="W77" s="2538"/>
      <c r="X77" s="2533"/>
      <c r="Y77" s="2535"/>
      <c r="Z77" s="2531"/>
      <c r="AA77" s="2531"/>
      <c r="AB77" s="2531"/>
      <c r="AC77" s="2531"/>
      <c r="AD77" s="2531"/>
      <c r="AE77" s="2531"/>
      <c r="AF77" s="2531"/>
      <c r="AG77" s="2531"/>
      <c r="AH77" s="2531"/>
      <c r="AI77" s="2531"/>
      <c r="AJ77" s="2531"/>
      <c r="AK77" s="2531"/>
      <c r="AL77" s="2531"/>
      <c r="AM77" s="2531"/>
      <c r="AN77" s="2486"/>
      <c r="AO77" s="2464"/>
      <c r="AP77" s="2464"/>
      <c r="AQ77" s="2458"/>
    </row>
    <row r="78" spans="1:43" ht="36.75" customHeight="1" x14ac:dyDescent="0.2">
      <c r="A78" s="2609"/>
      <c r="B78" s="2521"/>
      <c r="C78" s="2523"/>
      <c r="D78" s="2521"/>
      <c r="E78" s="2522"/>
      <c r="F78" s="2523"/>
      <c r="G78" s="467"/>
      <c r="H78" s="998"/>
      <c r="I78" s="999"/>
      <c r="J78" s="2529"/>
      <c r="K78" s="2516"/>
      <c r="L78" s="2516"/>
      <c r="M78" s="2510"/>
      <c r="N78" s="2495"/>
      <c r="O78" s="2484"/>
      <c r="P78" s="2469"/>
      <c r="Q78" s="2488"/>
      <c r="R78" s="2489"/>
      <c r="S78" s="2490"/>
      <c r="T78" s="2490"/>
      <c r="U78" s="993" t="s">
        <v>901</v>
      </c>
      <c r="V78" s="1030">
        <f>1000000+5000000</f>
        <v>6000000</v>
      </c>
      <c r="W78" s="2538"/>
      <c r="X78" s="2533"/>
      <c r="Y78" s="2535"/>
      <c r="Z78" s="2531"/>
      <c r="AA78" s="2531"/>
      <c r="AB78" s="2531"/>
      <c r="AC78" s="2531"/>
      <c r="AD78" s="2531"/>
      <c r="AE78" s="2531"/>
      <c r="AF78" s="2531"/>
      <c r="AG78" s="2531"/>
      <c r="AH78" s="2531"/>
      <c r="AI78" s="2531"/>
      <c r="AJ78" s="2531"/>
      <c r="AK78" s="2531"/>
      <c r="AL78" s="2531"/>
      <c r="AM78" s="2531"/>
      <c r="AN78" s="2486"/>
      <c r="AO78" s="2487"/>
      <c r="AP78" s="2487"/>
      <c r="AQ78" s="2458"/>
    </row>
    <row r="79" spans="1:43" s="467" customFormat="1" ht="15.75" x14ac:dyDescent="0.2">
      <c r="A79" s="2609"/>
      <c r="B79" s="2521"/>
      <c r="C79" s="2523"/>
      <c r="D79" s="2521"/>
      <c r="E79" s="2522"/>
      <c r="F79" s="2523"/>
      <c r="G79" s="975">
        <v>80</v>
      </c>
      <c r="H79" s="399" t="s">
        <v>902</v>
      </c>
      <c r="I79" s="399"/>
      <c r="J79" s="1000"/>
      <c r="K79" s="1001"/>
      <c r="L79" s="1002"/>
      <c r="M79" s="1003"/>
      <c r="N79" s="978"/>
      <c r="O79" s="979"/>
      <c r="P79" s="400"/>
      <c r="Q79" s="1004"/>
      <c r="R79" s="1005"/>
      <c r="S79" s="1002"/>
      <c r="T79" s="1001"/>
      <c r="U79" s="1001"/>
      <c r="V79" s="1006"/>
      <c r="W79" s="403"/>
      <c r="X79" s="1019"/>
      <c r="Y79" s="399"/>
      <c r="Z79" s="399"/>
      <c r="AA79" s="399"/>
      <c r="AB79" s="399"/>
      <c r="AC79" s="399"/>
      <c r="AD79" s="399"/>
      <c r="AE79" s="399"/>
      <c r="AF79" s="399"/>
      <c r="AG79" s="399"/>
      <c r="AH79" s="399"/>
      <c r="AI79" s="399"/>
      <c r="AJ79" s="399"/>
      <c r="AK79" s="406"/>
      <c r="AL79" s="406"/>
      <c r="AM79" s="406"/>
      <c r="AN79" s="406"/>
      <c r="AO79" s="1031"/>
      <c r="AP79" s="1031"/>
      <c r="AQ79" s="1032"/>
    </row>
    <row r="80" spans="1:43" ht="61.5" customHeight="1" x14ac:dyDescent="0.2">
      <c r="A80" s="2609"/>
      <c r="B80" s="2521"/>
      <c r="C80" s="2523"/>
      <c r="D80" s="2521"/>
      <c r="E80" s="2522"/>
      <c r="F80" s="2523"/>
      <c r="G80" s="467"/>
      <c r="H80" s="984"/>
      <c r="I80" s="833"/>
      <c r="J80" s="2510">
        <v>234</v>
      </c>
      <c r="K80" s="2509" t="s">
        <v>903</v>
      </c>
      <c r="L80" s="2509" t="s">
        <v>904</v>
      </c>
      <c r="M80" s="2493">
        <v>2</v>
      </c>
      <c r="N80" s="2494" t="s">
        <v>905</v>
      </c>
      <c r="O80" s="2484" t="s">
        <v>906</v>
      </c>
      <c r="P80" s="2469" t="s">
        <v>907</v>
      </c>
      <c r="Q80" s="2488">
        <f>(R80)/((R80+R82))</f>
        <v>0.38095238095238093</v>
      </c>
      <c r="R80" s="2489">
        <f>SUM(V80:V81)</f>
        <v>24000000</v>
      </c>
      <c r="S80" s="2490" t="s">
        <v>908</v>
      </c>
      <c r="T80" s="2490" t="s">
        <v>909</v>
      </c>
      <c r="U80" s="993" t="s">
        <v>910</v>
      </c>
      <c r="V80" s="1030">
        <f>6000000+7000000</f>
        <v>13000000</v>
      </c>
      <c r="W80" s="2497" t="s">
        <v>911</v>
      </c>
      <c r="X80" s="2471" t="s">
        <v>912</v>
      </c>
      <c r="Y80" s="2485">
        <v>1228</v>
      </c>
      <c r="Z80" s="2485">
        <v>1184</v>
      </c>
      <c r="AA80" s="2485">
        <v>578</v>
      </c>
      <c r="AB80" s="2485">
        <v>485</v>
      </c>
      <c r="AC80" s="2485">
        <v>1004</v>
      </c>
      <c r="AD80" s="2485">
        <v>345</v>
      </c>
      <c r="AE80" s="2485"/>
      <c r="AF80" s="2485"/>
      <c r="AG80" s="2485"/>
      <c r="AH80" s="2485"/>
      <c r="AI80" s="2485"/>
      <c r="AJ80" s="2485"/>
      <c r="AK80" s="2485"/>
      <c r="AL80" s="2485"/>
      <c r="AM80" s="2485"/>
      <c r="AN80" s="2485">
        <v>2412</v>
      </c>
      <c r="AO80" s="2463">
        <v>43110</v>
      </c>
      <c r="AP80" s="2463">
        <v>43454</v>
      </c>
      <c r="AQ80" s="2457" t="s">
        <v>785</v>
      </c>
    </row>
    <row r="81" spans="1:43" ht="55.5" customHeight="1" x14ac:dyDescent="0.2">
      <c r="A81" s="2609"/>
      <c r="B81" s="2521"/>
      <c r="C81" s="2523"/>
      <c r="D81" s="2521"/>
      <c r="E81" s="2522"/>
      <c r="F81" s="2523"/>
      <c r="G81" s="467"/>
      <c r="H81" s="985"/>
      <c r="I81" s="986"/>
      <c r="J81" s="2510"/>
      <c r="K81" s="2509"/>
      <c r="L81" s="2509"/>
      <c r="M81" s="2493"/>
      <c r="N81" s="2495"/>
      <c r="O81" s="2484"/>
      <c r="P81" s="2469"/>
      <c r="Q81" s="2488"/>
      <c r="R81" s="2489"/>
      <c r="S81" s="2490"/>
      <c r="T81" s="2490"/>
      <c r="U81" s="993" t="s">
        <v>913</v>
      </c>
      <c r="V81" s="1030">
        <f>4000000+7000000</f>
        <v>11000000</v>
      </c>
      <c r="W81" s="2498"/>
      <c r="X81" s="2471"/>
      <c r="Y81" s="2486"/>
      <c r="Z81" s="2486"/>
      <c r="AA81" s="2486"/>
      <c r="AB81" s="2486"/>
      <c r="AC81" s="2486"/>
      <c r="AD81" s="2486"/>
      <c r="AE81" s="2486"/>
      <c r="AF81" s="2486"/>
      <c r="AG81" s="2486"/>
      <c r="AH81" s="2486"/>
      <c r="AI81" s="2486"/>
      <c r="AJ81" s="2486"/>
      <c r="AK81" s="2486"/>
      <c r="AL81" s="2486"/>
      <c r="AM81" s="2486"/>
      <c r="AN81" s="2486"/>
      <c r="AO81" s="2464"/>
      <c r="AP81" s="2464"/>
      <c r="AQ81" s="2458"/>
    </row>
    <row r="82" spans="1:43" ht="34.5" customHeight="1" x14ac:dyDescent="0.2">
      <c r="A82" s="2609"/>
      <c r="B82" s="2521"/>
      <c r="C82" s="2523"/>
      <c r="D82" s="2521"/>
      <c r="E82" s="2522"/>
      <c r="F82" s="2523"/>
      <c r="G82" s="467"/>
      <c r="H82" s="985"/>
      <c r="I82" s="986"/>
      <c r="J82" s="2510">
        <v>235</v>
      </c>
      <c r="K82" s="2509" t="s">
        <v>914</v>
      </c>
      <c r="L82" s="2516" t="s">
        <v>915</v>
      </c>
      <c r="M82" s="2493">
        <v>2</v>
      </c>
      <c r="N82" s="2495"/>
      <c r="O82" s="2484"/>
      <c r="P82" s="2469"/>
      <c r="Q82" s="2488">
        <f>(R82)/(R80+R82)</f>
        <v>0.61904761904761907</v>
      </c>
      <c r="R82" s="2489">
        <f>SUM(V82:V88)</f>
        <v>39000000</v>
      </c>
      <c r="S82" s="2490"/>
      <c r="T82" s="2490"/>
      <c r="U82" s="988" t="s">
        <v>916</v>
      </c>
      <c r="V82" s="1030">
        <v>3250000</v>
      </c>
      <c r="W82" s="2498"/>
      <c r="X82" s="2471"/>
      <c r="Y82" s="2486"/>
      <c r="Z82" s="2486"/>
      <c r="AA82" s="2486"/>
      <c r="AB82" s="2486"/>
      <c r="AC82" s="2486"/>
      <c r="AD82" s="2486"/>
      <c r="AE82" s="2486"/>
      <c r="AF82" s="2486"/>
      <c r="AG82" s="2486"/>
      <c r="AH82" s="2486"/>
      <c r="AI82" s="2486"/>
      <c r="AJ82" s="2486"/>
      <c r="AK82" s="2486"/>
      <c r="AL82" s="2486"/>
      <c r="AM82" s="2486"/>
      <c r="AN82" s="2486"/>
      <c r="AO82" s="2464"/>
      <c r="AP82" s="2464"/>
      <c r="AQ82" s="2458"/>
    </row>
    <row r="83" spans="1:43" ht="45" x14ac:dyDescent="0.2">
      <c r="A83" s="2609"/>
      <c r="B83" s="2521"/>
      <c r="C83" s="2523"/>
      <c r="D83" s="2521"/>
      <c r="E83" s="2522"/>
      <c r="F83" s="2523"/>
      <c r="G83" s="467"/>
      <c r="H83" s="985"/>
      <c r="I83" s="986"/>
      <c r="J83" s="2510"/>
      <c r="K83" s="2509"/>
      <c r="L83" s="2516"/>
      <c r="M83" s="2493"/>
      <c r="N83" s="2495"/>
      <c r="O83" s="2484"/>
      <c r="P83" s="2469"/>
      <c r="Q83" s="2488"/>
      <c r="R83" s="2489"/>
      <c r="S83" s="2490"/>
      <c r="T83" s="2490"/>
      <c r="U83" s="988" t="s">
        <v>917</v>
      </c>
      <c r="V83" s="1030">
        <f>1000000+7000000</f>
        <v>8000000</v>
      </c>
      <c r="W83" s="2498"/>
      <c r="X83" s="2471"/>
      <c r="Y83" s="2486"/>
      <c r="Z83" s="2486"/>
      <c r="AA83" s="2486"/>
      <c r="AB83" s="2486"/>
      <c r="AC83" s="2486"/>
      <c r="AD83" s="2486"/>
      <c r="AE83" s="2486"/>
      <c r="AF83" s="2486"/>
      <c r="AG83" s="2486"/>
      <c r="AH83" s="2486"/>
      <c r="AI83" s="2486"/>
      <c r="AJ83" s="2486"/>
      <c r="AK83" s="2486"/>
      <c r="AL83" s="2486"/>
      <c r="AM83" s="2486"/>
      <c r="AN83" s="2486"/>
      <c r="AO83" s="2464"/>
      <c r="AP83" s="2464"/>
      <c r="AQ83" s="2458"/>
    </row>
    <row r="84" spans="1:43" ht="27" customHeight="1" x14ac:dyDescent="0.2">
      <c r="A84" s="2609"/>
      <c r="B84" s="2521"/>
      <c r="C84" s="2523"/>
      <c r="D84" s="2521"/>
      <c r="E84" s="2522"/>
      <c r="F84" s="2523"/>
      <c r="G84" s="467"/>
      <c r="H84" s="985"/>
      <c r="I84" s="986"/>
      <c r="J84" s="2510"/>
      <c r="K84" s="2509"/>
      <c r="L84" s="2516"/>
      <c r="M84" s="2493"/>
      <c r="N84" s="2495"/>
      <c r="O84" s="2484"/>
      <c r="P84" s="2469"/>
      <c r="Q84" s="2488"/>
      <c r="R84" s="2489"/>
      <c r="S84" s="2490"/>
      <c r="T84" s="2490"/>
      <c r="U84" s="988" t="s">
        <v>918</v>
      </c>
      <c r="V84" s="1030">
        <v>7000000</v>
      </c>
      <c r="W84" s="2498"/>
      <c r="X84" s="2471"/>
      <c r="Y84" s="2486"/>
      <c r="Z84" s="2486"/>
      <c r="AA84" s="2486"/>
      <c r="AB84" s="2486"/>
      <c r="AC84" s="2486"/>
      <c r="AD84" s="2486"/>
      <c r="AE84" s="2486"/>
      <c r="AF84" s="2486"/>
      <c r="AG84" s="2486"/>
      <c r="AH84" s="2486"/>
      <c r="AI84" s="2486"/>
      <c r="AJ84" s="2486"/>
      <c r="AK84" s="2486"/>
      <c r="AL84" s="2486"/>
      <c r="AM84" s="2486"/>
      <c r="AN84" s="2486"/>
      <c r="AO84" s="2464"/>
      <c r="AP84" s="2464"/>
      <c r="AQ84" s="2458"/>
    </row>
    <row r="85" spans="1:43" ht="33.75" customHeight="1" x14ac:dyDescent="0.2">
      <c r="A85" s="2609"/>
      <c r="B85" s="2521"/>
      <c r="C85" s="2523"/>
      <c r="D85" s="2521"/>
      <c r="E85" s="2522"/>
      <c r="F85" s="2523"/>
      <c r="G85" s="467"/>
      <c r="H85" s="985"/>
      <c r="I85" s="986"/>
      <c r="J85" s="2510"/>
      <c r="K85" s="2509"/>
      <c r="L85" s="2516"/>
      <c r="M85" s="2493"/>
      <c r="N85" s="2495"/>
      <c r="O85" s="2484"/>
      <c r="P85" s="2469"/>
      <c r="Q85" s="2488"/>
      <c r="R85" s="2489"/>
      <c r="S85" s="2490"/>
      <c r="T85" s="2490"/>
      <c r="U85" s="988" t="s">
        <v>919</v>
      </c>
      <c r="V85" s="1030">
        <v>2750000</v>
      </c>
      <c r="W85" s="2498"/>
      <c r="X85" s="2471"/>
      <c r="Y85" s="2486"/>
      <c r="Z85" s="2486"/>
      <c r="AA85" s="2486"/>
      <c r="AB85" s="2486"/>
      <c r="AC85" s="2486"/>
      <c r="AD85" s="2486"/>
      <c r="AE85" s="2486"/>
      <c r="AF85" s="2486"/>
      <c r="AG85" s="2486"/>
      <c r="AH85" s="2486"/>
      <c r="AI85" s="2486"/>
      <c r="AJ85" s="2486"/>
      <c r="AK85" s="2486"/>
      <c r="AL85" s="2486"/>
      <c r="AM85" s="2486"/>
      <c r="AN85" s="2486"/>
      <c r="AO85" s="2464"/>
      <c r="AP85" s="2464"/>
      <c r="AQ85" s="2458"/>
    </row>
    <row r="86" spans="1:43" ht="25.5" customHeight="1" x14ac:dyDescent="0.2">
      <c r="A86" s="2609"/>
      <c r="B86" s="2521"/>
      <c r="C86" s="2523"/>
      <c r="D86" s="2521"/>
      <c r="E86" s="2522"/>
      <c r="F86" s="2523"/>
      <c r="G86" s="467"/>
      <c r="H86" s="985"/>
      <c r="I86" s="986"/>
      <c r="J86" s="2510"/>
      <c r="K86" s="2509"/>
      <c r="L86" s="2516"/>
      <c r="M86" s="2493"/>
      <c r="N86" s="2495"/>
      <c r="O86" s="2484"/>
      <c r="P86" s="2469"/>
      <c r="Q86" s="2488"/>
      <c r="R86" s="2489"/>
      <c r="S86" s="2490"/>
      <c r="T86" s="2490"/>
      <c r="U86" s="988" t="s">
        <v>896</v>
      </c>
      <c r="V86" s="1030">
        <v>1000000</v>
      </c>
      <c r="W86" s="2498"/>
      <c r="X86" s="2471"/>
      <c r="Y86" s="2486"/>
      <c r="Z86" s="2486"/>
      <c r="AA86" s="2486"/>
      <c r="AB86" s="2486"/>
      <c r="AC86" s="2486"/>
      <c r="AD86" s="2486"/>
      <c r="AE86" s="2486"/>
      <c r="AF86" s="2486"/>
      <c r="AG86" s="2486"/>
      <c r="AH86" s="2486"/>
      <c r="AI86" s="2486"/>
      <c r="AJ86" s="2486"/>
      <c r="AK86" s="2486"/>
      <c r="AL86" s="2486"/>
      <c r="AM86" s="2486"/>
      <c r="AN86" s="2486"/>
      <c r="AO86" s="2464"/>
      <c r="AP86" s="2464"/>
      <c r="AQ86" s="2458"/>
    </row>
    <row r="87" spans="1:43" ht="32.25" customHeight="1" x14ac:dyDescent="0.2">
      <c r="A87" s="2609"/>
      <c r="B87" s="2521"/>
      <c r="C87" s="2523"/>
      <c r="D87" s="2521"/>
      <c r="E87" s="2522"/>
      <c r="F87" s="2523"/>
      <c r="G87" s="467"/>
      <c r="H87" s="985"/>
      <c r="I87" s="986"/>
      <c r="J87" s="2510"/>
      <c r="K87" s="2509"/>
      <c r="L87" s="2516"/>
      <c r="M87" s="2493"/>
      <c r="N87" s="2495"/>
      <c r="O87" s="2484"/>
      <c r="P87" s="2469"/>
      <c r="Q87" s="2488"/>
      <c r="R87" s="2489"/>
      <c r="S87" s="2490"/>
      <c r="T87" s="2490"/>
      <c r="U87" s="988" t="s">
        <v>920</v>
      </c>
      <c r="V87" s="1030">
        <f>3000000+7000000</f>
        <v>10000000</v>
      </c>
      <c r="W87" s="2498"/>
      <c r="X87" s="2471"/>
      <c r="Y87" s="2486"/>
      <c r="Z87" s="2486"/>
      <c r="AA87" s="2486"/>
      <c r="AB87" s="2486"/>
      <c r="AC87" s="2486"/>
      <c r="AD87" s="2486"/>
      <c r="AE87" s="2486"/>
      <c r="AF87" s="2486"/>
      <c r="AG87" s="2486"/>
      <c r="AH87" s="2486"/>
      <c r="AI87" s="2486"/>
      <c r="AJ87" s="2486"/>
      <c r="AK87" s="2486"/>
      <c r="AL87" s="2486"/>
      <c r="AM87" s="2486"/>
      <c r="AN87" s="2486"/>
      <c r="AO87" s="2464"/>
      <c r="AP87" s="2464"/>
      <c r="AQ87" s="2458"/>
    </row>
    <row r="88" spans="1:43" ht="30" x14ac:dyDescent="0.2">
      <c r="A88" s="2609"/>
      <c r="B88" s="2521"/>
      <c r="C88" s="2523"/>
      <c r="D88" s="2524"/>
      <c r="E88" s="2525"/>
      <c r="F88" s="2526"/>
      <c r="G88" s="467"/>
      <c r="H88" s="998"/>
      <c r="I88" s="999"/>
      <c r="J88" s="2510"/>
      <c r="K88" s="2509"/>
      <c r="L88" s="2516"/>
      <c r="M88" s="2493"/>
      <c r="N88" s="2495"/>
      <c r="O88" s="2484"/>
      <c r="P88" s="2469"/>
      <c r="Q88" s="2488"/>
      <c r="R88" s="2489"/>
      <c r="S88" s="2490"/>
      <c r="T88" s="2490"/>
      <c r="U88" s="988" t="s">
        <v>921</v>
      </c>
      <c r="V88" s="1030">
        <v>7000000</v>
      </c>
      <c r="W88" s="2498"/>
      <c r="X88" s="2471"/>
      <c r="Y88" s="2486"/>
      <c r="Z88" s="2486"/>
      <c r="AA88" s="2486"/>
      <c r="AB88" s="2486"/>
      <c r="AC88" s="2486"/>
      <c r="AD88" s="2486"/>
      <c r="AE88" s="2486"/>
      <c r="AF88" s="2486"/>
      <c r="AG88" s="2486"/>
      <c r="AH88" s="2486"/>
      <c r="AI88" s="2486"/>
      <c r="AJ88" s="2486"/>
      <c r="AK88" s="2486"/>
      <c r="AL88" s="2486"/>
      <c r="AM88" s="2486"/>
      <c r="AN88" s="2486"/>
      <c r="AO88" s="2487"/>
      <c r="AP88" s="2487"/>
      <c r="AQ88" s="2458"/>
    </row>
    <row r="89" spans="1:43" s="467" customFormat="1" ht="15.75" x14ac:dyDescent="0.2">
      <c r="A89" s="2609"/>
      <c r="B89" s="2521"/>
      <c r="C89" s="2523"/>
      <c r="D89" s="963">
        <v>25</v>
      </c>
      <c r="E89" s="565" t="s">
        <v>922</v>
      </c>
      <c r="F89" s="565"/>
      <c r="G89" s="964"/>
      <c r="H89" s="964"/>
      <c r="I89" s="964"/>
      <c r="J89" s="1013"/>
      <c r="K89" s="1014"/>
      <c r="L89" s="511"/>
      <c r="M89" s="510"/>
      <c r="N89" s="968"/>
      <c r="O89" s="965"/>
      <c r="P89" s="967"/>
      <c r="Q89" s="1015"/>
      <c r="R89" s="1016"/>
      <c r="S89" s="511"/>
      <c r="T89" s="1014"/>
      <c r="U89" s="1014"/>
      <c r="V89" s="1017"/>
      <c r="W89" s="971"/>
      <c r="X89" s="1033"/>
      <c r="Y89" s="964"/>
      <c r="Z89" s="964"/>
      <c r="AA89" s="964"/>
      <c r="AB89" s="964"/>
      <c r="AC89" s="964"/>
      <c r="AD89" s="964"/>
      <c r="AE89" s="964"/>
      <c r="AF89" s="964"/>
      <c r="AG89" s="964"/>
      <c r="AH89" s="964"/>
      <c r="AI89" s="964"/>
      <c r="AJ89" s="964"/>
      <c r="AK89" s="964"/>
      <c r="AL89" s="973"/>
      <c r="AM89" s="967"/>
      <c r="AN89" s="967"/>
      <c r="AO89" s="1034"/>
      <c r="AP89" s="1034"/>
      <c r="AQ89" s="974"/>
    </row>
    <row r="90" spans="1:43" s="467" customFormat="1" ht="15.75" x14ac:dyDescent="0.2">
      <c r="A90" s="2609"/>
      <c r="B90" s="2521"/>
      <c r="C90" s="2523"/>
      <c r="D90" s="2518"/>
      <c r="E90" s="2519"/>
      <c r="F90" s="2520"/>
      <c r="G90" s="975">
        <v>81</v>
      </c>
      <c r="H90" s="399" t="s">
        <v>923</v>
      </c>
      <c r="I90" s="399"/>
      <c r="J90" s="976"/>
      <c r="K90" s="977"/>
      <c r="L90" s="749"/>
      <c r="M90" s="754"/>
      <c r="N90" s="978"/>
      <c r="O90" s="979"/>
      <c r="P90" s="400"/>
      <c r="Q90" s="980"/>
      <c r="R90" s="981"/>
      <c r="S90" s="749"/>
      <c r="T90" s="977"/>
      <c r="U90" s="977"/>
      <c r="V90" s="753"/>
      <c r="W90" s="403"/>
      <c r="X90" s="1019"/>
      <c r="Y90" s="403"/>
      <c r="Z90" s="403"/>
      <c r="AA90" s="403"/>
      <c r="AB90" s="403"/>
      <c r="AC90" s="403"/>
      <c r="AD90" s="403"/>
      <c r="AE90" s="403"/>
      <c r="AF90" s="403"/>
      <c r="AG90" s="403"/>
      <c r="AH90" s="403"/>
      <c r="AI90" s="403"/>
      <c r="AJ90" s="403"/>
      <c r="AK90" s="406"/>
      <c r="AL90" s="406"/>
      <c r="AM90" s="400"/>
      <c r="AN90" s="400"/>
      <c r="AO90" s="1035"/>
      <c r="AP90" s="1035"/>
      <c r="AQ90" s="407"/>
    </row>
    <row r="91" spans="1:43" ht="53.25" customHeight="1" x14ac:dyDescent="0.2">
      <c r="A91" s="2609"/>
      <c r="B91" s="2521"/>
      <c r="C91" s="2523"/>
      <c r="D91" s="2521"/>
      <c r="E91" s="2522"/>
      <c r="F91" s="2523"/>
      <c r="G91" s="467"/>
      <c r="H91" s="984"/>
      <c r="I91" s="833"/>
      <c r="J91" s="2510">
        <v>236</v>
      </c>
      <c r="K91" s="2509" t="s">
        <v>924</v>
      </c>
      <c r="L91" s="2516" t="s">
        <v>925</v>
      </c>
      <c r="M91" s="2517">
        <v>5</v>
      </c>
      <c r="N91" s="2527" t="s">
        <v>926</v>
      </c>
      <c r="O91" s="2484" t="s">
        <v>927</v>
      </c>
      <c r="P91" s="2469" t="s">
        <v>928</v>
      </c>
      <c r="Q91" s="2488">
        <f>(R91)/(R91+R94+R97+R102+R104)</f>
        <v>0.16933265012393328</v>
      </c>
      <c r="R91" s="2511">
        <f>SUM(V91:V93)</f>
        <v>105000000</v>
      </c>
      <c r="S91" s="2490" t="s">
        <v>929</v>
      </c>
      <c r="T91" s="2490" t="s">
        <v>930</v>
      </c>
      <c r="U91" s="993" t="s">
        <v>931</v>
      </c>
      <c r="V91" s="1036">
        <f>30000000+20000000</f>
        <v>50000000</v>
      </c>
      <c r="W91" s="2497" t="s">
        <v>851</v>
      </c>
      <c r="X91" s="2471" t="s">
        <v>912</v>
      </c>
      <c r="Y91" s="2512">
        <v>9110</v>
      </c>
      <c r="Z91" s="2512">
        <v>8787</v>
      </c>
      <c r="AA91" s="2512">
        <v>4273</v>
      </c>
      <c r="AB91" s="2512">
        <v>3599</v>
      </c>
      <c r="AC91" s="2512">
        <v>7443</v>
      </c>
      <c r="AD91" s="2512">
        <v>2562</v>
      </c>
      <c r="AE91" s="2485"/>
      <c r="AF91" s="2485"/>
      <c r="AG91" s="2485"/>
      <c r="AH91" s="2485"/>
      <c r="AI91" s="2485"/>
      <c r="AJ91" s="2485"/>
      <c r="AK91" s="2485"/>
      <c r="AL91" s="2485"/>
      <c r="AM91" s="2485"/>
      <c r="AN91" s="2485">
        <v>17897</v>
      </c>
      <c r="AO91" s="2463">
        <v>43110</v>
      </c>
      <c r="AP91" s="2463">
        <v>43454</v>
      </c>
      <c r="AQ91" s="2457" t="s">
        <v>785</v>
      </c>
    </row>
    <row r="92" spans="1:43" ht="40.5" customHeight="1" x14ac:dyDescent="0.2">
      <c r="A92" s="2609"/>
      <c r="B92" s="2521"/>
      <c r="C92" s="2523"/>
      <c r="D92" s="2521"/>
      <c r="E92" s="2522"/>
      <c r="F92" s="2523"/>
      <c r="G92" s="467"/>
      <c r="H92" s="985"/>
      <c r="I92" s="986"/>
      <c r="J92" s="2510"/>
      <c r="K92" s="2509"/>
      <c r="L92" s="2516"/>
      <c r="M92" s="2517"/>
      <c r="N92" s="2527"/>
      <c r="O92" s="2484"/>
      <c r="P92" s="2469"/>
      <c r="Q92" s="2488"/>
      <c r="R92" s="2511"/>
      <c r="S92" s="2490"/>
      <c r="T92" s="2490"/>
      <c r="U92" s="993" t="s">
        <v>932</v>
      </c>
      <c r="V92" s="1036">
        <f>25000000+17000000</f>
        <v>42000000</v>
      </c>
      <c r="W92" s="2498"/>
      <c r="X92" s="2471"/>
      <c r="Y92" s="2513"/>
      <c r="Z92" s="2513"/>
      <c r="AA92" s="2513"/>
      <c r="AB92" s="2513"/>
      <c r="AC92" s="2513"/>
      <c r="AD92" s="2513"/>
      <c r="AE92" s="2486"/>
      <c r="AF92" s="2486"/>
      <c r="AG92" s="2486"/>
      <c r="AH92" s="2486"/>
      <c r="AI92" s="2486"/>
      <c r="AJ92" s="2486"/>
      <c r="AK92" s="2486"/>
      <c r="AL92" s="2486"/>
      <c r="AM92" s="2486"/>
      <c r="AN92" s="2486"/>
      <c r="AO92" s="2464"/>
      <c r="AP92" s="2464"/>
      <c r="AQ92" s="2515"/>
    </row>
    <row r="93" spans="1:43" ht="32.25" customHeight="1" x14ac:dyDescent="0.2">
      <c r="A93" s="2609"/>
      <c r="B93" s="2521"/>
      <c r="C93" s="2523"/>
      <c r="D93" s="2521"/>
      <c r="E93" s="2522"/>
      <c r="F93" s="2523"/>
      <c r="G93" s="467"/>
      <c r="H93" s="985"/>
      <c r="I93" s="986"/>
      <c r="J93" s="2510"/>
      <c r="K93" s="2509"/>
      <c r="L93" s="2516"/>
      <c r="M93" s="2517"/>
      <c r="N93" s="2527"/>
      <c r="O93" s="2484"/>
      <c r="P93" s="2469"/>
      <c r="Q93" s="2488"/>
      <c r="R93" s="2511"/>
      <c r="S93" s="2490"/>
      <c r="T93" s="2490"/>
      <c r="U93" s="993" t="s">
        <v>933</v>
      </c>
      <c r="V93" s="1036">
        <f>8000000+5000000</f>
        <v>13000000</v>
      </c>
      <c r="W93" s="2498"/>
      <c r="X93" s="2471"/>
      <c r="Y93" s="2513"/>
      <c r="Z93" s="2513"/>
      <c r="AA93" s="2513"/>
      <c r="AB93" s="2513"/>
      <c r="AC93" s="2513"/>
      <c r="AD93" s="2513"/>
      <c r="AE93" s="2486"/>
      <c r="AF93" s="2486"/>
      <c r="AG93" s="2486"/>
      <c r="AH93" s="2486"/>
      <c r="AI93" s="2486"/>
      <c r="AJ93" s="2486"/>
      <c r="AK93" s="2486"/>
      <c r="AL93" s="2486"/>
      <c r="AM93" s="2486"/>
      <c r="AN93" s="2486"/>
      <c r="AO93" s="2464"/>
      <c r="AP93" s="2464"/>
      <c r="AQ93" s="2515"/>
    </row>
    <row r="94" spans="1:43" ht="54" customHeight="1" x14ac:dyDescent="0.2">
      <c r="A94" s="2609"/>
      <c r="B94" s="2521"/>
      <c r="C94" s="2523"/>
      <c r="D94" s="2521"/>
      <c r="E94" s="2522"/>
      <c r="F94" s="2523"/>
      <c r="G94" s="467"/>
      <c r="H94" s="985"/>
      <c r="I94" s="986"/>
      <c r="J94" s="2510">
        <v>237</v>
      </c>
      <c r="K94" s="2509" t="s">
        <v>934</v>
      </c>
      <c r="L94" s="2516" t="s">
        <v>935</v>
      </c>
      <c r="M94" s="2517">
        <v>20</v>
      </c>
      <c r="N94" s="2527"/>
      <c r="O94" s="2484"/>
      <c r="P94" s="2469"/>
      <c r="Q94" s="2488">
        <f>(R94)/(R91+R94+R97+R102+R104)</f>
        <v>4.3542681460439984E-2</v>
      </c>
      <c r="R94" s="2511">
        <f>SUM(V94:V96)</f>
        <v>27000000</v>
      </c>
      <c r="S94" s="2490"/>
      <c r="T94" s="2490"/>
      <c r="U94" s="989" t="s">
        <v>936</v>
      </c>
      <c r="V94" s="1036">
        <f>12000000+2000000</f>
        <v>14000000</v>
      </c>
      <c r="W94" s="2498"/>
      <c r="X94" s="2471"/>
      <c r="Y94" s="2513"/>
      <c r="Z94" s="2513"/>
      <c r="AA94" s="2513"/>
      <c r="AB94" s="2513"/>
      <c r="AC94" s="2513"/>
      <c r="AD94" s="2513"/>
      <c r="AE94" s="2486"/>
      <c r="AF94" s="2486"/>
      <c r="AG94" s="2486"/>
      <c r="AH94" s="2486"/>
      <c r="AI94" s="2486"/>
      <c r="AJ94" s="2486"/>
      <c r="AK94" s="2486"/>
      <c r="AL94" s="2486"/>
      <c r="AM94" s="2486"/>
      <c r="AN94" s="2486"/>
      <c r="AO94" s="2464"/>
      <c r="AP94" s="2464"/>
      <c r="AQ94" s="2515"/>
    </row>
    <row r="95" spans="1:43" ht="34.5" customHeight="1" x14ac:dyDescent="0.2">
      <c r="A95" s="2609"/>
      <c r="B95" s="2521"/>
      <c r="C95" s="2523"/>
      <c r="D95" s="2521"/>
      <c r="E95" s="2522"/>
      <c r="F95" s="2523"/>
      <c r="G95" s="467"/>
      <c r="H95" s="985"/>
      <c r="I95" s="986"/>
      <c r="J95" s="2510"/>
      <c r="K95" s="2509"/>
      <c r="L95" s="2516"/>
      <c r="M95" s="2517"/>
      <c r="N95" s="2527"/>
      <c r="O95" s="2484"/>
      <c r="P95" s="2469"/>
      <c r="Q95" s="2488"/>
      <c r="R95" s="2511"/>
      <c r="S95" s="2490"/>
      <c r="T95" s="2490"/>
      <c r="U95" s="988" t="s">
        <v>937</v>
      </c>
      <c r="V95" s="1036">
        <f>5000000+1000000</f>
        <v>6000000</v>
      </c>
      <c r="W95" s="2498"/>
      <c r="X95" s="2471"/>
      <c r="Y95" s="2513"/>
      <c r="Z95" s="2513"/>
      <c r="AA95" s="2513"/>
      <c r="AB95" s="2513"/>
      <c r="AC95" s="2513"/>
      <c r="AD95" s="2513"/>
      <c r="AE95" s="2486"/>
      <c r="AF95" s="2486"/>
      <c r="AG95" s="2486"/>
      <c r="AH95" s="2486"/>
      <c r="AI95" s="2486"/>
      <c r="AJ95" s="2486"/>
      <c r="AK95" s="2486"/>
      <c r="AL95" s="2486"/>
      <c r="AM95" s="2486"/>
      <c r="AN95" s="2486"/>
      <c r="AO95" s="2464"/>
      <c r="AP95" s="2464"/>
      <c r="AQ95" s="2515"/>
    </row>
    <row r="96" spans="1:43" ht="29.25" customHeight="1" x14ac:dyDescent="0.2">
      <c r="A96" s="2609"/>
      <c r="B96" s="2521"/>
      <c r="C96" s="2523"/>
      <c r="D96" s="2521"/>
      <c r="E96" s="2522"/>
      <c r="F96" s="2523"/>
      <c r="G96" s="467"/>
      <c r="H96" s="985"/>
      <c r="I96" s="986"/>
      <c r="J96" s="2510"/>
      <c r="K96" s="2509"/>
      <c r="L96" s="2516"/>
      <c r="M96" s="2517"/>
      <c r="N96" s="2527"/>
      <c r="O96" s="2484"/>
      <c r="P96" s="2469"/>
      <c r="Q96" s="2488"/>
      <c r="R96" s="2511"/>
      <c r="S96" s="2490"/>
      <c r="T96" s="2490"/>
      <c r="U96" s="988" t="s">
        <v>938</v>
      </c>
      <c r="V96" s="1036">
        <f>5000000+2000000</f>
        <v>7000000</v>
      </c>
      <c r="W96" s="2498"/>
      <c r="X96" s="2471"/>
      <c r="Y96" s="2513"/>
      <c r="Z96" s="2513"/>
      <c r="AA96" s="2513"/>
      <c r="AB96" s="2513"/>
      <c r="AC96" s="2513"/>
      <c r="AD96" s="2513"/>
      <c r="AE96" s="2486"/>
      <c r="AF96" s="2486"/>
      <c r="AG96" s="2486"/>
      <c r="AH96" s="2486"/>
      <c r="AI96" s="2486"/>
      <c r="AJ96" s="2486"/>
      <c r="AK96" s="2486"/>
      <c r="AL96" s="2486"/>
      <c r="AM96" s="2486"/>
      <c r="AN96" s="2486"/>
      <c r="AO96" s="2464"/>
      <c r="AP96" s="2464"/>
      <c r="AQ96" s="2515"/>
    </row>
    <row r="97" spans="1:43" ht="45" x14ac:dyDescent="0.2">
      <c r="A97" s="2609"/>
      <c r="B97" s="2521"/>
      <c r="C97" s="2523"/>
      <c r="D97" s="2521"/>
      <c r="E97" s="2522"/>
      <c r="F97" s="2523"/>
      <c r="G97" s="467"/>
      <c r="H97" s="985"/>
      <c r="I97" s="986"/>
      <c r="J97" s="2510">
        <v>238</v>
      </c>
      <c r="K97" s="2509" t="s">
        <v>939</v>
      </c>
      <c r="L97" s="2516" t="s">
        <v>940</v>
      </c>
      <c r="M97" s="2510">
        <v>12</v>
      </c>
      <c r="N97" s="2527"/>
      <c r="O97" s="2484"/>
      <c r="P97" s="2469"/>
      <c r="Q97" s="2488">
        <f>(R97)/(R91+R94+R97+R102+R104)</f>
        <v>0.16623828462787138</v>
      </c>
      <c r="R97" s="2511">
        <f>SUM(V97:V101)</f>
        <v>103081242</v>
      </c>
      <c r="S97" s="2490"/>
      <c r="T97" s="2490"/>
      <c r="U97" s="1037" t="s">
        <v>941</v>
      </c>
      <c r="V97" s="1036">
        <f>34200000+10800000</f>
        <v>45000000</v>
      </c>
      <c r="W97" s="2498"/>
      <c r="X97" s="2471"/>
      <c r="Y97" s="2513"/>
      <c r="Z97" s="2513"/>
      <c r="AA97" s="2513"/>
      <c r="AB97" s="2513"/>
      <c r="AC97" s="2513"/>
      <c r="AD97" s="2513"/>
      <c r="AE97" s="2486"/>
      <c r="AF97" s="2486"/>
      <c r="AG97" s="2486"/>
      <c r="AH97" s="2486"/>
      <c r="AI97" s="2486"/>
      <c r="AJ97" s="2486"/>
      <c r="AK97" s="2486"/>
      <c r="AL97" s="2486"/>
      <c r="AM97" s="2486"/>
      <c r="AN97" s="2486"/>
      <c r="AO97" s="2464"/>
      <c r="AP97" s="2464"/>
      <c r="AQ97" s="2515"/>
    </row>
    <row r="98" spans="1:43" ht="33.75" customHeight="1" x14ac:dyDescent="0.2">
      <c r="A98" s="2609"/>
      <c r="B98" s="2521"/>
      <c r="C98" s="2523"/>
      <c r="D98" s="2521"/>
      <c r="E98" s="2522"/>
      <c r="F98" s="2523"/>
      <c r="G98" s="467"/>
      <c r="H98" s="985"/>
      <c r="I98" s="986"/>
      <c r="J98" s="2510"/>
      <c r="K98" s="2509"/>
      <c r="L98" s="2516"/>
      <c r="M98" s="2510"/>
      <c r="N98" s="2527"/>
      <c r="O98" s="2484"/>
      <c r="P98" s="2469"/>
      <c r="Q98" s="2488"/>
      <c r="R98" s="2511"/>
      <c r="S98" s="2490"/>
      <c r="T98" s="2490"/>
      <c r="U98" s="993" t="s">
        <v>942</v>
      </c>
      <c r="V98" s="1036">
        <f>10000000+5081242</f>
        <v>15081242</v>
      </c>
      <c r="W98" s="2498"/>
      <c r="X98" s="2471"/>
      <c r="Y98" s="2513"/>
      <c r="Z98" s="2513"/>
      <c r="AA98" s="2513"/>
      <c r="AB98" s="2513"/>
      <c r="AC98" s="2513"/>
      <c r="AD98" s="2513"/>
      <c r="AE98" s="2486"/>
      <c r="AF98" s="2486"/>
      <c r="AG98" s="2486"/>
      <c r="AH98" s="2486"/>
      <c r="AI98" s="2486"/>
      <c r="AJ98" s="2486"/>
      <c r="AK98" s="2486"/>
      <c r="AL98" s="2486"/>
      <c r="AM98" s="2486"/>
      <c r="AN98" s="2486"/>
      <c r="AO98" s="2464"/>
      <c r="AP98" s="2464"/>
      <c r="AQ98" s="2515"/>
    </row>
    <row r="99" spans="1:43" ht="33.75" customHeight="1" x14ac:dyDescent="0.2">
      <c r="A99" s="2609"/>
      <c r="B99" s="2521"/>
      <c r="C99" s="2523"/>
      <c r="D99" s="2521"/>
      <c r="E99" s="2522"/>
      <c r="F99" s="2523"/>
      <c r="G99" s="467"/>
      <c r="H99" s="985"/>
      <c r="I99" s="986"/>
      <c r="J99" s="2510"/>
      <c r="K99" s="2509"/>
      <c r="L99" s="2516"/>
      <c r="M99" s="2510"/>
      <c r="N99" s="2527"/>
      <c r="O99" s="2484"/>
      <c r="P99" s="2469"/>
      <c r="Q99" s="2488"/>
      <c r="R99" s="2511"/>
      <c r="S99" s="2490"/>
      <c r="T99" s="2490"/>
      <c r="U99" s="993" t="s">
        <v>943</v>
      </c>
      <c r="V99" s="1036">
        <f>15000000+8000000</f>
        <v>23000000</v>
      </c>
      <c r="W99" s="2498"/>
      <c r="X99" s="2471"/>
      <c r="Y99" s="2513"/>
      <c r="Z99" s="2513"/>
      <c r="AA99" s="2513"/>
      <c r="AB99" s="2513"/>
      <c r="AC99" s="2513"/>
      <c r="AD99" s="2513"/>
      <c r="AE99" s="2486"/>
      <c r="AF99" s="2486"/>
      <c r="AG99" s="2486"/>
      <c r="AH99" s="2486"/>
      <c r="AI99" s="2486"/>
      <c r="AJ99" s="2486"/>
      <c r="AK99" s="2486"/>
      <c r="AL99" s="2486"/>
      <c r="AM99" s="2486"/>
      <c r="AN99" s="2486"/>
      <c r="AO99" s="2464"/>
      <c r="AP99" s="2464"/>
      <c r="AQ99" s="2515"/>
    </row>
    <row r="100" spans="1:43" ht="27" customHeight="1" x14ac:dyDescent="0.2">
      <c r="A100" s="2609"/>
      <c r="B100" s="2521"/>
      <c r="C100" s="2523"/>
      <c r="D100" s="2521"/>
      <c r="E100" s="2522"/>
      <c r="F100" s="2523"/>
      <c r="G100" s="467"/>
      <c r="H100" s="985"/>
      <c r="I100" s="986"/>
      <c r="J100" s="2510"/>
      <c r="K100" s="2509"/>
      <c r="L100" s="2516"/>
      <c r="M100" s="2510"/>
      <c r="N100" s="2527"/>
      <c r="O100" s="2484"/>
      <c r="P100" s="2469"/>
      <c r="Q100" s="2488"/>
      <c r="R100" s="2511"/>
      <c r="S100" s="2490"/>
      <c r="T100" s="2490"/>
      <c r="U100" s="993" t="s">
        <v>944</v>
      </c>
      <c r="V100" s="1036">
        <f>5000000+5000000</f>
        <v>10000000</v>
      </c>
      <c r="W100" s="2498"/>
      <c r="X100" s="2471"/>
      <c r="Y100" s="2513"/>
      <c r="Z100" s="2513"/>
      <c r="AA100" s="2513"/>
      <c r="AB100" s="2513"/>
      <c r="AC100" s="2513"/>
      <c r="AD100" s="2513"/>
      <c r="AE100" s="2486"/>
      <c r="AF100" s="2486"/>
      <c r="AG100" s="2486"/>
      <c r="AH100" s="2486"/>
      <c r="AI100" s="2486"/>
      <c r="AJ100" s="2486"/>
      <c r="AK100" s="2486"/>
      <c r="AL100" s="2486"/>
      <c r="AM100" s="2486"/>
      <c r="AN100" s="2486"/>
      <c r="AO100" s="2464"/>
      <c r="AP100" s="2464"/>
      <c r="AQ100" s="2515"/>
    </row>
    <row r="101" spans="1:43" ht="30" x14ac:dyDescent="0.2">
      <c r="A101" s="2609"/>
      <c r="B101" s="2521"/>
      <c r="C101" s="2523"/>
      <c r="D101" s="2521"/>
      <c r="E101" s="2522"/>
      <c r="F101" s="2523"/>
      <c r="G101" s="467"/>
      <c r="H101" s="985"/>
      <c r="I101" s="986"/>
      <c r="J101" s="2510"/>
      <c r="K101" s="2509"/>
      <c r="L101" s="2516"/>
      <c r="M101" s="2510"/>
      <c r="N101" s="2527"/>
      <c r="O101" s="2484"/>
      <c r="P101" s="2469"/>
      <c r="Q101" s="2488"/>
      <c r="R101" s="2511"/>
      <c r="S101" s="2490"/>
      <c r="T101" s="2490"/>
      <c r="U101" s="993" t="s">
        <v>945</v>
      </c>
      <c r="V101" s="1036">
        <f>8800000+1200000</f>
        <v>10000000</v>
      </c>
      <c r="W101" s="2498"/>
      <c r="X101" s="2471"/>
      <c r="Y101" s="2513"/>
      <c r="Z101" s="2513"/>
      <c r="AA101" s="2513"/>
      <c r="AB101" s="2513"/>
      <c r="AC101" s="2513"/>
      <c r="AD101" s="2513"/>
      <c r="AE101" s="2486"/>
      <c r="AF101" s="2486"/>
      <c r="AG101" s="2486"/>
      <c r="AH101" s="2486"/>
      <c r="AI101" s="2486"/>
      <c r="AJ101" s="2486"/>
      <c r="AK101" s="2486"/>
      <c r="AL101" s="2486"/>
      <c r="AM101" s="2486"/>
      <c r="AN101" s="2486"/>
      <c r="AO101" s="2464"/>
      <c r="AP101" s="2464"/>
      <c r="AQ101" s="2515"/>
    </row>
    <row r="102" spans="1:43" ht="42.75" customHeight="1" x14ac:dyDescent="0.2">
      <c r="A102" s="2609"/>
      <c r="B102" s="2521"/>
      <c r="C102" s="2523"/>
      <c r="D102" s="2521"/>
      <c r="E102" s="2522"/>
      <c r="F102" s="2523"/>
      <c r="G102" s="467"/>
      <c r="H102" s="985"/>
      <c r="I102" s="986"/>
      <c r="J102" s="2510">
        <v>239</v>
      </c>
      <c r="K102" s="2509" t="s">
        <v>946</v>
      </c>
      <c r="L102" s="2509" t="s">
        <v>947</v>
      </c>
      <c r="M102" s="2510">
        <v>2</v>
      </c>
      <c r="N102" s="2527"/>
      <c r="O102" s="2484"/>
      <c r="P102" s="2469"/>
      <c r="Q102" s="2488">
        <f>(R102)/(R91+R94+R97+R102+R104)</f>
        <v>0.10482497388624441</v>
      </c>
      <c r="R102" s="2511">
        <f>SUM(V102:V103)</f>
        <v>65000000</v>
      </c>
      <c r="S102" s="2490"/>
      <c r="T102" s="2490"/>
      <c r="U102" s="1037" t="s">
        <v>948</v>
      </c>
      <c r="V102" s="1036">
        <f>20000000+10000000</f>
        <v>30000000</v>
      </c>
      <c r="W102" s="2498"/>
      <c r="X102" s="2471"/>
      <c r="Y102" s="2513"/>
      <c r="Z102" s="2513"/>
      <c r="AA102" s="2513"/>
      <c r="AB102" s="2513"/>
      <c r="AC102" s="2513"/>
      <c r="AD102" s="2513"/>
      <c r="AE102" s="2486"/>
      <c r="AF102" s="2486"/>
      <c r="AG102" s="2486"/>
      <c r="AH102" s="2486"/>
      <c r="AI102" s="2486"/>
      <c r="AJ102" s="2486"/>
      <c r="AK102" s="2486"/>
      <c r="AL102" s="2486"/>
      <c r="AM102" s="2486"/>
      <c r="AN102" s="2486"/>
      <c r="AO102" s="2464"/>
      <c r="AP102" s="2464"/>
      <c r="AQ102" s="2515"/>
    </row>
    <row r="103" spans="1:43" ht="45.75" customHeight="1" x14ac:dyDescent="0.2">
      <c r="A103" s="2609"/>
      <c r="B103" s="2521"/>
      <c r="C103" s="2523"/>
      <c r="D103" s="2521"/>
      <c r="E103" s="2522"/>
      <c r="F103" s="2523"/>
      <c r="G103" s="467"/>
      <c r="H103" s="985"/>
      <c r="I103" s="986"/>
      <c r="J103" s="2510"/>
      <c r="K103" s="2509"/>
      <c r="L103" s="2509"/>
      <c r="M103" s="2510"/>
      <c r="N103" s="2527"/>
      <c r="O103" s="2484"/>
      <c r="P103" s="2469"/>
      <c r="Q103" s="2488"/>
      <c r="R103" s="2511"/>
      <c r="S103" s="2490"/>
      <c r="T103" s="2490"/>
      <c r="U103" s="993" t="s">
        <v>949</v>
      </c>
      <c r="V103" s="1036">
        <f>25000000+10000000</f>
        <v>35000000</v>
      </c>
      <c r="W103" s="2498"/>
      <c r="X103" s="2471"/>
      <c r="Y103" s="2513"/>
      <c r="Z103" s="2513"/>
      <c r="AA103" s="2513"/>
      <c r="AB103" s="2513"/>
      <c r="AC103" s="2513"/>
      <c r="AD103" s="2513"/>
      <c r="AE103" s="2486"/>
      <c r="AF103" s="2486"/>
      <c r="AG103" s="2486"/>
      <c r="AH103" s="2486"/>
      <c r="AI103" s="2486"/>
      <c r="AJ103" s="2486"/>
      <c r="AK103" s="2486"/>
      <c r="AL103" s="2486"/>
      <c r="AM103" s="2486"/>
      <c r="AN103" s="2486"/>
      <c r="AO103" s="2464"/>
      <c r="AP103" s="2464"/>
      <c r="AQ103" s="2515"/>
    </row>
    <row r="104" spans="1:43" ht="30" customHeight="1" x14ac:dyDescent="0.2">
      <c r="A104" s="2609"/>
      <c r="B104" s="2521"/>
      <c r="C104" s="2523"/>
      <c r="D104" s="2521"/>
      <c r="E104" s="2522"/>
      <c r="F104" s="2523"/>
      <c r="G104" s="467"/>
      <c r="H104" s="985"/>
      <c r="I104" s="986"/>
      <c r="J104" s="2510">
        <v>240</v>
      </c>
      <c r="K104" s="2509" t="s">
        <v>950</v>
      </c>
      <c r="L104" s="2528" t="s">
        <v>951</v>
      </c>
      <c r="M104" s="2510">
        <v>1</v>
      </c>
      <c r="N104" s="2527"/>
      <c r="O104" s="2484"/>
      <c r="P104" s="2469"/>
      <c r="Q104" s="2488">
        <f>(R104)/(R91+R94+R97+R102+R104)</f>
        <v>0.51606140990151095</v>
      </c>
      <c r="R104" s="2511">
        <f>SUM(V104:V109)</f>
        <v>320000000</v>
      </c>
      <c r="S104" s="2490"/>
      <c r="T104" s="2490"/>
      <c r="U104" s="993" t="s">
        <v>952</v>
      </c>
      <c r="V104" s="1036">
        <f>15000000+5000000</f>
        <v>20000000</v>
      </c>
      <c r="W104" s="2498"/>
      <c r="X104" s="2471"/>
      <c r="Y104" s="2513"/>
      <c r="Z104" s="2513"/>
      <c r="AA104" s="2513"/>
      <c r="AB104" s="2513"/>
      <c r="AC104" s="2513"/>
      <c r="AD104" s="2513"/>
      <c r="AE104" s="2486"/>
      <c r="AF104" s="2486"/>
      <c r="AG104" s="2486"/>
      <c r="AH104" s="2486"/>
      <c r="AI104" s="2486"/>
      <c r="AJ104" s="2486"/>
      <c r="AK104" s="2486"/>
      <c r="AL104" s="2486"/>
      <c r="AM104" s="2486"/>
      <c r="AN104" s="2486"/>
      <c r="AO104" s="2464"/>
      <c r="AP104" s="2464"/>
      <c r="AQ104" s="2515"/>
    </row>
    <row r="105" spans="1:43" ht="45" x14ac:dyDescent="0.2">
      <c r="A105" s="2609"/>
      <c r="B105" s="2521"/>
      <c r="C105" s="2523"/>
      <c r="D105" s="2521"/>
      <c r="E105" s="2522"/>
      <c r="F105" s="2523"/>
      <c r="G105" s="467"/>
      <c r="H105" s="985"/>
      <c r="I105" s="986"/>
      <c r="J105" s="2510"/>
      <c r="K105" s="2509"/>
      <c r="L105" s="2528"/>
      <c r="M105" s="2510"/>
      <c r="N105" s="2527"/>
      <c r="O105" s="2484"/>
      <c r="P105" s="2469"/>
      <c r="Q105" s="2488"/>
      <c r="R105" s="2511"/>
      <c r="S105" s="2490"/>
      <c r="T105" s="2490"/>
      <c r="U105" s="1037" t="s">
        <v>953</v>
      </c>
      <c r="V105" s="1036">
        <f>40000000+10000000</f>
        <v>50000000</v>
      </c>
      <c r="W105" s="2498"/>
      <c r="X105" s="2471"/>
      <c r="Y105" s="2513"/>
      <c r="Z105" s="2513"/>
      <c r="AA105" s="2513"/>
      <c r="AB105" s="2513"/>
      <c r="AC105" s="2513"/>
      <c r="AD105" s="2513"/>
      <c r="AE105" s="2486"/>
      <c r="AF105" s="2486"/>
      <c r="AG105" s="2486"/>
      <c r="AH105" s="2486"/>
      <c r="AI105" s="2486"/>
      <c r="AJ105" s="2486"/>
      <c r="AK105" s="2486"/>
      <c r="AL105" s="2486"/>
      <c r="AM105" s="2486"/>
      <c r="AN105" s="2486"/>
      <c r="AO105" s="2464"/>
      <c r="AP105" s="2464"/>
      <c r="AQ105" s="2515"/>
    </row>
    <row r="106" spans="1:43" ht="30" x14ac:dyDescent="0.2">
      <c r="A106" s="2609"/>
      <c r="B106" s="2521"/>
      <c r="C106" s="2523"/>
      <c r="D106" s="2521"/>
      <c r="E106" s="2522"/>
      <c r="F106" s="2523"/>
      <c r="G106" s="467"/>
      <c r="H106" s="985"/>
      <c r="I106" s="986"/>
      <c r="J106" s="2510"/>
      <c r="K106" s="2509"/>
      <c r="L106" s="2528"/>
      <c r="M106" s="2510"/>
      <c r="N106" s="2527"/>
      <c r="O106" s="2484"/>
      <c r="P106" s="2469"/>
      <c r="Q106" s="2488"/>
      <c r="R106" s="2511"/>
      <c r="S106" s="2490"/>
      <c r="T106" s="2490"/>
      <c r="U106" s="1037" t="s">
        <v>954</v>
      </c>
      <c r="V106" s="1036">
        <f>30000000+10000000</f>
        <v>40000000</v>
      </c>
      <c r="W106" s="2498"/>
      <c r="X106" s="2471"/>
      <c r="Y106" s="2513"/>
      <c r="Z106" s="2513"/>
      <c r="AA106" s="2513"/>
      <c r="AB106" s="2513"/>
      <c r="AC106" s="2513"/>
      <c r="AD106" s="2513"/>
      <c r="AE106" s="2486"/>
      <c r="AF106" s="2486"/>
      <c r="AG106" s="2486"/>
      <c r="AH106" s="2486"/>
      <c r="AI106" s="2486"/>
      <c r="AJ106" s="2486"/>
      <c r="AK106" s="2486"/>
      <c r="AL106" s="2486"/>
      <c r="AM106" s="2486"/>
      <c r="AN106" s="2486"/>
      <c r="AO106" s="2464"/>
      <c r="AP106" s="2464"/>
      <c r="AQ106" s="2515"/>
    </row>
    <row r="107" spans="1:43" ht="51" customHeight="1" x14ac:dyDescent="0.2">
      <c r="A107" s="2609"/>
      <c r="B107" s="2521"/>
      <c r="C107" s="2523"/>
      <c r="D107" s="2521"/>
      <c r="E107" s="2522"/>
      <c r="F107" s="2523"/>
      <c r="G107" s="467"/>
      <c r="H107" s="985"/>
      <c r="I107" s="986"/>
      <c r="J107" s="2510"/>
      <c r="K107" s="2509"/>
      <c r="L107" s="2528"/>
      <c r="M107" s="2510"/>
      <c r="N107" s="2527"/>
      <c r="O107" s="2484"/>
      <c r="P107" s="2469"/>
      <c r="Q107" s="2488"/>
      <c r="R107" s="2511"/>
      <c r="S107" s="2490"/>
      <c r="T107" s="2490"/>
      <c r="U107" s="1037" t="s">
        <v>955</v>
      </c>
      <c r="V107" s="1036">
        <f>75000000+20000000</f>
        <v>95000000</v>
      </c>
      <c r="W107" s="2498"/>
      <c r="X107" s="2471"/>
      <c r="Y107" s="2513"/>
      <c r="Z107" s="2513"/>
      <c r="AA107" s="2513"/>
      <c r="AB107" s="2513"/>
      <c r="AC107" s="2513"/>
      <c r="AD107" s="2513"/>
      <c r="AE107" s="2486"/>
      <c r="AF107" s="2486"/>
      <c r="AG107" s="2486"/>
      <c r="AH107" s="2486"/>
      <c r="AI107" s="2486"/>
      <c r="AJ107" s="2486"/>
      <c r="AK107" s="2486"/>
      <c r="AL107" s="2486"/>
      <c r="AM107" s="2486"/>
      <c r="AN107" s="2486"/>
      <c r="AO107" s="2464"/>
      <c r="AP107" s="2464"/>
      <c r="AQ107" s="2515"/>
    </row>
    <row r="108" spans="1:43" ht="39.75" customHeight="1" x14ac:dyDescent="0.2">
      <c r="A108" s="2609"/>
      <c r="B108" s="2521"/>
      <c r="C108" s="2523"/>
      <c r="D108" s="2521"/>
      <c r="E108" s="2522"/>
      <c r="F108" s="2523"/>
      <c r="G108" s="467"/>
      <c r="H108" s="985"/>
      <c r="I108" s="986"/>
      <c r="J108" s="2510"/>
      <c r="K108" s="2509"/>
      <c r="L108" s="2528"/>
      <c r="M108" s="2510"/>
      <c r="N108" s="2527"/>
      <c r="O108" s="2484"/>
      <c r="P108" s="2469"/>
      <c r="Q108" s="2488"/>
      <c r="R108" s="2511"/>
      <c r="S108" s="2490"/>
      <c r="T108" s="2490"/>
      <c r="U108" s="1037" t="s">
        <v>956</v>
      </c>
      <c r="V108" s="1036">
        <f>50000000+10000000</f>
        <v>60000000</v>
      </c>
      <c r="W108" s="2498"/>
      <c r="X108" s="2471"/>
      <c r="Y108" s="2513"/>
      <c r="Z108" s="2513"/>
      <c r="AA108" s="2513"/>
      <c r="AB108" s="2513"/>
      <c r="AC108" s="2513"/>
      <c r="AD108" s="2513"/>
      <c r="AE108" s="2486"/>
      <c r="AF108" s="2486"/>
      <c r="AG108" s="2486"/>
      <c r="AH108" s="2486"/>
      <c r="AI108" s="2486"/>
      <c r="AJ108" s="2486"/>
      <c r="AK108" s="2486"/>
      <c r="AL108" s="2486"/>
      <c r="AM108" s="2486"/>
      <c r="AN108" s="2486"/>
      <c r="AO108" s="2464"/>
      <c r="AP108" s="2464"/>
      <c r="AQ108" s="2515"/>
    </row>
    <row r="109" spans="1:43" ht="41.25" customHeight="1" x14ac:dyDescent="0.2">
      <c r="A109" s="2609"/>
      <c r="B109" s="2521"/>
      <c r="C109" s="2523"/>
      <c r="D109" s="2521"/>
      <c r="E109" s="2522"/>
      <c r="F109" s="2523"/>
      <c r="G109" s="467"/>
      <c r="H109" s="998"/>
      <c r="I109" s="999"/>
      <c r="J109" s="2510"/>
      <c r="K109" s="2509"/>
      <c r="L109" s="2528"/>
      <c r="M109" s="2510"/>
      <c r="N109" s="2527"/>
      <c r="O109" s="2484"/>
      <c r="P109" s="2469"/>
      <c r="Q109" s="2488"/>
      <c r="R109" s="2511"/>
      <c r="S109" s="2490"/>
      <c r="T109" s="2490"/>
      <c r="U109" s="1037" t="s">
        <v>957</v>
      </c>
      <c r="V109" s="1036">
        <f>40000000+15000000</f>
        <v>55000000</v>
      </c>
      <c r="W109" s="2498"/>
      <c r="X109" s="2471"/>
      <c r="Y109" s="2514"/>
      <c r="Z109" s="2514"/>
      <c r="AA109" s="2514"/>
      <c r="AB109" s="2514"/>
      <c r="AC109" s="2514"/>
      <c r="AD109" s="2514"/>
      <c r="AE109" s="2486"/>
      <c r="AF109" s="2486"/>
      <c r="AG109" s="2486"/>
      <c r="AH109" s="2486"/>
      <c r="AI109" s="2486"/>
      <c r="AJ109" s="2486"/>
      <c r="AK109" s="2486"/>
      <c r="AL109" s="2486"/>
      <c r="AM109" s="2486"/>
      <c r="AN109" s="2486"/>
      <c r="AO109" s="2487"/>
      <c r="AP109" s="2487"/>
      <c r="AQ109" s="2515"/>
    </row>
    <row r="110" spans="1:43" s="467" customFormat="1" ht="15.75" x14ac:dyDescent="0.2">
      <c r="A110" s="2609"/>
      <c r="B110" s="2521"/>
      <c r="C110" s="2523"/>
      <c r="D110" s="2521"/>
      <c r="E110" s="2522"/>
      <c r="F110" s="2523"/>
      <c r="G110" s="975">
        <v>82</v>
      </c>
      <c r="H110" s="399" t="s">
        <v>958</v>
      </c>
      <c r="I110" s="399"/>
      <c r="J110" s="1000"/>
      <c r="K110" s="1001"/>
      <c r="L110" s="1002"/>
      <c r="M110" s="1003"/>
      <c r="N110" s="978"/>
      <c r="O110" s="979"/>
      <c r="P110" s="400"/>
      <c r="Q110" s="1004"/>
      <c r="R110" s="1005"/>
      <c r="S110" s="1002"/>
      <c r="T110" s="1001"/>
      <c r="U110" s="1001"/>
      <c r="V110" s="1006"/>
      <c r="W110" s="403"/>
      <c r="X110" s="1019"/>
      <c r="Y110" s="403"/>
      <c r="Z110" s="403"/>
      <c r="AA110" s="403"/>
      <c r="AB110" s="403"/>
      <c r="AC110" s="403"/>
      <c r="AD110" s="403"/>
      <c r="AE110" s="403"/>
      <c r="AF110" s="403"/>
      <c r="AG110" s="403"/>
      <c r="AH110" s="403"/>
      <c r="AI110" s="403"/>
      <c r="AJ110" s="403"/>
      <c r="AK110" s="403"/>
      <c r="AL110" s="403"/>
      <c r="AM110" s="400"/>
      <c r="AN110" s="400"/>
      <c r="AO110" s="1035"/>
      <c r="AP110" s="1035"/>
      <c r="AQ110" s="407"/>
    </row>
    <row r="111" spans="1:43" ht="54.75" customHeight="1" x14ac:dyDescent="0.2">
      <c r="A111" s="2609"/>
      <c r="B111" s="2521"/>
      <c r="C111" s="2523"/>
      <c r="D111" s="2521"/>
      <c r="E111" s="2522"/>
      <c r="F111" s="2523"/>
      <c r="G111" s="467"/>
      <c r="H111" s="984"/>
      <c r="I111" s="833"/>
      <c r="J111" s="2510">
        <v>241</v>
      </c>
      <c r="K111" s="2509" t="s">
        <v>959</v>
      </c>
      <c r="L111" s="2516" t="s">
        <v>960</v>
      </c>
      <c r="M111" s="2493">
        <v>1</v>
      </c>
      <c r="N111" s="2494" t="s">
        <v>961</v>
      </c>
      <c r="O111" s="2484" t="s">
        <v>962</v>
      </c>
      <c r="P111" s="2469" t="s">
        <v>963</v>
      </c>
      <c r="Q111" s="2195">
        <f>(R111)/(R111+R113)</f>
        <v>0.51102287790596879</v>
      </c>
      <c r="R111" s="2489">
        <f>SUM(V111:V112)</f>
        <v>57479700</v>
      </c>
      <c r="S111" s="2490" t="s">
        <v>964</v>
      </c>
      <c r="T111" s="2490" t="s">
        <v>965</v>
      </c>
      <c r="U111" s="1038" t="s">
        <v>966</v>
      </c>
      <c r="V111" s="1036">
        <f>12000000+20000000</f>
        <v>32000000</v>
      </c>
      <c r="W111" s="2497" t="s">
        <v>967</v>
      </c>
      <c r="X111" s="2471" t="s">
        <v>968</v>
      </c>
      <c r="Y111" s="2485">
        <v>4603</v>
      </c>
      <c r="Z111" s="2485">
        <v>4772</v>
      </c>
      <c r="AA111" s="2485">
        <v>2249</v>
      </c>
      <c r="AB111" s="2485">
        <v>1885</v>
      </c>
      <c r="AC111" s="2485">
        <v>3899</v>
      </c>
      <c r="AD111" s="2485">
        <v>1342</v>
      </c>
      <c r="AE111" s="2485"/>
      <c r="AF111" s="2485"/>
      <c r="AG111" s="2485"/>
      <c r="AH111" s="2485"/>
      <c r="AI111" s="2485"/>
      <c r="AJ111" s="2485"/>
      <c r="AK111" s="2485"/>
      <c r="AL111" s="2485"/>
      <c r="AM111" s="2485"/>
      <c r="AN111" s="2485">
        <v>9375</v>
      </c>
      <c r="AO111" s="2463">
        <v>43110</v>
      </c>
      <c r="AP111" s="2463">
        <v>43454</v>
      </c>
      <c r="AQ111" s="2457" t="s">
        <v>785</v>
      </c>
    </row>
    <row r="112" spans="1:43" ht="57" customHeight="1" x14ac:dyDescent="0.2">
      <c r="A112" s="2609"/>
      <c r="B112" s="2521"/>
      <c r="C112" s="2523"/>
      <c r="D112" s="2521"/>
      <c r="E112" s="2522"/>
      <c r="F112" s="2523"/>
      <c r="G112" s="467"/>
      <c r="H112" s="985"/>
      <c r="I112" s="986"/>
      <c r="J112" s="2510"/>
      <c r="K112" s="2509"/>
      <c r="L112" s="2516"/>
      <c r="M112" s="2493"/>
      <c r="N112" s="2495"/>
      <c r="O112" s="2484"/>
      <c r="P112" s="2469"/>
      <c r="Q112" s="2195"/>
      <c r="R112" s="2489"/>
      <c r="S112" s="2490"/>
      <c r="T112" s="2490"/>
      <c r="U112" s="1038" t="s">
        <v>969</v>
      </c>
      <c r="V112" s="1036">
        <f>18000000+7479700</f>
        <v>25479700</v>
      </c>
      <c r="W112" s="2498"/>
      <c r="X112" s="2471"/>
      <c r="Y112" s="2486"/>
      <c r="Z112" s="2486"/>
      <c r="AA112" s="2486"/>
      <c r="AB112" s="2486"/>
      <c r="AC112" s="2486"/>
      <c r="AD112" s="2486"/>
      <c r="AE112" s="2486"/>
      <c r="AF112" s="2486"/>
      <c r="AG112" s="2486"/>
      <c r="AH112" s="2486"/>
      <c r="AI112" s="2486"/>
      <c r="AJ112" s="2486"/>
      <c r="AK112" s="2486"/>
      <c r="AL112" s="2486"/>
      <c r="AM112" s="2486"/>
      <c r="AN112" s="2486"/>
      <c r="AO112" s="2464"/>
      <c r="AP112" s="2464"/>
      <c r="AQ112" s="2458"/>
    </row>
    <row r="113" spans="1:43" ht="92.25" customHeight="1" x14ac:dyDescent="0.2">
      <c r="A113" s="2609"/>
      <c r="B113" s="2521"/>
      <c r="C113" s="2523"/>
      <c r="D113" s="2524"/>
      <c r="E113" s="2525"/>
      <c r="F113" s="2526"/>
      <c r="G113" s="467"/>
      <c r="H113" s="998"/>
      <c r="I113" s="999"/>
      <c r="J113" s="1039">
        <v>242</v>
      </c>
      <c r="K113" s="1010" t="s">
        <v>970</v>
      </c>
      <c r="L113" s="1040" t="s">
        <v>971</v>
      </c>
      <c r="M113" s="990">
        <v>1</v>
      </c>
      <c r="N113" s="2495"/>
      <c r="O113" s="2484"/>
      <c r="P113" s="2469"/>
      <c r="Q113" s="1041">
        <f>(R113)/(R111+R113)</f>
        <v>0.48897712209403121</v>
      </c>
      <c r="R113" s="1042">
        <f>+V113</f>
        <v>55000000</v>
      </c>
      <c r="S113" s="2490"/>
      <c r="T113" s="2490"/>
      <c r="U113" s="988" t="s">
        <v>972</v>
      </c>
      <c r="V113" s="923">
        <v>55000000</v>
      </c>
      <c r="W113" s="2498"/>
      <c r="X113" s="2471"/>
      <c r="Y113" s="2486"/>
      <c r="Z113" s="2486"/>
      <c r="AA113" s="2486"/>
      <c r="AB113" s="2486"/>
      <c r="AC113" s="2486"/>
      <c r="AD113" s="2486"/>
      <c r="AE113" s="2486"/>
      <c r="AF113" s="2486"/>
      <c r="AG113" s="2486"/>
      <c r="AH113" s="2486"/>
      <c r="AI113" s="2486"/>
      <c r="AJ113" s="2486"/>
      <c r="AK113" s="2486"/>
      <c r="AL113" s="2486"/>
      <c r="AM113" s="2486"/>
      <c r="AN113" s="2486"/>
      <c r="AO113" s="2487"/>
      <c r="AP113" s="2487"/>
      <c r="AQ113" s="2458"/>
    </row>
    <row r="114" spans="1:43" s="467" customFormat="1" ht="15.75" x14ac:dyDescent="0.2">
      <c r="A114" s="2609"/>
      <c r="B114" s="2521"/>
      <c r="C114" s="2523"/>
      <c r="D114" s="963">
        <v>27</v>
      </c>
      <c r="E114" s="1043" t="s">
        <v>973</v>
      </c>
      <c r="F114" s="1043"/>
      <c r="G114" s="1044"/>
      <c r="H114" s="1044"/>
      <c r="I114" s="964"/>
      <c r="J114" s="1013"/>
      <c r="K114" s="1014"/>
      <c r="L114" s="511"/>
      <c r="M114" s="510"/>
      <c r="N114" s="968"/>
      <c r="O114" s="965"/>
      <c r="P114" s="967"/>
      <c r="Q114" s="1015"/>
      <c r="R114" s="1016"/>
      <c r="S114" s="511"/>
      <c r="T114" s="1014"/>
      <c r="U114" s="1014"/>
      <c r="V114" s="1017"/>
      <c r="W114" s="967"/>
      <c r="X114" s="972"/>
      <c r="Y114" s="967"/>
      <c r="Z114" s="967"/>
      <c r="AA114" s="967"/>
      <c r="AB114" s="967"/>
      <c r="AC114" s="967"/>
      <c r="AD114" s="967"/>
      <c r="AE114" s="967"/>
      <c r="AF114" s="967"/>
      <c r="AG114" s="967"/>
      <c r="AH114" s="967"/>
      <c r="AI114" s="967"/>
      <c r="AJ114" s="967"/>
      <c r="AK114" s="967"/>
      <c r="AL114" s="967"/>
      <c r="AM114" s="967"/>
      <c r="AN114" s="967"/>
      <c r="AO114" s="1034"/>
      <c r="AP114" s="1034"/>
      <c r="AQ114" s="974"/>
    </row>
    <row r="115" spans="1:43" s="467" customFormat="1" ht="15.75" x14ac:dyDescent="0.2">
      <c r="A115" s="2609"/>
      <c r="B115" s="2521"/>
      <c r="C115" s="2523"/>
      <c r="D115" s="2499"/>
      <c r="E115" s="2500"/>
      <c r="F115" s="2501"/>
      <c r="G115" s="975">
        <v>85</v>
      </c>
      <c r="H115" s="399" t="s">
        <v>974</v>
      </c>
      <c r="I115" s="399"/>
      <c r="J115" s="976"/>
      <c r="K115" s="977"/>
      <c r="L115" s="749"/>
      <c r="M115" s="754"/>
      <c r="N115" s="978"/>
      <c r="O115" s="979"/>
      <c r="P115" s="400"/>
      <c r="Q115" s="980"/>
      <c r="R115" s="981"/>
      <c r="S115" s="749"/>
      <c r="T115" s="977"/>
      <c r="U115" s="977"/>
      <c r="V115" s="753"/>
      <c r="W115" s="403"/>
      <c r="X115" s="1019"/>
      <c r="Y115" s="403"/>
      <c r="Z115" s="403"/>
      <c r="AA115" s="403"/>
      <c r="AB115" s="403"/>
      <c r="AC115" s="403"/>
      <c r="AD115" s="403"/>
      <c r="AE115" s="403"/>
      <c r="AF115" s="403"/>
      <c r="AG115" s="403"/>
      <c r="AH115" s="403"/>
      <c r="AI115" s="403"/>
      <c r="AJ115" s="403"/>
      <c r="AK115" s="403"/>
      <c r="AL115" s="403"/>
      <c r="AM115" s="403"/>
      <c r="AN115" s="403"/>
      <c r="AO115" s="403"/>
      <c r="AP115" s="403"/>
      <c r="AQ115" s="1020"/>
    </row>
    <row r="116" spans="1:43" ht="48" customHeight="1" x14ac:dyDescent="0.2">
      <c r="A116" s="2609"/>
      <c r="B116" s="2521"/>
      <c r="C116" s="2523"/>
      <c r="D116" s="2502"/>
      <c r="E116" s="2503"/>
      <c r="F116" s="2504"/>
      <c r="G116" s="467"/>
      <c r="H116" s="984"/>
      <c r="I116" s="833"/>
      <c r="J116" s="2493">
        <v>250</v>
      </c>
      <c r="K116" s="2490" t="s">
        <v>975</v>
      </c>
      <c r="L116" s="2508" t="s">
        <v>976</v>
      </c>
      <c r="M116" s="2493">
        <v>3</v>
      </c>
      <c r="N116" s="2494" t="s">
        <v>977</v>
      </c>
      <c r="O116" s="2484" t="s">
        <v>978</v>
      </c>
      <c r="P116" s="2469" t="s">
        <v>979</v>
      </c>
      <c r="Q116" s="2488">
        <f>(R116)/(R116+R124+R129+R130)</f>
        <v>0.77321814254859611</v>
      </c>
      <c r="R116" s="2489">
        <f>SUM(V116:V123)</f>
        <v>358000000</v>
      </c>
      <c r="S116" s="2490" t="s">
        <v>980</v>
      </c>
      <c r="T116" s="2490" t="s">
        <v>981</v>
      </c>
      <c r="U116" s="988" t="s">
        <v>982</v>
      </c>
      <c r="V116" s="1036">
        <v>106433333</v>
      </c>
      <c r="W116" s="2497" t="s">
        <v>983</v>
      </c>
      <c r="X116" s="2471" t="s">
        <v>984</v>
      </c>
      <c r="Y116" s="2485">
        <v>140543</v>
      </c>
      <c r="Z116" s="2485">
        <v>135549</v>
      </c>
      <c r="AA116" s="2485">
        <v>66229</v>
      </c>
      <c r="AB116" s="2485">
        <v>55519</v>
      </c>
      <c r="AC116" s="2485">
        <v>114821</v>
      </c>
      <c r="AD116" s="2485">
        <v>39523</v>
      </c>
      <c r="AE116" s="2485"/>
      <c r="AF116" s="2485"/>
      <c r="AG116" s="2485"/>
      <c r="AH116" s="2485"/>
      <c r="AI116" s="2485"/>
      <c r="AJ116" s="2485"/>
      <c r="AK116" s="2485"/>
      <c r="AL116" s="2485"/>
      <c r="AM116" s="2485"/>
      <c r="AN116" s="2485">
        <v>276092</v>
      </c>
      <c r="AO116" s="2463">
        <v>43110</v>
      </c>
      <c r="AP116" s="2463">
        <v>43454</v>
      </c>
      <c r="AQ116" s="2457" t="s">
        <v>785</v>
      </c>
    </row>
    <row r="117" spans="1:43" ht="32.25" customHeight="1" x14ac:dyDescent="0.2">
      <c r="A117" s="2609"/>
      <c r="B117" s="2521"/>
      <c r="C117" s="2523"/>
      <c r="D117" s="2502"/>
      <c r="E117" s="2503"/>
      <c r="F117" s="2504"/>
      <c r="G117" s="467"/>
      <c r="H117" s="985"/>
      <c r="I117" s="986"/>
      <c r="J117" s="2493"/>
      <c r="K117" s="2490"/>
      <c r="L117" s="2508"/>
      <c r="M117" s="2493"/>
      <c r="N117" s="2495"/>
      <c r="O117" s="2484"/>
      <c r="P117" s="2469"/>
      <c r="Q117" s="2488"/>
      <c r="R117" s="2489"/>
      <c r="S117" s="2490"/>
      <c r="T117" s="2490"/>
      <c r="U117" s="988" t="s">
        <v>985</v>
      </c>
      <c r="V117" s="1036">
        <v>28000000</v>
      </c>
      <c r="W117" s="2498"/>
      <c r="X117" s="2471"/>
      <c r="Y117" s="2486"/>
      <c r="Z117" s="2486"/>
      <c r="AA117" s="2486"/>
      <c r="AB117" s="2486"/>
      <c r="AC117" s="2486"/>
      <c r="AD117" s="2486"/>
      <c r="AE117" s="2486"/>
      <c r="AF117" s="2486"/>
      <c r="AG117" s="2486"/>
      <c r="AH117" s="2486"/>
      <c r="AI117" s="2486"/>
      <c r="AJ117" s="2486"/>
      <c r="AK117" s="2486"/>
      <c r="AL117" s="2486"/>
      <c r="AM117" s="2486"/>
      <c r="AN117" s="2486"/>
      <c r="AO117" s="2464"/>
      <c r="AP117" s="2464"/>
      <c r="AQ117" s="2496"/>
    </row>
    <row r="118" spans="1:43" ht="64.5" customHeight="1" x14ac:dyDescent="0.2">
      <c r="A118" s="2609"/>
      <c r="B118" s="2521"/>
      <c r="C118" s="2523"/>
      <c r="D118" s="2502"/>
      <c r="E118" s="2503"/>
      <c r="F118" s="2504"/>
      <c r="G118" s="467"/>
      <c r="H118" s="985"/>
      <c r="I118" s="986"/>
      <c r="J118" s="2493"/>
      <c r="K118" s="2490"/>
      <c r="L118" s="2508"/>
      <c r="M118" s="2493"/>
      <c r="N118" s="2495"/>
      <c r="O118" s="2484"/>
      <c r="P118" s="2469"/>
      <c r="Q118" s="2488"/>
      <c r="R118" s="2489"/>
      <c r="S118" s="2490"/>
      <c r="T118" s="2490"/>
      <c r="U118" s="988" t="s">
        <v>986</v>
      </c>
      <c r="V118" s="1036">
        <v>5166667</v>
      </c>
      <c r="W118" s="2498"/>
      <c r="X118" s="2471"/>
      <c r="Y118" s="2486"/>
      <c r="Z118" s="2486"/>
      <c r="AA118" s="2486"/>
      <c r="AB118" s="2486"/>
      <c r="AC118" s="2486"/>
      <c r="AD118" s="2486"/>
      <c r="AE118" s="2486"/>
      <c r="AF118" s="2486"/>
      <c r="AG118" s="2486"/>
      <c r="AH118" s="2486"/>
      <c r="AI118" s="2486"/>
      <c r="AJ118" s="2486"/>
      <c r="AK118" s="2486"/>
      <c r="AL118" s="2486"/>
      <c r="AM118" s="2486"/>
      <c r="AN118" s="2486"/>
      <c r="AO118" s="2464"/>
      <c r="AP118" s="2464"/>
      <c r="AQ118" s="2496"/>
    </row>
    <row r="119" spans="1:43" ht="37.5" customHeight="1" x14ac:dyDescent="0.2">
      <c r="A119" s="2609"/>
      <c r="B119" s="2521"/>
      <c r="C119" s="2523"/>
      <c r="D119" s="2502"/>
      <c r="E119" s="2503"/>
      <c r="F119" s="2504"/>
      <c r="G119" s="467"/>
      <c r="H119" s="985"/>
      <c r="I119" s="986"/>
      <c r="J119" s="2493"/>
      <c r="K119" s="2490"/>
      <c r="L119" s="2508"/>
      <c r="M119" s="2493"/>
      <c r="N119" s="2495"/>
      <c r="O119" s="2484"/>
      <c r="P119" s="2469"/>
      <c r="Q119" s="2488"/>
      <c r="R119" s="2489"/>
      <c r="S119" s="2490"/>
      <c r="T119" s="2490"/>
      <c r="U119" s="993" t="s">
        <v>987</v>
      </c>
      <c r="V119" s="1036">
        <v>6400000</v>
      </c>
      <c r="W119" s="2498"/>
      <c r="X119" s="2471"/>
      <c r="Y119" s="2486"/>
      <c r="Z119" s="2486"/>
      <c r="AA119" s="2486"/>
      <c r="AB119" s="2486"/>
      <c r="AC119" s="2486"/>
      <c r="AD119" s="2486"/>
      <c r="AE119" s="2486"/>
      <c r="AF119" s="2486"/>
      <c r="AG119" s="2486"/>
      <c r="AH119" s="2486"/>
      <c r="AI119" s="2486"/>
      <c r="AJ119" s="2486"/>
      <c r="AK119" s="2486"/>
      <c r="AL119" s="2486"/>
      <c r="AM119" s="2486"/>
      <c r="AN119" s="2486"/>
      <c r="AO119" s="2464"/>
      <c r="AP119" s="2464"/>
      <c r="AQ119" s="2496"/>
    </row>
    <row r="120" spans="1:43" ht="42.75" customHeight="1" x14ac:dyDescent="0.2">
      <c r="A120" s="2609"/>
      <c r="B120" s="2521"/>
      <c r="C120" s="2523"/>
      <c r="D120" s="2502"/>
      <c r="E120" s="2503"/>
      <c r="F120" s="2504"/>
      <c r="G120" s="467"/>
      <c r="H120" s="985"/>
      <c r="I120" s="986"/>
      <c r="J120" s="2493"/>
      <c r="K120" s="2490"/>
      <c r="L120" s="2508"/>
      <c r="M120" s="2493"/>
      <c r="N120" s="2495"/>
      <c r="O120" s="2484"/>
      <c r="P120" s="2469"/>
      <c r="Q120" s="2488"/>
      <c r="R120" s="2489"/>
      <c r="S120" s="2490"/>
      <c r="T120" s="2490"/>
      <c r="U120" s="988" t="s">
        <v>988</v>
      </c>
      <c r="V120" s="1036">
        <v>5000000</v>
      </c>
      <c r="W120" s="2498"/>
      <c r="X120" s="2471"/>
      <c r="Y120" s="2486"/>
      <c r="Z120" s="2486"/>
      <c r="AA120" s="2486"/>
      <c r="AB120" s="2486"/>
      <c r="AC120" s="2486"/>
      <c r="AD120" s="2486"/>
      <c r="AE120" s="2486"/>
      <c r="AF120" s="2486"/>
      <c r="AG120" s="2486"/>
      <c r="AH120" s="2486"/>
      <c r="AI120" s="2486"/>
      <c r="AJ120" s="2486"/>
      <c r="AK120" s="2486"/>
      <c r="AL120" s="2486"/>
      <c r="AM120" s="2486"/>
      <c r="AN120" s="2486"/>
      <c r="AO120" s="2464"/>
      <c r="AP120" s="2464"/>
      <c r="AQ120" s="2496"/>
    </row>
    <row r="121" spans="1:43" ht="41.25" customHeight="1" x14ac:dyDescent="0.2">
      <c r="A121" s="2609"/>
      <c r="B121" s="2521"/>
      <c r="C121" s="2523"/>
      <c r="D121" s="2502"/>
      <c r="E121" s="2503"/>
      <c r="F121" s="2504"/>
      <c r="G121" s="467"/>
      <c r="H121" s="985"/>
      <c r="I121" s="986"/>
      <c r="J121" s="2493"/>
      <c r="K121" s="2490"/>
      <c r="L121" s="2508"/>
      <c r="M121" s="2493"/>
      <c r="N121" s="2495"/>
      <c r="O121" s="2484"/>
      <c r="P121" s="2469"/>
      <c r="Q121" s="2488"/>
      <c r="R121" s="2489"/>
      <c r="S121" s="2490"/>
      <c r="T121" s="2490"/>
      <c r="U121" s="988" t="s">
        <v>989</v>
      </c>
      <c r="V121" s="1036">
        <v>12000000</v>
      </c>
      <c r="W121" s="2498"/>
      <c r="X121" s="2471"/>
      <c r="Y121" s="2486"/>
      <c r="Z121" s="2486"/>
      <c r="AA121" s="2486"/>
      <c r="AB121" s="2486"/>
      <c r="AC121" s="2486"/>
      <c r="AD121" s="2486"/>
      <c r="AE121" s="2486"/>
      <c r="AF121" s="2486"/>
      <c r="AG121" s="2486"/>
      <c r="AH121" s="2486"/>
      <c r="AI121" s="2486"/>
      <c r="AJ121" s="2486"/>
      <c r="AK121" s="2486"/>
      <c r="AL121" s="2486"/>
      <c r="AM121" s="2486"/>
      <c r="AN121" s="2486"/>
      <c r="AO121" s="2464"/>
      <c r="AP121" s="2464"/>
      <c r="AQ121" s="2496"/>
    </row>
    <row r="122" spans="1:43" ht="54" customHeight="1" x14ac:dyDescent="0.2">
      <c r="A122" s="2609"/>
      <c r="B122" s="2521"/>
      <c r="C122" s="2523"/>
      <c r="D122" s="2502"/>
      <c r="E122" s="2503"/>
      <c r="F122" s="2504"/>
      <c r="G122" s="467"/>
      <c r="H122" s="985"/>
      <c r="I122" s="986"/>
      <c r="J122" s="2493"/>
      <c r="K122" s="2490"/>
      <c r="L122" s="2508"/>
      <c r="M122" s="2493"/>
      <c r="N122" s="2495"/>
      <c r="O122" s="2484"/>
      <c r="P122" s="2469"/>
      <c r="Q122" s="2488"/>
      <c r="R122" s="2489"/>
      <c r="S122" s="2490"/>
      <c r="T122" s="2490"/>
      <c r="U122" s="988" t="s">
        <v>990</v>
      </c>
      <c r="V122" s="1036">
        <f>18000000+170000000</f>
        <v>188000000</v>
      </c>
      <c r="W122" s="2498"/>
      <c r="X122" s="2471"/>
      <c r="Y122" s="2486"/>
      <c r="Z122" s="2486"/>
      <c r="AA122" s="2486"/>
      <c r="AB122" s="2486"/>
      <c r="AC122" s="2486"/>
      <c r="AD122" s="2486"/>
      <c r="AE122" s="2486"/>
      <c r="AF122" s="2486"/>
      <c r="AG122" s="2486"/>
      <c r="AH122" s="2486"/>
      <c r="AI122" s="2486"/>
      <c r="AJ122" s="2486"/>
      <c r="AK122" s="2486"/>
      <c r="AL122" s="2486"/>
      <c r="AM122" s="2486"/>
      <c r="AN122" s="2486"/>
      <c r="AO122" s="2464"/>
      <c r="AP122" s="2464"/>
      <c r="AQ122" s="2496"/>
    </row>
    <row r="123" spans="1:43" ht="31.5" customHeight="1" x14ac:dyDescent="0.2">
      <c r="A123" s="2609"/>
      <c r="B123" s="2521"/>
      <c r="C123" s="2523"/>
      <c r="D123" s="2502"/>
      <c r="E123" s="2503"/>
      <c r="F123" s="2504"/>
      <c r="G123" s="467"/>
      <c r="H123" s="985"/>
      <c r="I123" s="986"/>
      <c r="J123" s="2493"/>
      <c r="K123" s="2490"/>
      <c r="L123" s="2508"/>
      <c r="M123" s="2493"/>
      <c r="N123" s="2495"/>
      <c r="O123" s="2484"/>
      <c r="P123" s="2469"/>
      <c r="Q123" s="2488"/>
      <c r="R123" s="2489"/>
      <c r="S123" s="2490"/>
      <c r="T123" s="2490"/>
      <c r="U123" s="988" t="s">
        <v>991</v>
      </c>
      <c r="V123" s="1036">
        <v>7000000</v>
      </c>
      <c r="W123" s="2498"/>
      <c r="X123" s="2471"/>
      <c r="Y123" s="2486"/>
      <c r="Z123" s="2486"/>
      <c r="AA123" s="2486"/>
      <c r="AB123" s="2486"/>
      <c r="AC123" s="2486"/>
      <c r="AD123" s="2486"/>
      <c r="AE123" s="2486"/>
      <c r="AF123" s="2486"/>
      <c r="AG123" s="2486"/>
      <c r="AH123" s="2486"/>
      <c r="AI123" s="2486"/>
      <c r="AJ123" s="2486"/>
      <c r="AK123" s="2486"/>
      <c r="AL123" s="2486"/>
      <c r="AM123" s="2486"/>
      <c r="AN123" s="2486"/>
      <c r="AO123" s="2464"/>
      <c r="AP123" s="2464"/>
      <c r="AQ123" s="2496"/>
    </row>
    <row r="124" spans="1:43" ht="48.75" customHeight="1" x14ac:dyDescent="0.2">
      <c r="A124" s="2609"/>
      <c r="B124" s="2521"/>
      <c r="C124" s="2523"/>
      <c r="D124" s="2502"/>
      <c r="E124" s="2503"/>
      <c r="F124" s="2504"/>
      <c r="G124" s="467"/>
      <c r="H124" s="985"/>
      <c r="I124" s="986"/>
      <c r="J124" s="2493">
        <v>251</v>
      </c>
      <c r="K124" s="2490" t="s">
        <v>992</v>
      </c>
      <c r="L124" s="2490" t="s">
        <v>993</v>
      </c>
      <c r="M124" s="2493">
        <v>1</v>
      </c>
      <c r="N124" s="2495"/>
      <c r="O124" s="2484"/>
      <c r="P124" s="2469"/>
      <c r="Q124" s="2488">
        <f>(R124)/(R116+R124+R129+R130)</f>
        <v>0.10799136069114471</v>
      </c>
      <c r="R124" s="2489">
        <f>SUM(V124:V128)</f>
        <v>50000000</v>
      </c>
      <c r="S124" s="2490"/>
      <c r="T124" s="2490"/>
      <c r="U124" s="912" t="s">
        <v>994</v>
      </c>
      <c r="V124" s="1036">
        <v>18000000</v>
      </c>
      <c r="W124" s="2498"/>
      <c r="X124" s="2471"/>
      <c r="Y124" s="2486"/>
      <c r="Z124" s="2486"/>
      <c r="AA124" s="2486"/>
      <c r="AB124" s="2486"/>
      <c r="AC124" s="2486"/>
      <c r="AD124" s="2486"/>
      <c r="AE124" s="2486"/>
      <c r="AF124" s="2486"/>
      <c r="AG124" s="2486"/>
      <c r="AH124" s="2486"/>
      <c r="AI124" s="2486"/>
      <c r="AJ124" s="2486"/>
      <c r="AK124" s="2486"/>
      <c r="AL124" s="2486"/>
      <c r="AM124" s="2486"/>
      <c r="AN124" s="2486"/>
      <c r="AO124" s="2464"/>
      <c r="AP124" s="2464"/>
      <c r="AQ124" s="2496"/>
    </row>
    <row r="125" spans="1:43" ht="46.5" customHeight="1" x14ac:dyDescent="0.2">
      <c r="A125" s="2609"/>
      <c r="B125" s="2521"/>
      <c r="C125" s="2523"/>
      <c r="D125" s="2502"/>
      <c r="E125" s="2503"/>
      <c r="F125" s="2504"/>
      <c r="G125" s="467"/>
      <c r="H125" s="985"/>
      <c r="I125" s="986"/>
      <c r="J125" s="2493"/>
      <c r="K125" s="2490"/>
      <c r="L125" s="2490"/>
      <c r="M125" s="2493"/>
      <c r="N125" s="2495"/>
      <c r="O125" s="2484"/>
      <c r="P125" s="2469"/>
      <c r="Q125" s="2488"/>
      <c r="R125" s="2489"/>
      <c r="S125" s="2490"/>
      <c r="T125" s="2490"/>
      <c r="U125" s="993" t="s">
        <v>995</v>
      </c>
      <c r="V125" s="1036">
        <v>5000000</v>
      </c>
      <c r="W125" s="2498"/>
      <c r="X125" s="2471"/>
      <c r="Y125" s="2486"/>
      <c r="Z125" s="2486"/>
      <c r="AA125" s="2486"/>
      <c r="AB125" s="2486"/>
      <c r="AC125" s="2486"/>
      <c r="AD125" s="2486"/>
      <c r="AE125" s="2486"/>
      <c r="AF125" s="2486"/>
      <c r="AG125" s="2486"/>
      <c r="AH125" s="2486"/>
      <c r="AI125" s="2486"/>
      <c r="AJ125" s="2486"/>
      <c r="AK125" s="2486"/>
      <c r="AL125" s="2486"/>
      <c r="AM125" s="2486"/>
      <c r="AN125" s="2486"/>
      <c r="AO125" s="2464"/>
      <c r="AP125" s="2464"/>
      <c r="AQ125" s="2496"/>
    </row>
    <row r="126" spans="1:43" ht="45" x14ac:dyDescent="0.2">
      <c r="A126" s="2609"/>
      <c r="B126" s="2521"/>
      <c r="C126" s="2523"/>
      <c r="D126" s="2502"/>
      <c r="E126" s="2503"/>
      <c r="F126" s="2504"/>
      <c r="G126" s="467"/>
      <c r="H126" s="985"/>
      <c r="I126" s="986"/>
      <c r="J126" s="2493"/>
      <c r="K126" s="2490"/>
      <c r="L126" s="2490"/>
      <c r="M126" s="2493"/>
      <c r="N126" s="2495"/>
      <c r="O126" s="2484"/>
      <c r="P126" s="2469"/>
      <c r="Q126" s="2488"/>
      <c r="R126" s="2489"/>
      <c r="S126" s="2490"/>
      <c r="T126" s="2490"/>
      <c r="U126" s="993" t="s">
        <v>996</v>
      </c>
      <c r="V126" s="1036">
        <v>15000000</v>
      </c>
      <c r="W126" s="2498"/>
      <c r="X126" s="2471"/>
      <c r="Y126" s="2486"/>
      <c r="Z126" s="2486"/>
      <c r="AA126" s="2486"/>
      <c r="AB126" s="2486"/>
      <c r="AC126" s="2486"/>
      <c r="AD126" s="2486"/>
      <c r="AE126" s="2486"/>
      <c r="AF126" s="2486"/>
      <c r="AG126" s="2486"/>
      <c r="AH126" s="2486"/>
      <c r="AI126" s="2486"/>
      <c r="AJ126" s="2486"/>
      <c r="AK126" s="2486"/>
      <c r="AL126" s="2486"/>
      <c r="AM126" s="2486"/>
      <c r="AN126" s="2486"/>
      <c r="AO126" s="2464"/>
      <c r="AP126" s="2464"/>
      <c r="AQ126" s="2496"/>
    </row>
    <row r="127" spans="1:43" ht="33" customHeight="1" x14ac:dyDescent="0.2">
      <c r="A127" s="2609"/>
      <c r="B127" s="2521"/>
      <c r="C127" s="2523"/>
      <c r="D127" s="2502"/>
      <c r="E127" s="2503"/>
      <c r="F127" s="2504"/>
      <c r="G127" s="467"/>
      <c r="H127" s="985"/>
      <c r="I127" s="986"/>
      <c r="J127" s="2493"/>
      <c r="K127" s="2490"/>
      <c r="L127" s="2490"/>
      <c r="M127" s="2493"/>
      <c r="N127" s="2495"/>
      <c r="O127" s="2484"/>
      <c r="P127" s="2469"/>
      <c r="Q127" s="2488"/>
      <c r="R127" s="2489"/>
      <c r="S127" s="2490"/>
      <c r="T127" s="2490"/>
      <c r="U127" s="993" t="s">
        <v>997</v>
      </c>
      <c r="V127" s="1036">
        <v>7000000</v>
      </c>
      <c r="W127" s="2498"/>
      <c r="X127" s="2471"/>
      <c r="Y127" s="2486"/>
      <c r="Z127" s="2486"/>
      <c r="AA127" s="2486"/>
      <c r="AB127" s="2486"/>
      <c r="AC127" s="2486"/>
      <c r="AD127" s="2486"/>
      <c r="AE127" s="2486"/>
      <c r="AF127" s="2486"/>
      <c r="AG127" s="2486"/>
      <c r="AH127" s="2486"/>
      <c r="AI127" s="2486"/>
      <c r="AJ127" s="2486"/>
      <c r="AK127" s="2486"/>
      <c r="AL127" s="2486"/>
      <c r="AM127" s="2486"/>
      <c r="AN127" s="2486"/>
      <c r="AO127" s="2464"/>
      <c r="AP127" s="2464"/>
      <c r="AQ127" s="2496"/>
    </row>
    <row r="128" spans="1:43" ht="26.25" customHeight="1" x14ac:dyDescent="0.2">
      <c r="A128" s="2609"/>
      <c r="B128" s="2521"/>
      <c r="C128" s="2523"/>
      <c r="D128" s="2502"/>
      <c r="E128" s="2503"/>
      <c r="F128" s="2504"/>
      <c r="G128" s="467"/>
      <c r="H128" s="985"/>
      <c r="I128" s="986"/>
      <c r="J128" s="2493"/>
      <c r="K128" s="2490"/>
      <c r="L128" s="2490"/>
      <c r="M128" s="2493"/>
      <c r="N128" s="2495"/>
      <c r="O128" s="2484"/>
      <c r="P128" s="2469"/>
      <c r="Q128" s="2488"/>
      <c r="R128" s="2489"/>
      <c r="S128" s="2490"/>
      <c r="T128" s="2490"/>
      <c r="U128" s="993" t="s">
        <v>998</v>
      </c>
      <c r="V128" s="1036">
        <v>5000000</v>
      </c>
      <c r="W128" s="2498"/>
      <c r="X128" s="2471"/>
      <c r="Y128" s="2486"/>
      <c r="Z128" s="2486"/>
      <c r="AA128" s="2486"/>
      <c r="AB128" s="2486"/>
      <c r="AC128" s="2486"/>
      <c r="AD128" s="2486"/>
      <c r="AE128" s="2486"/>
      <c r="AF128" s="2486"/>
      <c r="AG128" s="2486"/>
      <c r="AH128" s="2486"/>
      <c r="AI128" s="2486"/>
      <c r="AJ128" s="2486"/>
      <c r="AK128" s="2486"/>
      <c r="AL128" s="2486"/>
      <c r="AM128" s="2486"/>
      <c r="AN128" s="2486"/>
      <c r="AO128" s="2464"/>
      <c r="AP128" s="2464"/>
      <c r="AQ128" s="2496"/>
    </row>
    <row r="129" spans="1:43" ht="107.25" customHeight="1" x14ac:dyDescent="0.2">
      <c r="A129" s="2609"/>
      <c r="B129" s="2521"/>
      <c r="C129" s="2523"/>
      <c r="D129" s="2502"/>
      <c r="E129" s="2503"/>
      <c r="F129" s="2504"/>
      <c r="G129" s="467"/>
      <c r="H129" s="985"/>
      <c r="I129" s="986"/>
      <c r="J129" s="990">
        <v>252</v>
      </c>
      <c r="K129" s="988" t="s">
        <v>999</v>
      </c>
      <c r="L129" s="988" t="s">
        <v>1000</v>
      </c>
      <c r="M129" s="990">
        <v>1</v>
      </c>
      <c r="N129" s="2495"/>
      <c r="O129" s="2484"/>
      <c r="P129" s="2469"/>
      <c r="Q129" s="925">
        <f>(R129)/(R116+R124+R129+Q130)</f>
        <v>5.7736720545632697E-2</v>
      </c>
      <c r="R129" s="923">
        <f>V129</f>
        <v>25000000</v>
      </c>
      <c r="S129" s="2490"/>
      <c r="T129" s="2490"/>
      <c r="U129" s="993" t="s">
        <v>1001</v>
      </c>
      <c r="V129" s="1036">
        <v>25000000</v>
      </c>
      <c r="W129" s="2498"/>
      <c r="X129" s="2471"/>
      <c r="Y129" s="2486"/>
      <c r="Z129" s="2486"/>
      <c r="AA129" s="2486"/>
      <c r="AB129" s="2486"/>
      <c r="AC129" s="2486"/>
      <c r="AD129" s="2486"/>
      <c r="AE129" s="2486"/>
      <c r="AF129" s="2486"/>
      <c r="AG129" s="2486"/>
      <c r="AH129" s="2486"/>
      <c r="AI129" s="2486"/>
      <c r="AJ129" s="2486"/>
      <c r="AK129" s="2486"/>
      <c r="AL129" s="2486"/>
      <c r="AM129" s="2486"/>
      <c r="AN129" s="2486"/>
      <c r="AO129" s="2464"/>
      <c r="AP129" s="2464"/>
      <c r="AQ129" s="2496"/>
    </row>
    <row r="130" spans="1:43" ht="43.5" customHeight="1" x14ac:dyDescent="0.2">
      <c r="A130" s="2609"/>
      <c r="B130" s="2521"/>
      <c r="C130" s="2523"/>
      <c r="D130" s="2502"/>
      <c r="E130" s="2503"/>
      <c r="F130" s="2504"/>
      <c r="G130" s="467"/>
      <c r="H130" s="985"/>
      <c r="I130" s="986"/>
      <c r="J130" s="2493">
        <v>254</v>
      </c>
      <c r="K130" s="2490" t="s">
        <v>1002</v>
      </c>
      <c r="L130" s="2490" t="s">
        <v>1003</v>
      </c>
      <c r="M130" s="2493">
        <v>1</v>
      </c>
      <c r="N130" s="2495"/>
      <c r="O130" s="2484"/>
      <c r="P130" s="2469"/>
      <c r="Q130" s="2488">
        <f>(R130)/(R116+R124+R129+R130)</f>
        <v>6.4794816414686832E-2</v>
      </c>
      <c r="R130" s="2489">
        <f>SUM(V130:V133)</f>
        <v>30000000</v>
      </c>
      <c r="S130" s="2490"/>
      <c r="T130" s="2490"/>
      <c r="U130" s="1037" t="s">
        <v>1004</v>
      </c>
      <c r="V130" s="1036">
        <v>16300000</v>
      </c>
      <c r="W130" s="2498"/>
      <c r="X130" s="2471"/>
      <c r="Y130" s="2486"/>
      <c r="Z130" s="2486"/>
      <c r="AA130" s="2486"/>
      <c r="AB130" s="2486"/>
      <c r="AC130" s="2486"/>
      <c r="AD130" s="2486"/>
      <c r="AE130" s="2486"/>
      <c r="AF130" s="2486"/>
      <c r="AG130" s="2486"/>
      <c r="AH130" s="2486"/>
      <c r="AI130" s="2486"/>
      <c r="AJ130" s="2486"/>
      <c r="AK130" s="2486"/>
      <c r="AL130" s="2486"/>
      <c r="AM130" s="2486"/>
      <c r="AN130" s="2486"/>
      <c r="AO130" s="2464"/>
      <c r="AP130" s="2464"/>
      <c r="AQ130" s="2496"/>
    </row>
    <row r="131" spans="1:43" ht="36" customHeight="1" x14ac:dyDescent="0.2">
      <c r="A131" s="2609"/>
      <c r="B131" s="2521"/>
      <c r="C131" s="2523"/>
      <c r="D131" s="2502"/>
      <c r="E131" s="2503"/>
      <c r="F131" s="2504"/>
      <c r="G131" s="467"/>
      <c r="H131" s="985"/>
      <c r="I131" s="986"/>
      <c r="J131" s="2493"/>
      <c r="K131" s="2490"/>
      <c r="L131" s="2490"/>
      <c r="M131" s="2493"/>
      <c r="N131" s="2495"/>
      <c r="O131" s="2484"/>
      <c r="P131" s="2469"/>
      <c r="Q131" s="2488"/>
      <c r="R131" s="2489"/>
      <c r="S131" s="2490"/>
      <c r="T131" s="2490"/>
      <c r="U131" s="1037" t="s">
        <v>1005</v>
      </c>
      <c r="V131" s="1036">
        <v>5000000</v>
      </c>
      <c r="W131" s="2498"/>
      <c r="X131" s="2471"/>
      <c r="Y131" s="2486"/>
      <c r="Z131" s="2486"/>
      <c r="AA131" s="2486"/>
      <c r="AB131" s="2486"/>
      <c r="AC131" s="2486"/>
      <c r="AD131" s="2486"/>
      <c r="AE131" s="2486"/>
      <c r="AF131" s="2486"/>
      <c r="AG131" s="2486"/>
      <c r="AH131" s="2486"/>
      <c r="AI131" s="2486"/>
      <c r="AJ131" s="2486"/>
      <c r="AK131" s="2486"/>
      <c r="AL131" s="2486"/>
      <c r="AM131" s="2486"/>
      <c r="AN131" s="2486"/>
      <c r="AO131" s="2464"/>
      <c r="AP131" s="2464"/>
      <c r="AQ131" s="2496"/>
    </row>
    <row r="132" spans="1:43" ht="39.75" customHeight="1" x14ac:dyDescent="0.2">
      <c r="A132" s="2609"/>
      <c r="B132" s="2521"/>
      <c r="C132" s="2523"/>
      <c r="D132" s="2502"/>
      <c r="E132" s="2503"/>
      <c r="F132" s="2504"/>
      <c r="G132" s="467"/>
      <c r="H132" s="985"/>
      <c r="I132" s="986"/>
      <c r="J132" s="2493"/>
      <c r="K132" s="2490"/>
      <c r="L132" s="2490"/>
      <c r="M132" s="2493"/>
      <c r="N132" s="2495"/>
      <c r="O132" s="2484"/>
      <c r="P132" s="2469"/>
      <c r="Q132" s="2488"/>
      <c r="R132" s="2489"/>
      <c r="S132" s="2490"/>
      <c r="T132" s="2490"/>
      <c r="U132" s="993" t="s">
        <v>1006</v>
      </c>
      <c r="V132" s="923">
        <v>5000000</v>
      </c>
      <c r="W132" s="2498"/>
      <c r="X132" s="2471"/>
      <c r="Y132" s="2486"/>
      <c r="Z132" s="2486"/>
      <c r="AA132" s="2486"/>
      <c r="AB132" s="2486"/>
      <c r="AC132" s="2486"/>
      <c r="AD132" s="2486"/>
      <c r="AE132" s="2486"/>
      <c r="AF132" s="2486"/>
      <c r="AG132" s="2486"/>
      <c r="AH132" s="2486"/>
      <c r="AI132" s="2486"/>
      <c r="AJ132" s="2486"/>
      <c r="AK132" s="2486"/>
      <c r="AL132" s="2486"/>
      <c r="AM132" s="2486"/>
      <c r="AN132" s="2486"/>
      <c r="AO132" s="2464"/>
      <c r="AP132" s="2464"/>
      <c r="AQ132" s="2496"/>
    </row>
    <row r="133" spans="1:43" ht="27" customHeight="1" x14ac:dyDescent="0.2">
      <c r="A133" s="2609"/>
      <c r="B133" s="2521"/>
      <c r="C133" s="2523"/>
      <c r="D133" s="2502"/>
      <c r="E133" s="2503"/>
      <c r="F133" s="2504"/>
      <c r="G133" s="467"/>
      <c r="H133" s="998"/>
      <c r="I133" s="999"/>
      <c r="J133" s="2493"/>
      <c r="K133" s="2490"/>
      <c r="L133" s="2490"/>
      <c r="M133" s="2493"/>
      <c r="N133" s="2495"/>
      <c r="O133" s="2484"/>
      <c r="P133" s="2469"/>
      <c r="Q133" s="2488"/>
      <c r="R133" s="2489"/>
      <c r="S133" s="2490"/>
      <c r="T133" s="2490"/>
      <c r="U133" s="993" t="s">
        <v>987</v>
      </c>
      <c r="V133" s="1045">
        <v>3700000</v>
      </c>
      <c r="W133" s="2498"/>
      <c r="X133" s="2471"/>
      <c r="Y133" s="2486"/>
      <c r="Z133" s="2486"/>
      <c r="AA133" s="2486"/>
      <c r="AB133" s="2486"/>
      <c r="AC133" s="2486"/>
      <c r="AD133" s="2486"/>
      <c r="AE133" s="2486"/>
      <c r="AF133" s="2486"/>
      <c r="AG133" s="2486"/>
      <c r="AH133" s="2486"/>
      <c r="AI133" s="2486"/>
      <c r="AJ133" s="2486"/>
      <c r="AK133" s="2486"/>
      <c r="AL133" s="2486"/>
      <c r="AM133" s="2486"/>
      <c r="AN133" s="2486"/>
      <c r="AO133" s="2487"/>
      <c r="AP133" s="2487"/>
      <c r="AQ133" s="2496"/>
    </row>
    <row r="134" spans="1:43" s="467" customFormat="1" ht="15.75" x14ac:dyDescent="0.2">
      <c r="A134" s="2609"/>
      <c r="B134" s="2521"/>
      <c r="C134" s="2523"/>
      <c r="D134" s="2502"/>
      <c r="E134" s="2503"/>
      <c r="F134" s="2504"/>
      <c r="G134" s="975">
        <v>86</v>
      </c>
      <c r="H134" s="399" t="s">
        <v>1007</v>
      </c>
      <c r="I134" s="399"/>
      <c r="J134" s="1000"/>
      <c r="K134" s="1001"/>
      <c r="L134" s="1002"/>
      <c r="M134" s="1003"/>
      <c r="N134" s="978"/>
      <c r="O134" s="979"/>
      <c r="P134" s="400"/>
      <c r="Q134" s="1004"/>
      <c r="R134" s="1005"/>
      <c r="S134" s="1002"/>
      <c r="T134" s="1001"/>
      <c r="U134" s="1001"/>
      <c r="V134" s="1006"/>
      <c r="W134" s="403"/>
      <c r="X134" s="1019"/>
      <c r="Y134" s="403"/>
      <c r="Z134" s="403"/>
      <c r="AA134" s="403"/>
      <c r="AB134" s="403"/>
      <c r="AC134" s="403"/>
      <c r="AD134" s="403"/>
      <c r="AE134" s="403"/>
      <c r="AF134" s="403"/>
      <c r="AG134" s="403"/>
      <c r="AH134" s="403"/>
      <c r="AI134" s="403"/>
      <c r="AJ134" s="403"/>
      <c r="AK134" s="403"/>
      <c r="AL134" s="403"/>
      <c r="AM134" s="403"/>
      <c r="AN134" s="403"/>
      <c r="AO134" s="403"/>
      <c r="AP134" s="403"/>
      <c r="AQ134" s="1020"/>
    </row>
    <row r="135" spans="1:43" ht="48" customHeight="1" x14ac:dyDescent="0.2">
      <c r="A135" s="2609"/>
      <c r="B135" s="2521"/>
      <c r="C135" s="2523"/>
      <c r="D135" s="2502"/>
      <c r="E135" s="2503"/>
      <c r="F135" s="2504"/>
      <c r="G135" s="467"/>
      <c r="H135" s="984"/>
      <c r="I135" s="833"/>
      <c r="J135" s="2493">
        <v>255</v>
      </c>
      <c r="K135" s="2490" t="s">
        <v>1008</v>
      </c>
      <c r="L135" s="2490" t="s">
        <v>1009</v>
      </c>
      <c r="M135" s="2493">
        <v>12</v>
      </c>
      <c r="N135" s="2494" t="s">
        <v>1010</v>
      </c>
      <c r="O135" s="2484" t="s">
        <v>1011</v>
      </c>
      <c r="P135" s="2469" t="s">
        <v>1012</v>
      </c>
      <c r="Q135" s="2488">
        <f>(R135)/(R135)</f>
        <v>1</v>
      </c>
      <c r="R135" s="2489">
        <f>SUM(V135:V140)</f>
        <v>170000000</v>
      </c>
      <c r="S135" s="2490" t="s">
        <v>1013</v>
      </c>
      <c r="T135" s="2490" t="s">
        <v>1014</v>
      </c>
      <c r="U135" s="1046" t="s">
        <v>1015</v>
      </c>
      <c r="V135" s="1036">
        <f>54000000+36000000</f>
        <v>90000000</v>
      </c>
      <c r="W135" s="2491" t="s">
        <v>1016</v>
      </c>
      <c r="X135" s="2471" t="s">
        <v>1017</v>
      </c>
      <c r="Y135" s="2485">
        <v>2138</v>
      </c>
      <c r="Z135" s="2485">
        <v>2062</v>
      </c>
      <c r="AA135" s="2485"/>
      <c r="AB135" s="2485"/>
      <c r="AC135" s="2485">
        <v>4200</v>
      </c>
      <c r="AD135" s="2485"/>
      <c r="AE135" s="2485"/>
      <c r="AF135" s="2485"/>
      <c r="AG135" s="2485"/>
      <c r="AH135" s="2485"/>
      <c r="AI135" s="2485"/>
      <c r="AJ135" s="2485"/>
      <c r="AK135" s="2485"/>
      <c r="AL135" s="2485"/>
      <c r="AM135" s="2485"/>
      <c r="AN135" s="2485">
        <v>4200</v>
      </c>
      <c r="AO135" s="2463">
        <v>43110</v>
      </c>
      <c r="AP135" s="2463">
        <v>43454</v>
      </c>
      <c r="AQ135" s="2457" t="s">
        <v>785</v>
      </c>
    </row>
    <row r="136" spans="1:43" ht="39.75" customHeight="1" x14ac:dyDescent="0.2">
      <c r="A136" s="2609"/>
      <c r="B136" s="2521"/>
      <c r="C136" s="2523"/>
      <c r="D136" s="2502"/>
      <c r="E136" s="2503"/>
      <c r="F136" s="2504"/>
      <c r="G136" s="467"/>
      <c r="H136" s="985"/>
      <c r="I136" s="986"/>
      <c r="J136" s="2493"/>
      <c r="K136" s="2490"/>
      <c r="L136" s="2490"/>
      <c r="M136" s="2493"/>
      <c r="N136" s="2495"/>
      <c r="O136" s="2484"/>
      <c r="P136" s="2469"/>
      <c r="Q136" s="2488"/>
      <c r="R136" s="2489"/>
      <c r="S136" s="2490"/>
      <c r="T136" s="2490"/>
      <c r="U136" s="1047" t="s">
        <v>1018</v>
      </c>
      <c r="V136" s="1036">
        <f>16000000+8000000</f>
        <v>24000000</v>
      </c>
      <c r="W136" s="2492"/>
      <c r="X136" s="2471"/>
      <c r="Y136" s="2486"/>
      <c r="Z136" s="2486"/>
      <c r="AA136" s="2486"/>
      <c r="AB136" s="2486"/>
      <c r="AC136" s="2486"/>
      <c r="AD136" s="2486"/>
      <c r="AE136" s="2486"/>
      <c r="AF136" s="2486"/>
      <c r="AG136" s="2486"/>
      <c r="AH136" s="2486"/>
      <c r="AI136" s="2486"/>
      <c r="AJ136" s="2486"/>
      <c r="AK136" s="2486"/>
      <c r="AL136" s="2486"/>
      <c r="AM136" s="2486"/>
      <c r="AN136" s="2486"/>
      <c r="AO136" s="2464"/>
      <c r="AP136" s="2464"/>
      <c r="AQ136" s="2458"/>
    </row>
    <row r="137" spans="1:43" ht="39.75" customHeight="1" x14ac:dyDescent="0.2">
      <c r="A137" s="2609"/>
      <c r="B137" s="2521"/>
      <c r="C137" s="2523"/>
      <c r="D137" s="2502"/>
      <c r="E137" s="2503"/>
      <c r="F137" s="2504"/>
      <c r="G137" s="467"/>
      <c r="H137" s="985"/>
      <c r="I137" s="986"/>
      <c r="J137" s="2493"/>
      <c r="K137" s="2490"/>
      <c r="L137" s="2490"/>
      <c r="M137" s="2493"/>
      <c r="N137" s="2495"/>
      <c r="O137" s="2484"/>
      <c r="P137" s="2469"/>
      <c r="Q137" s="2488"/>
      <c r="R137" s="2489"/>
      <c r="S137" s="2490"/>
      <c r="T137" s="2490"/>
      <c r="U137" s="1048" t="s">
        <v>1019</v>
      </c>
      <c r="V137" s="1036">
        <v>15000000</v>
      </c>
      <c r="W137" s="2492"/>
      <c r="X137" s="2471"/>
      <c r="Y137" s="2486"/>
      <c r="Z137" s="2486"/>
      <c r="AA137" s="2486"/>
      <c r="AB137" s="2486"/>
      <c r="AC137" s="2486"/>
      <c r="AD137" s="2486"/>
      <c r="AE137" s="2486"/>
      <c r="AF137" s="2486"/>
      <c r="AG137" s="2486"/>
      <c r="AH137" s="2486"/>
      <c r="AI137" s="2486"/>
      <c r="AJ137" s="2486"/>
      <c r="AK137" s="2486"/>
      <c r="AL137" s="2486"/>
      <c r="AM137" s="2486"/>
      <c r="AN137" s="2486"/>
      <c r="AO137" s="2464"/>
      <c r="AP137" s="2464"/>
      <c r="AQ137" s="2458"/>
    </row>
    <row r="138" spans="1:43" ht="50.25" customHeight="1" x14ac:dyDescent="0.2">
      <c r="A138" s="2609"/>
      <c r="B138" s="2521"/>
      <c r="C138" s="2523"/>
      <c r="D138" s="2502"/>
      <c r="E138" s="2503"/>
      <c r="F138" s="2504"/>
      <c r="G138" s="467"/>
      <c r="H138" s="985"/>
      <c r="I138" s="986"/>
      <c r="J138" s="2493"/>
      <c r="K138" s="2490"/>
      <c r="L138" s="2490"/>
      <c r="M138" s="2493"/>
      <c r="N138" s="2495"/>
      <c r="O138" s="2484"/>
      <c r="P138" s="2469"/>
      <c r="Q138" s="2488"/>
      <c r="R138" s="2489"/>
      <c r="S138" s="2490"/>
      <c r="T138" s="2490"/>
      <c r="U138" s="988" t="s">
        <v>1020</v>
      </c>
      <c r="V138" s="1036">
        <f>6000000+13000000</f>
        <v>19000000</v>
      </c>
      <c r="W138" s="2492"/>
      <c r="X138" s="2471"/>
      <c r="Y138" s="2486"/>
      <c r="Z138" s="2486"/>
      <c r="AA138" s="2486"/>
      <c r="AB138" s="2486"/>
      <c r="AC138" s="2486"/>
      <c r="AD138" s="2486"/>
      <c r="AE138" s="2486"/>
      <c r="AF138" s="2486"/>
      <c r="AG138" s="2486"/>
      <c r="AH138" s="2486"/>
      <c r="AI138" s="2486"/>
      <c r="AJ138" s="2486"/>
      <c r="AK138" s="2486"/>
      <c r="AL138" s="2486"/>
      <c r="AM138" s="2486"/>
      <c r="AN138" s="2486"/>
      <c r="AO138" s="2464"/>
      <c r="AP138" s="2464"/>
      <c r="AQ138" s="2458"/>
    </row>
    <row r="139" spans="1:43" ht="50.25" customHeight="1" x14ac:dyDescent="0.2">
      <c r="A139" s="2609"/>
      <c r="B139" s="2521"/>
      <c r="C139" s="2523"/>
      <c r="D139" s="2502"/>
      <c r="E139" s="2503"/>
      <c r="F139" s="2504"/>
      <c r="G139" s="467"/>
      <c r="H139" s="985"/>
      <c r="I139" s="986"/>
      <c r="J139" s="2493"/>
      <c r="K139" s="2490"/>
      <c r="L139" s="2490"/>
      <c r="M139" s="2493"/>
      <c r="N139" s="2495"/>
      <c r="O139" s="2484"/>
      <c r="P139" s="2469"/>
      <c r="Q139" s="2488"/>
      <c r="R139" s="2489"/>
      <c r="S139" s="2490"/>
      <c r="T139" s="2490"/>
      <c r="U139" s="988" t="s">
        <v>1021</v>
      </c>
      <c r="V139" s="1036">
        <v>5000000</v>
      </c>
      <c r="W139" s="2492"/>
      <c r="X139" s="2471"/>
      <c r="Y139" s="2486"/>
      <c r="Z139" s="2486"/>
      <c r="AA139" s="2486"/>
      <c r="AB139" s="2486"/>
      <c r="AC139" s="2486"/>
      <c r="AD139" s="2486"/>
      <c r="AE139" s="2486"/>
      <c r="AF139" s="2486"/>
      <c r="AG139" s="2486"/>
      <c r="AH139" s="2486"/>
      <c r="AI139" s="2486"/>
      <c r="AJ139" s="2486"/>
      <c r="AK139" s="2486"/>
      <c r="AL139" s="2486"/>
      <c r="AM139" s="2486"/>
      <c r="AN139" s="2486"/>
      <c r="AO139" s="2464"/>
      <c r="AP139" s="2464"/>
      <c r="AQ139" s="2458"/>
    </row>
    <row r="140" spans="1:43" ht="57" customHeight="1" x14ac:dyDescent="0.2">
      <c r="A140" s="2610"/>
      <c r="B140" s="2524"/>
      <c r="C140" s="2526"/>
      <c r="D140" s="2505"/>
      <c r="E140" s="2506"/>
      <c r="F140" s="2507"/>
      <c r="G140" s="467"/>
      <c r="H140" s="998"/>
      <c r="I140" s="999"/>
      <c r="J140" s="2493"/>
      <c r="K140" s="2490"/>
      <c r="L140" s="2490"/>
      <c r="M140" s="2493"/>
      <c r="N140" s="2495"/>
      <c r="O140" s="2484"/>
      <c r="P140" s="2469"/>
      <c r="Q140" s="2488"/>
      <c r="R140" s="2489"/>
      <c r="S140" s="2490"/>
      <c r="T140" s="2490"/>
      <c r="U140" s="988" t="s">
        <v>1022</v>
      </c>
      <c r="V140" s="1036">
        <f>9000000+8000000</f>
        <v>17000000</v>
      </c>
      <c r="W140" s="2492"/>
      <c r="X140" s="2471"/>
      <c r="Y140" s="2486"/>
      <c r="Z140" s="2486"/>
      <c r="AA140" s="2486"/>
      <c r="AB140" s="2486"/>
      <c r="AC140" s="2486"/>
      <c r="AD140" s="2486"/>
      <c r="AE140" s="2486"/>
      <c r="AF140" s="2486"/>
      <c r="AG140" s="2486"/>
      <c r="AH140" s="2486"/>
      <c r="AI140" s="2486"/>
      <c r="AJ140" s="2486"/>
      <c r="AK140" s="2486"/>
      <c r="AL140" s="2486"/>
      <c r="AM140" s="2486"/>
      <c r="AN140" s="2486"/>
      <c r="AO140" s="2487"/>
      <c r="AP140" s="2487"/>
      <c r="AQ140" s="2458"/>
    </row>
    <row r="141" spans="1:43" s="611" customFormat="1" ht="15.75" x14ac:dyDescent="0.2">
      <c r="A141" s="377">
        <v>5</v>
      </c>
      <c r="B141" s="378" t="s">
        <v>49</v>
      </c>
      <c r="C141" s="378"/>
      <c r="D141" s="952"/>
      <c r="E141" s="952"/>
      <c r="F141" s="952"/>
      <c r="G141" s="952"/>
      <c r="H141" s="952"/>
      <c r="I141" s="952"/>
      <c r="J141" s="1049"/>
      <c r="K141" s="1050"/>
      <c r="L141" s="1051"/>
      <c r="M141" s="1052"/>
      <c r="N141" s="956"/>
      <c r="O141" s="953"/>
      <c r="P141" s="955"/>
      <c r="Q141" s="1053"/>
      <c r="R141" s="1054"/>
      <c r="S141" s="1051"/>
      <c r="T141" s="1050"/>
      <c r="U141" s="1050"/>
      <c r="V141" s="1055"/>
      <c r="W141" s="959"/>
      <c r="X141" s="1056"/>
      <c r="Y141" s="959"/>
      <c r="Z141" s="959"/>
      <c r="AA141" s="959"/>
      <c r="AB141" s="959"/>
      <c r="AC141" s="959"/>
      <c r="AD141" s="959"/>
      <c r="AE141" s="959"/>
      <c r="AF141" s="959"/>
      <c r="AG141" s="959"/>
      <c r="AH141" s="959"/>
      <c r="AI141" s="959"/>
      <c r="AJ141" s="959"/>
      <c r="AK141" s="959"/>
      <c r="AL141" s="959"/>
      <c r="AM141" s="959"/>
      <c r="AN141" s="959"/>
      <c r="AO141" s="959"/>
      <c r="AP141" s="959"/>
      <c r="AQ141" s="1057"/>
    </row>
    <row r="142" spans="1:43" s="467" customFormat="1" ht="15.75" x14ac:dyDescent="0.2">
      <c r="A142" s="2472"/>
      <c r="B142" s="2473"/>
      <c r="C142" s="2473"/>
      <c r="D142" s="1058">
        <v>26</v>
      </c>
      <c r="E142" s="964" t="s">
        <v>1023</v>
      </c>
      <c r="F142" s="964"/>
      <c r="G142" s="964"/>
      <c r="H142" s="964"/>
      <c r="I142" s="964"/>
      <c r="J142" s="965"/>
      <c r="K142" s="966"/>
      <c r="L142" s="967"/>
      <c r="M142" s="964"/>
      <c r="N142" s="968"/>
      <c r="O142" s="965"/>
      <c r="P142" s="967"/>
      <c r="Q142" s="969"/>
      <c r="R142" s="970"/>
      <c r="S142" s="967"/>
      <c r="T142" s="966"/>
      <c r="U142" s="966"/>
      <c r="V142" s="971"/>
      <c r="W142" s="971"/>
      <c r="X142" s="1033"/>
      <c r="Y142" s="971"/>
      <c r="Z142" s="971"/>
      <c r="AA142" s="971"/>
      <c r="AB142" s="971"/>
      <c r="AC142" s="971"/>
      <c r="AD142" s="971"/>
      <c r="AE142" s="971"/>
      <c r="AF142" s="971"/>
      <c r="AG142" s="971"/>
      <c r="AH142" s="971"/>
      <c r="AI142" s="971"/>
      <c r="AJ142" s="971"/>
      <c r="AK142" s="971"/>
      <c r="AL142" s="971"/>
      <c r="AM142" s="967"/>
      <c r="AN142" s="967"/>
      <c r="AO142" s="1034"/>
      <c r="AP142" s="1034"/>
      <c r="AQ142" s="974"/>
    </row>
    <row r="143" spans="1:43" s="467" customFormat="1" ht="15.75" x14ac:dyDescent="0.2">
      <c r="A143" s="2472"/>
      <c r="B143" s="2473"/>
      <c r="C143" s="2473"/>
      <c r="D143" s="2476"/>
      <c r="E143" s="2477"/>
      <c r="F143" s="2478"/>
      <c r="G143" s="1059">
        <v>84</v>
      </c>
      <c r="H143" s="399" t="s">
        <v>1024</v>
      </c>
      <c r="I143" s="399"/>
      <c r="J143" s="979"/>
      <c r="K143" s="863"/>
      <c r="L143" s="400"/>
      <c r="M143" s="399"/>
      <c r="N143" s="978"/>
      <c r="O143" s="979"/>
      <c r="P143" s="400"/>
      <c r="Q143" s="1060"/>
      <c r="R143" s="1061"/>
      <c r="S143" s="400"/>
      <c r="T143" s="863"/>
      <c r="U143" s="863"/>
      <c r="V143" s="403"/>
      <c r="W143" s="403"/>
      <c r="X143" s="1019"/>
      <c r="Y143" s="403"/>
      <c r="Z143" s="403"/>
      <c r="AA143" s="403"/>
      <c r="AB143" s="403"/>
      <c r="AC143" s="403"/>
      <c r="AD143" s="403"/>
      <c r="AE143" s="403"/>
      <c r="AF143" s="403"/>
      <c r="AG143" s="403"/>
      <c r="AH143" s="403"/>
      <c r="AI143" s="403"/>
      <c r="AJ143" s="403"/>
      <c r="AK143" s="403"/>
      <c r="AL143" s="403"/>
      <c r="AM143" s="403"/>
      <c r="AN143" s="403"/>
      <c r="AO143" s="403"/>
      <c r="AP143" s="403"/>
      <c r="AQ143" s="1020"/>
    </row>
    <row r="144" spans="1:43" ht="46.5" customHeight="1" x14ac:dyDescent="0.25">
      <c r="A144" s="2472"/>
      <c r="B144" s="2473"/>
      <c r="C144" s="2473"/>
      <c r="D144" s="2479"/>
      <c r="E144" s="2480"/>
      <c r="F144" s="2480"/>
      <c r="G144" s="1062"/>
      <c r="H144" s="1063"/>
      <c r="I144" s="1023"/>
      <c r="J144" s="2481">
        <v>247</v>
      </c>
      <c r="K144" s="2468" t="s">
        <v>1025</v>
      </c>
      <c r="L144" s="2468" t="s">
        <v>1026</v>
      </c>
      <c r="M144" s="2482">
        <v>1</v>
      </c>
      <c r="N144" s="2483" t="s">
        <v>1027</v>
      </c>
      <c r="O144" s="2484" t="s">
        <v>1028</v>
      </c>
      <c r="P144" s="2468" t="s">
        <v>1029</v>
      </c>
      <c r="Q144" s="2466">
        <f>(R144)/(R144)</f>
        <v>1</v>
      </c>
      <c r="R144" s="2467">
        <f>SUM(V144:V148)</f>
        <v>50000000</v>
      </c>
      <c r="S144" s="2468" t="s">
        <v>1030</v>
      </c>
      <c r="T144" s="2469" t="s">
        <v>1031</v>
      </c>
      <c r="U144" s="1064" t="s">
        <v>1032</v>
      </c>
      <c r="V144" s="922">
        <v>40700000</v>
      </c>
      <c r="W144" s="2470">
        <v>20</v>
      </c>
      <c r="X144" s="2471" t="s">
        <v>61</v>
      </c>
      <c r="Y144" s="2460">
        <v>357</v>
      </c>
      <c r="Z144" s="2460">
        <v>343</v>
      </c>
      <c r="AA144" s="2460"/>
      <c r="AB144" s="2460"/>
      <c r="AC144" s="2460">
        <v>700</v>
      </c>
      <c r="AD144" s="2460"/>
      <c r="AE144" s="2460"/>
      <c r="AF144" s="2460"/>
      <c r="AG144" s="2460"/>
      <c r="AH144" s="2460"/>
      <c r="AI144" s="2460"/>
      <c r="AJ144" s="2460"/>
      <c r="AK144" s="2460"/>
      <c r="AL144" s="2460"/>
      <c r="AM144" s="2460"/>
      <c r="AN144" s="2460">
        <v>700</v>
      </c>
      <c r="AO144" s="2463">
        <v>43110</v>
      </c>
      <c r="AP144" s="2463">
        <v>43454</v>
      </c>
      <c r="AQ144" s="2457" t="s">
        <v>785</v>
      </c>
    </row>
    <row r="145" spans="1:43" ht="35.25" customHeight="1" x14ac:dyDescent="0.25">
      <c r="A145" s="2472"/>
      <c r="B145" s="2473"/>
      <c r="C145" s="2473"/>
      <c r="D145" s="2479"/>
      <c r="E145" s="2480"/>
      <c r="F145" s="2480"/>
      <c r="G145" s="1065"/>
      <c r="H145" s="1066"/>
      <c r="I145" s="1025"/>
      <c r="J145" s="2481"/>
      <c r="K145" s="2468"/>
      <c r="L145" s="2468"/>
      <c r="M145" s="2482"/>
      <c r="N145" s="2483"/>
      <c r="O145" s="2484"/>
      <c r="P145" s="2468"/>
      <c r="Q145" s="2466"/>
      <c r="R145" s="2467"/>
      <c r="S145" s="2468"/>
      <c r="T145" s="2469"/>
      <c r="U145" s="993" t="s">
        <v>1033</v>
      </c>
      <c r="V145" s="923">
        <v>3300000</v>
      </c>
      <c r="W145" s="2470"/>
      <c r="X145" s="2471"/>
      <c r="Y145" s="2461"/>
      <c r="Z145" s="2461"/>
      <c r="AA145" s="2461"/>
      <c r="AB145" s="2461"/>
      <c r="AC145" s="2461"/>
      <c r="AD145" s="2461"/>
      <c r="AE145" s="2461"/>
      <c r="AF145" s="2461"/>
      <c r="AG145" s="2461"/>
      <c r="AH145" s="2461"/>
      <c r="AI145" s="2461"/>
      <c r="AJ145" s="2461"/>
      <c r="AK145" s="2461"/>
      <c r="AL145" s="2461"/>
      <c r="AM145" s="2461"/>
      <c r="AN145" s="2461"/>
      <c r="AO145" s="2464"/>
      <c r="AP145" s="2464"/>
      <c r="AQ145" s="2458"/>
    </row>
    <row r="146" spans="1:43" ht="75" x14ac:dyDescent="0.25">
      <c r="A146" s="2472"/>
      <c r="B146" s="2473"/>
      <c r="C146" s="2473"/>
      <c r="D146" s="2479"/>
      <c r="E146" s="2480"/>
      <c r="F146" s="2480"/>
      <c r="G146" s="1065"/>
      <c r="H146" s="1066"/>
      <c r="I146" s="1025"/>
      <c r="J146" s="2481"/>
      <c r="K146" s="2468"/>
      <c r="L146" s="2468"/>
      <c r="M146" s="2482"/>
      <c r="N146" s="2483"/>
      <c r="O146" s="2484"/>
      <c r="P146" s="2468"/>
      <c r="Q146" s="2466"/>
      <c r="R146" s="2467"/>
      <c r="S146" s="2468"/>
      <c r="T146" s="2469"/>
      <c r="U146" s="993" t="s">
        <v>1034</v>
      </c>
      <c r="V146" s="923">
        <v>3000000</v>
      </c>
      <c r="W146" s="2470"/>
      <c r="X146" s="2471"/>
      <c r="Y146" s="2461"/>
      <c r="Z146" s="2461"/>
      <c r="AA146" s="2461"/>
      <c r="AB146" s="2461"/>
      <c r="AC146" s="2461"/>
      <c r="AD146" s="2461"/>
      <c r="AE146" s="2461"/>
      <c r="AF146" s="2461"/>
      <c r="AG146" s="2461"/>
      <c r="AH146" s="2461"/>
      <c r="AI146" s="2461"/>
      <c r="AJ146" s="2461"/>
      <c r="AK146" s="2461"/>
      <c r="AL146" s="2461"/>
      <c r="AM146" s="2461"/>
      <c r="AN146" s="2461"/>
      <c r="AO146" s="2464"/>
      <c r="AP146" s="2464"/>
      <c r="AQ146" s="2458"/>
    </row>
    <row r="147" spans="1:43" ht="87" customHeight="1" x14ac:dyDescent="0.25">
      <c r="A147" s="2472"/>
      <c r="B147" s="2473"/>
      <c r="C147" s="2473"/>
      <c r="D147" s="2479"/>
      <c r="E147" s="2480"/>
      <c r="F147" s="2480"/>
      <c r="G147" s="1065"/>
      <c r="H147" s="1066"/>
      <c r="I147" s="1025"/>
      <c r="J147" s="2481"/>
      <c r="K147" s="2468"/>
      <c r="L147" s="2468"/>
      <c r="M147" s="2482"/>
      <c r="N147" s="2483"/>
      <c r="O147" s="2484"/>
      <c r="P147" s="2468"/>
      <c r="Q147" s="2466"/>
      <c r="R147" s="2467"/>
      <c r="S147" s="2468"/>
      <c r="T147" s="2469"/>
      <c r="U147" s="993" t="s">
        <v>1035</v>
      </c>
      <c r="V147" s="923">
        <v>2000000</v>
      </c>
      <c r="W147" s="2470"/>
      <c r="X147" s="2471"/>
      <c r="Y147" s="2461"/>
      <c r="Z147" s="2461"/>
      <c r="AA147" s="2461"/>
      <c r="AB147" s="2461"/>
      <c r="AC147" s="2461"/>
      <c r="AD147" s="2461"/>
      <c r="AE147" s="2461"/>
      <c r="AF147" s="2461"/>
      <c r="AG147" s="2461"/>
      <c r="AH147" s="2461"/>
      <c r="AI147" s="2461"/>
      <c r="AJ147" s="2461"/>
      <c r="AK147" s="2461"/>
      <c r="AL147" s="2461"/>
      <c r="AM147" s="2461"/>
      <c r="AN147" s="2461"/>
      <c r="AO147" s="2464"/>
      <c r="AP147" s="2464"/>
      <c r="AQ147" s="2458"/>
    </row>
    <row r="148" spans="1:43" ht="30.75" thickBot="1" x14ac:dyDescent="0.3">
      <c r="A148" s="2474"/>
      <c r="B148" s="2475"/>
      <c r="C148" s="2475"/>
      <c r="D148" s="2479"/>
      <c r="E148" s="2480"/>
      <c r="F148" s="2480"/>
      <c r="G148" s="1065"/>
      <c r="H148" s="1066"/>
      <c r="I148" s="1025"/>
      <c r="J148" s="2481"/>
      <c r="K148" s="2468"/>
      <c r="L148" s="2468"/>
      <c r="M148" s="2482"/>
      <c r="N148" s="2483"/>
      <c r="O148" s="2484"/>
      <c r="P148" s="2468"/>
      <c r="Q148" s="2466"/>
      <c r="R148" s="2467"/>
      <c r="S148" s="2468"/>
      <c r="T148" s="2469"/>
      <c r="U148" s="1067" t="s">
        <v>1036</v>
      </c>
      <c r="V148" s="924">
        <v>1000000</v>
      </c>
      <c r="W148" s="2470"/>
      <c r="X148" s="2471"/>
      <c r="Y148" s="2462"/>
      <c r="Z148" s="2462"/>
      <c r="AA148" s="2462"/>
      <c r="AB148" s="2462"/>
      <c r="AC148" s="2462"/>
      <c r="AD148" s="2462"/>
      <c r="AE148" s="2462"/>
      <c r="AF148" s="2462"/>
      <c r="AG148" s="2462"/>
      <c r="AH148" s="2462"/>
      <c r="AI148" s="2462"/>
      <c r="AJ148" s="2462"/>
      <c r="AK148" s="2462"/>
      <c r="AL148" s="2462"/>
      <c r="AM148" s="2462"/>
      <c r="AN148" s="2462"/>
      <c r="AO148" s="2465"/>
      <c r="AP148" s="2465"/>
      <c r="AQ148" s="2459"/>
    </row>
    <row r="149" spans="1:43" ht="27" customHeight="1" thickBot="1" x14ac:dyDescent="0.25">
      <c r="A149" s="660"/>
      <c r="B149" s="661"/>
      <c r="C149" s="661"/>
      <c r="D149" s="661"/>
      <c r="E149" s="661"/>
      <c r="F149" s="661"/>
      <c r="G149" s="661"/>
      <c r="H149" s="661"/>
      <c r="I149" s="661"/>
      <c r="J149" s="661"/>
      <c r="K149" s="455"/>
      <c r="L149" s="453"/>
      <c r="M149" s="452"/>
      <c r="N149" s="453"/>
      <c r="O149" s="662"/>
      <c r="P149" s="455"/>
      <c r="Q149" s="1068"/>
      <c r="R149" s="1069">
        <f>R144+R135+R130+R129+R124+R116+R113+R111+R104+R102+R97+R94+R91+R82+R80+R76+R72+R70+R66+R64+R58+R55+R47+R44+R40+R35+R34+R31+R18+R15+R14+R12</f>
        <v>9254396454.3800011</v>
      </c>
      <c r="S149" s="1070"/>
      <c r="T149" s="455"/>
      <c r="U149" s="466"/>
      <c r="V149" s="664">
        <f>SUM(V12:V148)</f>
        <v>9254396454.3800011</v>
      </c>
      <c r="W149" s="462"/>
      <c r="X149" s="1071"/>
      <c r="Y149" s="661"/>
      <c r="Z149" s="661"/>
      <c r="AA149" s="661"/>
      <c r="AB149" s="661"/>
      <c r="AC149" s="661"/>
      <c r="AD149" s="661"/>
      <c r="AE149" s="661"/>
      <c r="AF149" s="661"/>
      <c r="AG149" s="661"/>
      <c r="AH149" s="661"/>
      <c r="AI149" s="661"/>
      <c r="AJ149" s="661"/>
      <c r="AK149" s="661"/>
      <c r="AL149" s="661"/>
      <c r="AM149" s="661"/>
      <c r="AN149" s="661"/>
      <c r="AO149" s="666"/>
      <c r="AP149" s="667"/>
      <c r="AQ149" s="668"/>
    </row>
    <row r="152" spans="1:43" ht="27" customHeight="1" x14ac:dyDescent="0.25">
      <c r="E152" s="568" t="s">
        <v>1037</v>
      </c>
    </row>
    <row r="153" spans="1:43" ht="27" customHeight="1" x14ac:dyDescent="0.25">
      <c r="E153" s="568" t="s">
        <v>785</v>
      </c>
    </row>
  </sheetData>
  <sheetProtection password="CBEB" sheet="1" objects="1" scenarios="1"/>
  <mergeCells count="468">
    <mergeCell ref="A10:A140"/>
    <mergeCell ref="B10:C140"/>
    <mergeCell ref="D11:F44"/>
    <mergeCell ref="J12:J13"/>
    <mergeCell ref="A1:AO4"/>
    <mergeCell ref="A5:M6"/>
    <mergeCell ref="N5:AQ5"/>
    <mergeCell ref="Y6:AM6"/>
    <mergeCell ref="A7:A8"/>
    <mergeCell ref="B7:C8"/>
    <mergeCell ref="D7:D8"/>
    <mergeCell ref="E7:F8"/>
    <mergeCell ref="G7:G8"/>
    <mergeCell ref="H7:I8"/>
    <mergeCell ref="AQ7:AQ8"/>
    <mergeCell ref="AA7:AD7"/>
    <mergeCell ref="AE7:AJ7"/>
    <mergeCell ref="AK7:AM7"/>
    <mergeCell ref="AN7:AN8"/>
    <mergeCell ref="AO7:AO8"/>
    <mergeCell ref="AP7:AP8"/>
    <mergeCell ref="O7:O8"/>
    <mergeCell ref="V7:V8"/>
    <mergeCell ref="X7:X8"/>
    <mergeCell ref="J15:J17"/>
    <mergeCell ref="K15:K17"/>
    <mergeCell ref="L15:L17"/>
    <mergeCell ref="M15:M17"/>
    <mergeCell ref="Q15:Q17"/>
    <mergeCell ref="K12:K13"/>
    <mergeCell ref="L12:L13"/>
    <mergeCell ref="Y7:Z7"/>
    <mergeCell ref="P7:P8"/>
    <mergeCell ref="Q7:Q8"/>
    <mergeCell ref="R7:R8"/>
    <mergeCell ref="S7:S8"/>
    <mergeCell ref="T7:T8"/>
    <mergeCell ref="U7:U8"/>
    <mergeCell ref="J7:J8"/>
    <mergeCell ref="K7:K8"/>
    <mergeCell ref="L7:L8"/>
    <mergeCell ref="M7:M8"/>
    <mergeCell ref="N7:N8"/>
    <mergeCell ref="AL12:AL32"/>
    <mergeCell ref="AM12:AM32"/>
    <mergeCell ref="AN12:AN32"/>
    <mergeCell ref="AO12:AO32"/>
    <mergeCell ref="AP12:AP32"/>
    <mergeCell ref="AQ12:AQ32"/>
    <mergeCell ref="AF12:AF32"/>
    <mergeCell ref="AG12:AG32"/>
    <mergeCell ref="AH12:AH32"/>
    <mergeCell ref="AI12:AI32"/>
    <mergeCell ref="AJ12:AJ32"/>
    <mergeCell ref="AK12:AK32"/>
    <mergeCell ref="AA12:AA32"/>
    <mergeCell ref="AB12:AB32"/>
    <mergeCell ref="AC12:AC32"/>
    <mergeCell ref="AD12:AD32"/>
    <mergeCell ref="AE12:AE32"/>
    <mergeCell ref="S12:S32"/>
    <mergeCell ref="T12:T32"/>
    <mergeCell ref="U12:U13"/>
    <mergeCell ref="W12:W32"/>
    <mergeCell ref="X12:X32"/>
    <mergeCell ref="Z12:Z32"/>
    <mergeCell ref="Y12:Y32"/>
    <mergeCell ref="K40:K43"/>
    <mergeCell ref="L40:L43"/>
    <mergeCell ref="M40:M43"/>
    <mergeCell ref="Q40:Q43"/>
    <mergeCell ref="R40:R43"/>
    <mergeCell ref="J18:J30"/>
    <mergeCell ref="K18:K30"/>
    <mergeCell ref="L18:L30"/>
    <mergeCell ref="M18:M30"/>
    <mergeCell ref="Q18:Q30"/>
    <mergeCell ref="R18:R30"/>
    <mergeCell ref="P12:P32"/>
    <mergeCell ref="M12:M13"/>
    <mergeCell ref="N12:N17"/>
    <mergeCell ref="O12:O32"/>
    <mergeCell ref="R15:R17"/>
    <mergeCell ref="Q12:Q13"/>
    <mergeCell ref="R12:R13"/>
    <mergeCell ref="J31:J32"/>
    <mergeCell ref="K31:K32"/>
    <mergeCell ref="L31:L32"/>
    <mergeCell ref="M31:M32"/>
    <mergeCell ref="Q31:Q32"/>
    <mergeCell ref="R31:R32"/>
    <mergeCell ref="AA34:AA44"/>
    <mergeCell ref="AB34:AB44"/>
    <mergeCell ref="AC34:AC44"/>
    <mergeCell ref="AD34:AD44"/>
    <mergeCell ref="O34:O44"/>
    <mergeCell ref="P34:P44"/>
    <mergeCell ref="S34:S44"/>
    <mergeCell ref="T34:T44"/>
    <mergeCell ref="W34:W44"/>
    <mergeCell ref="X34:X44"/>
    <mergeCell ref="V40:V41"/>
    <mergeCell ref="V42:V43"/>
    <mergeCell ref="U40:U41"/>
    <mergeCell ref="U42:U43"/>
    <mergeCell ref="AQ34:AQ44"/>
    <mergeCell ref="J35:J39"/>
    <mergeCell ref="K35:K39"/>
    <mergeCell ref="L35:L39"/>
    <mergeCell ref="M35:M39"/>
    <mergeCell ref="Q35:Q39"/>
    <mergeCell ref="R35:R39"/>
    <mergeCell ref="U35:U36"/>
    <mergeCell ref="V35:V36"/>
    <mergeCell ref="J40:J43"/>
    <mergeCell ref="AK34:AK44"/>
    <mergeCell ref="AL34:AL44"/>
    <mergeCell ref="AM34:AM44"/>
    <mergeCell ref="AN34:AN44"/>
    <mergeCell ref="AO34:AO44"/>
    <mergeCell ref="AP34:AP44"/>
    <mergeCell ref="AE34:AE44"/>
    <mergeCell ref="AF34:AF44"/>
    <mergeCell ref="AG34:AG44"/>
    <mergeCell ref="AH34:AH44"/>
    <mergeCell ref="AI34:AI44"/>
    <mergeCell ref="AJ34:AJ44"/>
    <mergeCell ref="Y34:Y44"/>
    <mergeCell ref="Z34:Z44"/>
    <mergeCell ref="D46:F88"/>
    <mergeCell ref="J47:J54"/>
    <mergeCell ref="K47:K54"/>
    <mergeCell ref="L47:L54"/>
    <mergeCell ref="M47:M54"/>
    <mergeCell ref="N47:N68"/>
    <mergeCell ref="K58:K63"/>
    <mergeCell ref="L58:L63"/>
    <mergeCell ref="M58:M63"/>
    <mergeCell ref="J64:J65"/>
    <mergeCell ref="J70:J71"/>
    <mergeCell ref="K70:K71"/>
    <mergeCell ref="L70:L71"/>
    <mergeCell ref="M70:M71"/>
    <mergeCell ref="N70:N78"/>
    <mergeCell ref="J66:J68"/>
    <mergeCell ref="K66:K68"/>
    <mergeCell ref="L66:L68"/>
    <mergeCell ref="M66:M68"/>
    <mergeCell ref="AQ47:AQ68"/>
    <mergeCell ref="J55:J57"/>
    <mergeCell ref="K55:K57"/>
    <mergeCell ref="L55:L57"/>
    <mergeCell ref="M55:M57"/>
    <mergeCell ref="Q55:Q57"/>
    <mergeCell ref="R55:R57"/>
    <mergeCell ref="J58:J63"/>
    <mergeCell ref="AI47:AI68"/>
    <mergeCell ref="AJ47:AJ68"/>
    <mergeCell ref="AK47:AK68"/>
    <mergeCell ref="AL47:AL68"/>
    <mergeCell ref="AM47:AM68"/>
    <mergeCell ref="AN47:AN68"/>
    <mergeCell ref="AC47:AC68"/>
    <mergeCell ref="AD47:AD68"/>
    <mergeCell ref="AE47:AE68"/>
    <mergeCell ref="AF47:AF68"/>
    <mergeCell ref="AG47:AG68"/>
    <mergeCell ref="AH47:AH68"/>
    <mergeCell ref="W47:W68"/>
    <mergeCell ref="X47:X68"/>
    <mergeCell ref="Y47:Y68"/>
    <mergeCell ref="Z47:Z68"/>
    <mergeCell ref="AO47:AO68"/>
    <mergeCell ref="AP47:AP68"/>
    <mergeCell ref="AA47:AA68"/>
    <mergeCell ref="AB47:AB68"/>
    <mergeCell ref="O47:O68"/>
    <mergeCell ref="P47:P68"/>
    <mergeCell ref="Q47:Q54"/>
    <mergeCell ref="R47:R54"/>
    <mergeCell ref="S47:S68"/>
    <mergeCell ref="T47:T68"/>
    <mergeCell ref="Q58:Q63"/>
    <mergeCell ref="R58:R63"/>
    <mergeCell ref="R66:R68"/>
    <mergeCell ref="O70:O78"/>
    <mergeCell ref="L76:L78"/>
    <mergeCell ref="M76:M78"/>
    <mergeCell ref="K64:K65"/>
    <mergeCell ref="L64:L65"/>
    <mergeCell ref="M64:M65"/>
    <mergeCell ref="Z70:Z78"/>
    <mergeCell ref="AA70:AA78"/>
    <mergeCell ref="AB70:AB78"/>
    <mergeCell ref="Q64:Q65"/>
    <mergeCell ref="R64:R65"/>
    <mergeCell ref="Q66:Q68"/>
    <mergeCell ref="AC70:AC78"/>
    <mergeCell ref="P70:P78"/>
    <mergeCell ref="Q70:Q71"/>
    <mergeCell ref="R70:R71"/>
    <mergeCell ref="S70:S78"/>
    <mergeCell ref="T70:T78"/>
    <mergeCell ref="W70:W78"/>
    <mergeCell ref="Q76:Q78"/>
    <mergeCell ref="R76:R78"/>
    <mergeCell ref="AP70:AP78"/>
    <mergeCell ref="AQ70:AQ78"/>
    <mergeCell ref="J72:J75"/>
    <mergeCell ref="K72:K75"/>
    <mergeCell ref="L72:L75"/>
    <mergeCell ref="M72:M75"/>
    <mergeCell ref="Q72:Q75"/>
    <mergeCell ref="R72:R75"/>
    <mergeCell ref="J76:J78"/>
    <mergeCell ref="K76:K78"/>
    <mergeCell ref="AJ70:AJ78"/>
    <mergeCell ref="AK70:AK78"/>
    <mergeCell ref="AL70:AL78"/>
    <mergeCell ref="AM70:AM78"/>
    <mergeCell ref="AN70:AN78"/>
    <mergeCell ref="AO70:AO78"/>
    <mergeCell ref="AD70:AD78"/>
    <mergeCell ref="AE70:AE78"/>
    <mergeCell ref="AF70:AF78"/>
    <mergeCell ref="AG70:AG78"/>
    <mergeCell ref="AH70:AH78"/>
    <mergeCell ref="AI70:AI78"/>
    <mergeCell ref="X70:X78"/>
    <mergeCell ref="Y70:Y78"/>
    <mergeCell ref="AB80:AB88"/>
    <mergeCell ref="AC80:AC88"/>
    <mergeCell ref="P80:P88"/>
    <mergeCell ref="Q80:Q81"/>
    <mergeCell ref="R80:R81"/>
    <mergeCell ref="S80:S88"/>
    <mergeCell ref="T80:T88"/>
    <mergeCell ref="W80:W88"/>
    <mergeCell ref="J80:J81"/>
    <mergeCell ref="K80:K81"/>
    <mergeCell ref="L80:L81"/>
    <mergeCell ref="M80:M81"/>
    <mergeCell ref="N80:N88"/>
    <mergeCell ref="O80:O88"/>
    <mergeCell ref="AP80:AP88"/>
    <mergeCell ref="AQ80:AQ88"/>
    <mergeCell ref="J82:J88"/>
    <mergeCell ref="K82:K88"/>
    <mergeCell ref="L82:L88"/>
    <mergeCell ref="M82:M88"/>
    <mergeCell ref="Q82:Q88"/>
    <mergeCell ref="R82:R88"/>
    <mergeCell ref="AJ80:AJ88"/>
    <mergeCell ref="AK80:AK88"/>
    <mergeCell ref="AL80:AL88"/>
    <mergeCell ref="AM80:AM88"/>
    <mergeCell ref="AN80:AN88"/>
    <mergeCell ref="AO80:AO88"/>
    <mergeCell ref="AD80:AD88"/>
    <mergeCell ref="AE80:AE88"/>
    <mergeCell ref="AF80:AF88"/>
    <mergeCell ref="AG80:AG88"/>
    <mergeCell ref="AH80:AH88"/>
    <mergeCell ref="AI80:AI88"/>
    <mergeCell ref="X80:X88"/>
    <mergeCell ref="Y80:Y88"/>
    <mergeCell ref="Z80:Z88"/>
    <mergeCell ref="AA80:AA88"/>
    <mergeCell ref="D90:F113"/>
    <mergeCell ref="J91:J93"/>
    <mergeCell ref="K91:K93"/>
    <mergeCell ref="L91:L93"/>
    <mergeCell ref="M91:M93"/>
    <mergeCell ref="N91:N109"/>
    <mergeCell ref="K97:K101"/>
    <mergeCell ref="L97:L101"/>
    <mergeCell ref="M97:M101"/>
    <mergeCell ref="J102:J103"/>
    <mergeCell ref="J111:J112"/>
    <mergeCell ref="K111:K112"/>
    <mergeCell ref="L111:L112"/>
    <mergeCell ref="M111:M112"/>
    <mergeCell ref="N111:N113"/>
    <mergeCell ref="J104:J109"/>
    <mergeCell ref="K104:K109"/>
    <mergeCell ref="L104:L109"/>
    <mergeCell ref="M104:M109"/>
    <mergeCell ref="AQ91:AQ109"/>
    <mergeCell ref="J94:J96"/>
    <mergeCell ref="K94:K96"/>
    <mergeCell ref="L94:L96"/>
    <mergeCell ref="M94:M96"/>
    <mergeCell ref="Q94:Q96"/>
    <mergeCell ref="R94:R96"/>
    <mergeCell ref="J97:J101"/>
    <mergeCell ref="AI91:AI109"/>
    <mergeCell ref="AJ91:AJ109"/>
    <mergeCell ref="AK91:AK109"/>
    <mergeCell ref="AL91:AL109"/>
    <mergeCell ref="AM91:AM109"/>
    <mergeCell ref="AN91:AN109"/>
    <mergeCell ref="AC91:AC109"/>
    <mergeCell ref="AD91:AD109"/>
    <mergeCell ref="AE91:AE109"/>
    <mergeCell ref="AF91:AF109"/>
    <mergeCell ref="AG91:AG109"/>
    <mergeCell ref="AH91:AH109"/>
    <mergeCell ref="W91:W109"/>
    <mergeCell ref="X91:X109"/>
    <mergeCell ref="Y91:Y109"/>
    <mergeCell ref="Z91:Z109"/>
    <mergeCell ref="AO91:AO109"/>
    <mergeCell ref="AP91:AP109"/>
    <mergeCell ref="AA91:AA109"/>
    <mergeCell ref="AB91:AB109"/>
    <mergeCell ref="O91:O109"/>
    <mergeCell ref="P91:P109"/>
    <mergeCell ref="Q91:Q93"/>
    <mergeCell ref="R91:R93"/>
    <mergeCell ref="S91:S109"/>
    <mergeCell ref="T91:T109"/>
    <mergeCell ref="Q97:Q101"/>
    <mergeCell ref="R97:R101"/>
    <mergeCell ref="R104:R109"/>
    <mergeCell ref="O111:O113"/>
    <mergeCell ref="K102:K103"/>
    <mergeCell ref="L102:L103"/>
    <mergeCell ref="M102:M103"/>
    <mergeCell ref="Z111:Z113"/>
    <mergeCell ref="AA111:AA113"/>
    <mergeCell ref="AB111:AB113"/>
    <mergeCell ref="AC111:AC113"/>
    <mergeCell ref="P111:P113"/>
    <mergeCell ref="Q111:Q112"/>
    <mergeCell ref="R111:R112"/>
    <mergeCell ref="S111:S113"/>
    <mergeCell ref="T111:T113"/>
    <mergeCell ref="W111:W113"/>
    <mergeCell ref="Q102:Q103"/>
    <mergeCell ref="R102:R103"/>
    <mergeCell ref="Q104:Q109"/>
    <mergeCell ref="AP111:AP113"/>
    <mergeCell ref="AQ111:AQ113"/>
    <mergeCell ref="D115:F140"/>
    <mergeCell ref="J116:J123"/>
    <mergeCell ref="K116:K123"/>
    <mergeCell ref="L116:L123"/>
    <mergeCell ref="M116:M123"/>
    <mergeCell ref="N116:N133"/>
    <mergeCell ref="O116:O133"/>
    <mergeCell ref="P116:P133"/>
    <mergeCell ref="AJ111:AJ113"/>
    <mergeCell ref="AK111:AK113"/>
    <mergeCell ref="AL111:AL113"/>
    <mergeCell ref="AM111:AM113"/>
    <mergeCell ref="AN111:AN113"/>
    <mergeCell ref="AO111:AO113"/>
    <mergeCell ref="AD111:AD113"/>
    <mergeCell ref="AE111:AE113"/>
    <mergeCell ref="AF111:AF113"/>
    <mergeCell ref="AG111:AG113"/>
    <mergeCell ref="AH111:AH113"/>
    <mergeCell ref="AI111:AI113"/>
    <mergeCell ref="X111:X113"/>
    <mergeCell ref="Y111:Y113"/>
    <mergeCell ref="AA116:AA133"/>
    <mergeCell ref="AB116:AB133"/>
    <mergeCell ref="AC116:AC133"/>
    <mergeCell ref="AD116:AD133"/>
    <mergeCell ref="Q116:Q123"/>
    <mergeCell ref="R116:R123"/>
    <mergeCell ref="S116:S133"/>
    <mergeCell ref="T116:T133"/>
    <mergeCell ref="W116:W133"/>
    <mergeCell ref="X116:X133"/>
    <mergeCell ref="AQ116:AQ133"/>
    <mergeCell ref="J124:J128"/>
    <mergeCell ref="K124:K128"/>
    <mergeCell ref="L124:L128"/>
    <mergeCell ref="M124:M128"/>
    <mergeCell ref="Q124:Q128"/>
    <mergeCell ref="R124:R128"/>
    <mergeCell ref="J130:J133"/>
    <mergeCell ref="K130:K133"/>
    <mergeCell ref="L130:L133"/>
    <mergeCell ref="AK116:AK133"/>
    <mergeCell ref="AL116:AL133"/>
    <mergeCell ref="AM116:AM133"/>
    <mergeCell ref="AN116:AN133"/>
    <mergeCell ref="AO116:AO133"/>
    <mergeCell ref="AP116:AP133"/>
    <mergeCell ref="AE116:AE133"/>
    <mergeCell ref="AF116:AF133"/>
    <mergeCell ref="AG116:AG133"/>
    <mergeCell ref="AH116:AH133"/>
    <mergeCell ref="AI116:AI133"/>
    <mergeCell ref="AJ116:AJ133"/>
    <mergeCell ref="Y116:Y133"/>
    <mergeCell ref="Z116:Z133"/>
    <mergeCell ref="M130:M133"/>
    <mergeCell ref="Q130:Q133"/>
    <mergeCell ref="R130:R133"/>
    <mergeCell ref="J135:J140"/>
    <mergeCell ref="K135:K140"/>
    <mergeCell ref="L135:L140"/>
    <mergeCell ref="M135:M140"/>
    <mergeCell ref="N135:N140"/>
    <mergeCell ref="O135:O140"/>
    <mergeCell ref="P135:P140"/>
    <mergeCell ref="AA135:AA140"/>
    <mergeCell ref="AB135:AB140"/>
    <mergeCell ref="AC135:AC140"/>
    <mergeCell ref="AD135:AD140"/>
    <mergeCell ref="Q135:Q140"/>
    <mergeCell ref="R135:R140"/>
    <mergeCell ref="S135:S140"/>
    <mergeCell ref="T135:T140"/>
    <mergeCell ref="W135:W140"/>
    <mergeCell ref="X135:X140"/>
    <mergeCell ref="AQ135:AQ140"/>
    <mergeCell ref="A142:C148"/>
    <mergeCell ref="D143:F148"/>
    <mergeCell ref="J144:J148"/>
    <mergeCell ref="K144:K148"/>
    <mergeCell ref="L144:L148"/>
    <mergeCell ref="M144:M148"/>
    <mergeCell ref="N144:N148"/>
    <mergeCell ref="O144:O148"/>
    <mergeCell ref="P144:P148"/>
    <mergeCell ref="AK135:AK140"/>
    <mergeCell ref="AL135:AL140"/>
    <mergeCell ref="AM135:AM140"/>
    <mergeCell ref="AN135:AN140"/>
    <mergeCell ref="AO135:AO140"/>
    <mergeCell ref="AP135:AP140"/>
    <mergeCell ref="AE135:AE140"/>
    <mergeCell ref="AF135:AF140"/>
    <mergeCell ref="AG135:AG140"/>
    <mergeCell ref="AH135:AH140"/>
    <mergeCell ref="AI135:AI140"/>
    <mergeCell ref="AJ135:AJ140"/>
    <mergeCell ref="Y135:Y140"/>
    <mergeCell ref="Z135:Z140"/>
    <mergeCell ref="Y144:Y148"/>
    <mergeCell ref="Z144:Z148"/>
    <mergeCell ref="AA144:AA148"/>
    <mergeCell ref="AB144:AB148"/>
    <mergeCell ref="AC144:AC148"/>
    <mergeCell ref="AD144:AD148"/>
    <mergeCell ref="Q144:Q148"/>
    <mergeCell ref="R144:R148"/>
    <mergeCell ref="S144:S148"/>
    <mergeCell ref="T144:T148"/>
    <mergeCell ref="W144:W148"/>
    <mergeCell ref="X144:X148"/>
    <mergeCell ref="AQ144:AQ148"/>
    <mergeCell ref="AK144:AK148"/>
    <mergeCell ref="AL144:AL148"/>
    <mergeCell ref="AM144:AM148"/>
    <mergeCell ref="AN144:AN148"/>
    <mergeCell ref="AO144:AO148"/>
    <mergeCell ref="AP144:AP148"/>
    <mergeCell ref="AE144:AE148"/>
    <mergeCell ref="AF144:AF148"/>
    <mergeCell ref="AG144:AG148"/>
    <mergeCell ref="AH144:AH148"/>
    <mergeCell ref="AI144:AI148"/>
    <mergeCell ref="AJ144:AJ148"/>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sheetPr>
  <dimension ref="A1:BG64"/>
  <sheetViews>
    <sheetView showGridLines="0" topLeftCell="P8" zoomScale="70" zoomScaleNormal="70" workbookViewId="0">
      <selection sqref="A1:AR4"/>
    </sheetView>
  </sheetViews>
  <sheetFormatPr baseColWidth="10" defaultRowHeight="15" x14ac:dyDescent="0.2"/>
  <cols>
    <col min="1" max="1" width="12.42578125" style="485" customWidth="1"/>
    <col min="2" max="3" width="11.42578125" style="485"/>
    <col min="4" max="4" width="15.42578125" style="485" customWidth="1"/>
    <col min="5" max="6" width="11.42578125" style="485"/>
    <col min="7" max="7" width="15.85546875" style="485" customWidth="1"/>
    <col min="8" max="8" width="11.42578125" style="485"/>
    <col min="9" max="9" width="14.5703125" style="485" customWidth="1"/>
    <col min="10" max="10" width="15.85546875" style="485" customWidth="1"/>
    <col min="11" max="11" width="28.7109375" style="489" customWidth="1"/>
    <col min="12" max="12" width="24.7109375" style="489" customWidth="1"/>
    <col min="13" max="13" width="14.42578125" style="485" customWidth="1"/>
    <col min="14" max="14" width="35" style="485" customWidth="1"/>
    <col min="15" max="15" width="24.5703125" style="485" customWidth="1"/>
    <col min="16" max="16" width="26.140625" style="489" customWidth="1"/>
    <col min="17" max="17" width="25.140625" style="485" customWidth="1"/>
    <col min="18" max="18" width="30" style="909" customWidth="1"/>
    <col min="19" max="19" width="26.85546875" style="489" customWidth="1"/>
    <col min="20" max="20" width="25.85546875" style="489" customWidth="1"/>
    <col min="21" max="21" width="30.140625" style="489" customWidth="1"/>
    <col min="22" max="22" width="28.140625" style="910" customWidth="1"/>
    <col min="23" max="23" width="15.42578125" style="485" customWidth="1"/>
    <col min="24" max="24" width="19.85546875" style="911" customWidth="1"/>
    <col min="25" max="25" width="10.140625" style="485" customWidth="1"/>
    <col min="26" max="26" width="11.140625" style="485" customWidth="1"/>
    <col min="27" max="27" width="8.7109375" style="485" customWidth="1"/>
    <col min="28" max="28" width="9.28515625" style="485" customWidth="1"/>
    <col min="29" max="29" width="11.28515625" style="485" customWidth="1"/>
    <col min="30" max="30" width="10.5703125" style="485" customWidth="1"/>
    <col min="31" max="31" width="9.85546875" style="485" customWidth="1"/>
    <col min="32" max="32" width="8.5703125" style="485" customWidth="1"/>
    <col min="33" max="39" width="9" style="485" customWidth="1"/>
    <col min="40" max="40" width="12" style="485" customWidth="1"/>
    <col min="41" max="41" width="23" style="489" customWidth="1"/>
    <col min="42" max="42" width="26.85546875" style="489" customWidth="1"/>
    <col min="43" max="44" width="23.85546875" style="900" customWidth="1"/>
    <col min="45" max="45" width="23.28515625" style="485" customWidth="1"/>
    <col min="46" max="16384" width="11.42578125" style="485"/>
  </cols>
  <sheetData>
    <row r="1" spans="1:45" ht="15" customHeight="1" x14ac:dyDescent="0.2">
      <c r="A1" s="2153" t="s">
        <v>673</v>
      </c>
      <c r="B1" s="2701"/>
      <c r="C1" s="2701"/>
      <c r="D1" s="2701"/>
      <c r="E1" s="2701"/>
      <c r="F1" s="2701"/>
      <c r="G1" s="2701"/>
      <c r="H1" s="2701"/>
      <c r="I1" s="2701"/>
      <c r="J1" s="2701"/>
      <c r="K1" s="2701"/>
      <c r="L1" s="2701"/>
      <c r="M1" s="2701"/>
      <c r="N1" s="2701"/>
      <c r="O1" s="2701"/>
      <c r="P1" s="2701"/>
      <c r="Q1" s="2701"/>
      <c r="R1" s="2701"/>
      <c r="S1" s="2701"/>
      <c r="T1" s="2701"/>
      <c r="U1" s="2701"/>
      <c r="V1" s="2701"/>
      <c r="W1" s="2701"/>
      <c r="X1" s="2701"/>
      <c r="Y1" s="2701"/>
      <c r="Z1" s="2701"/>
      <c r="AA1" s="2701"/>
      <c r="AB1" s="2701"/>
      <c r="AC1" s="2701"/>
      <c r="AD1" s="2701"/>
      <c r="AE1" s="2701"/>
      <c r="AF1" s="2701"/>
      <c r="AG1" s="2701"/>
      <c r="AH1" s="2701"/>
      <c r="AI1" s="2701"/>
      <c r="AJ1" s="2701"/>
      <c r="AK1" s="2701"/>
      <c r="AL1" s="2701"/>
      <c r="AM1" s="2701"/>
      <c r="AN1" s="2701"/>
      <c r="AO1" s="2701"/>
      <c r="AP1" s="2701"/>
      <c r="AQ1" s="2701"/>
      <c r="AR1" s="2702"/>
      <c r="AS1" s="789" t="s">
        <v>674</v>
      </c>
    </row>
    <row r="2" spans="1:45" x14ac:dyDescent="0.2">
      <c r="A2" s="2703"/>
      <c r="B2" s="2123"/>
      <c r="C2" s="2123"/>
      <c r="D2" s="2123"/>
      <c r="E2" s="2123"/>
      <c r="F2" s="2123"/>
      <c r="G2" s="2123"/>
      <c r="H2" s="2123"/>
      <c r="I2" s="2123"/>
      <c r="J2" s="2123"/>
      <c r="K2" s="2123"/>
      <c r="L2" s="2123"/>
      <c r="M2" s="2123"/>
      <c r="N2" s="2123"/>
      <c r="O2" s="2123"/>
      <c r="P2" s="2123"/>
      <c r="Q2" s="2123"/>
      <c r="R2" s="2123"/>
      <c r="S2" s="2123"/>
      <c r="T2" s="2123"/>
      <c r="U2" s="2123"/>
      <c r="V2" s="2123"/>
      <c r="W2" s="2123"/>
      <c r="X2" s="2123"/>
      <c r="Y2" s="2123"/>
      <c r="Z2" s="2123"/>
      <c r="AA2" s="2123"/>
      <c r="AB2" s="2123"/>
      <c r="AC2" s="2123"/>
      <c r="AD2" s="2123"/>
      <c r="AE2" s="2123"/>
      <c r="AF2" s="2123"/>
      <c r="AG2" s="2123"/>
      <c r="AH2" s="2123"/>
      <c r="AI2" s="2123"/>
      <c r="AJ2" s="2123"/>
      <c r="AK2" s="2123"/>
      <c r="AL2" s="2123"/>
      <c r="AM2" s="2123"/>
      <c r="AN2" s="2123"/>
      <c r="AO2" s="2123"/>
      <c r="AP2" s="2123"/>
      <c r="AQ2" s="2123"/>
      <c r="AR2" s="2704"/>
      <c r="AS2" s="790">
        <v>6</v>
      </c>
    </row>
    <row r="3" spans="1:45" x14ac:dyDescent="0.2">
      <c r="A3" s="2703"/>
      <c r="B3" s="2123"/>
      <c r="C3" s="2123"/>
      <c r="D3" s="2123"/>
      <c r="E3" s="2123"/>
      <c r="F3" s="2123"/>
      <c r="G3" s="2123"/>
      <c r="H3" s="2123"/>
      <c r="I3" s="2123"/>
      <c r="J3" s="2123"/>
      <c r="K3" s="2123"/>
      <c r="L3" s="2123"/>
      <c r="M3" s="2123"/>
      <c r="N3" s="2123"/>
      <c r="O3" s="2123"/>
      <c r="P3" s="2123"/>
      <c r="Q3" s="2123"/>
      <c r="R3" s="2123"/>
      <c r="S3" s="2123"/>
      <c r="T3" s="2123"/>
      <c r="U3" s="2123"/>
      <c r="V3" s="2123"/>
      <c r="W3" s="2123"/>
      <c r="X3" s="2123"/>
      <c r="Y3" s="2123"/>
      <c r="Z3" s="2123"/>
      <c r="AA3" s="2123"/>
      <c r="AB3" s="2123"/>
      <c r="AC3" s="2123"/>
      <c r="AD3" s="2123"/>
      <c r="AE3" s="2123"/>
      <c r="AF3" s="2123"/>
      <c r="AG3" s="2123"/>
      <c r="AH3" s="2123"/>
      <c r="AI3" s="2123"/>
      <c r="AJ3" s="2123"/>
      <c r="AK3" s="2123"/>
      <c r="AL3" s="2123"/>
      <c r="AM3" s="2123"/>
      <c r="AN3" s="2123"/>
      <c r="AO3" s="2123"/>
      <c r="AP3" s="2123"/>
      <c r="AQ3" s="2123"/>
      <c r="AR3" s="2704"/>
      <c r="AS3" s="791" t="s">
        <v>5</v>
      </c>
    </row>
    <row r="4" spans="1:45" s="490" customFormat="1" ht="21" customHeight="1" x14ac:dyDescent="0.2">
      <c r="A4" s="2705"/>
      <c r="B4" s="2706"/>
      <c r="C4" s="2706"/>
      <c r="D4" s="2706"/>
      <c r="E4" s="2706"/>
      <c r="F4" s="2706"/>
      <c r="G4" s="2706"/>
      <c r="H4" s="2706"/>
      <c r="I4" s="2706"/>
      <c r="J4" s="2706"/>
      <c r="K4" s="2706"/>
      <c r="L4" s="2706"/>
      <c r="M4" s="2706"/>
      <c r="N4" s="2706"/>
      <c r="O4" s="2706"/>
      <c r="P4" s="2706"/>
      <c r="Q4" s="2706"/>
      <c r="R4" s="2706"/>
      <c r="S4" s="2706"/>
      <c r="T4" s="2706"/>
      <c r="U4" s="2706"/>
      <c r="V4" s="2706"/>
      <c r="W4" s="2706"/>
      <c r="X4" s="2706"/>
      <c r="Y4" s="2706"/>
      <c r="Z4" s="2706"/>
      <c r="AA4" s="2706"/>
      <c r="AB4" s="2706"/>
      <c r="AC4" s="2706"/>
      <c r="AD4" s="2706"/>
      <c r="AE4" s="2706"/>
      <c r="AF4" s="2706"/>
      <c r="AG4" s="2706"/>
      <c r="AH4" s="2706"/>
      <c r="AI4" s="2706"/>
      <c r="AJ4" s="2706"/>
      <c r="AK4" s="2706"/>
      <c r="AL4" s="2706"/>
      <c r="AM4" s="2706"/>
      <c r="AN4" s="2706"/>
      <c r="AO4" s="2706"/>
      <c r="AP4" s="2706"/>
      <c r="AQ4" s="2706"/>
      <c r="AR4" s="2707"/>
      <c r="AS4" s="792" t="s">
        <v>342</v>
      </c>
    </row>
    <row r="5" spans="1:45" ht="15.75" x14ac:dyDescent="0.2">
      <c r="A5" s="2708" t="s">
        <v>8</v>
      </c>
      <c r="B5" s="2130"/>
      <c r="C5" s="2130"/>
      <c r="D5" s="2130"/>
      <c r="E5" s="2130"/>
      <c r="F5" s="2130"/>
      <c r="G5" s="2130"/>
      <c r="H5" s="2130"/>
      <c r="I5" s="2130"/>
      <c r="J5" s="2130"/>
      <c r="K5" s="2130"/>
      <c r="L5" s="2130"/>
      <c r="M5" s="2130"/>
      <c r="N5" s="718"/>
      <c r="O5" s="718"/>
      <c r="P5" s="2130" t="s">
        <v>9</v>
      </c>
      <c r="Q5" s="2130"/>
      <c r="R5" s="2130"/>
      <c r="S5" s="2130"/>
      <c r="T5" s="2130"/>
      <c r="U5" s="2130"/>
      <c r="V5" s="2130"/>
      <c r="W5" s="2130"/>
      <c r="X5" s="2130"/>
      <c r="Y5" s="2130"/>
      <c r="Z5" s="2130"/>
      <c r="AA5" s="2130"/>
      <c r="AB5" s="2130"/>
      <c r="AC5" s="2130"/>
      <c r="AD5" s="2130"/>
      <c r="AE5" s="2130"/>
      <c r="AF5" s="2130"/>
      <c r="AG5" s="2130"/>
      <c r="AH5" s="2130"/>
      <c r="AI5" s="2130"/>
      <c r="AJ5" s="2130"/>
      <c r="AK5" s="2130"/>
      <c r="AL5" s="2130"/>
      <c r="AM5" s="2130"/>
      <c r="AN5" s="2130"/>
      <c r="AO5" s="2130"/>
      <c r="AP5" s="2130"/>
      <c r="AQ5" s="2130"/>
      <c r="AR5" s="2130"/>
      <c r="AS5" s="2162"/>
    </row>
    <row r="6" spans="1:45" ht="14.45" customHeight="1" thickBot="1" x14ac:dyDescent="0.25">
      <c r="A6" s="2708"/>
      <c r="B6" s="2130"/>
      <c r="C6" s="2130"/>
      <c r="D6" s="2130"/>
      <c r="E6" s="2130"/>
      <c r="F6" s="2130"/>
      <c r="G6" s="2130"/>
      <c r="H6" s="2130"/>
      <c r="I6" s="2130"/>
      <c r="J6" s="2130"/>
      <c r="K6" s="2130"/>
      <c r="L6" s="2130"/>
      <c r="M6" s="2130"/>
      <c r="N6" s="718"/>
      <c r="O6" s="721"/>
      <c r="P6" s="2163"/>
      <c r="Q6" s="2164"/>
      <c r="R6" s="2164"/>
      <c r="S6" s="2164"/>
      <c r="T6" s="2164"/>
      <c r="U6" s="2164"/>
      <c r="V6" s="2164"/>
      <c r="W6" s="2164"/>
      <c r="X6" s="2709"/>
      <c r="Y6" s="722"/>
      <c r="Z6" s="722"/>
      <c r="AA6" s="722"/>
      <c r="AB6" s="722"/>
      <c r="AC6" s="722"/>
      <c r="AD6" s="722"/>
      <c r="AE6" s="722"/>
      <c r="AF6" s="722"/>
      <c r="AG6" s="722"/>
      <c r="AH6" s="722"/>
      <c r="AI6" s="722"/>
      <c r="AJ6" s="722"/>
      <c r="AK6" s="722"/>
      <c r="AL6" s="722"/>
      <c r="AM6" s="722"/>
      <c r="AN6" s="722"/>
      <c r="AO6" s="793"/>
      <c r="AP6" s="793"/>
      <c r="AQ6" s="2163"/>
      <c r="AR6" s="2164"/>
      <c r="AS6" s="2710"/>
    </row>
    <row r="7" spans="1:45" s="723" customFormat="1" ht="28.5" customHeight="1" x14ac:dyDescent="0.25">
      <c r="A7" s="2256" t="s">
        <v>11</v>
      </c>
      <c r="B7" s="2136" t="s">
        <v>12</v>
      </c>
      <c r="C7" s="2711"/>
      <c r="D7" s="2692" t="s">
        <v>11</v>
      </c>
      <c r="E7" s="2692" t="s">
        <v>13</v>
      </c>
      <c r="F7" s="2692"/>
      <c r="G7" s="2692" t="s">
        <v>11</v>
      </c>
      <c r="H7" s="2692" t="s">
        <v>14</v>
      </c>
      <c r="I7" s="2692"/>
      <c r="J7" s="2692" t="s">
        <v>11</v>
      </c>
      <c r="K7" s="2692" t="s">
        <v>15</v>
      </c>
      <c r="L7" s="2692" t="s">
        <v>16</v>
      </c>
      <c r="M7" s="2692" t="s">
        <v>17</v>
      </c>
      <c r="N7" s="2692" t="s">
        <v>18</v>
      </c>
      <c r="O7" s="2692" t="s">
        <v>19</v>
      </c>
      <c r="P7" s="2692" t="s">
        <v>9</v>
      </c>
      <c r="Q7" s="2713" t="s">
        <v>20</v>
      </c>
      <c r="R7" s="2714" t="s">
        <v>21</v>
      </c>
      <c r="S7" s="2692" t="s">
        <v>22</v>
      </c>
      <c r="T7" s="2692" t="s">
        <v>23</v>
      </c>
      <c r="U7" s="2692" t="s">
        <v>24</v>
      </c>
      <c r="V7" s="2695" t="s">
        <v>21</v>
      </c>
      <c r="W7" s="2698" t="s">
        <v>11</v>
      </c>
      <c r="X7" s="2692" t="s">
        <v>25</v>
      </c>
      <c r="Y7" s="2699" t="s">
        <v>26</v>
      </c>
      <c r="Z7" s="2700"/>
      <c r="AA7" s="2688" t="s">
        <v>27</v>
      </c>
      <c r="AB7" s="2689"/>
      <c r="AC7" s="2689"/>
      <c r="AD7" s="2689"/>
      <c r="AE7" s="2177" t="s">
        <v>28</v>
      </c>
      <c r="AF7" s="2178"/>
      <c r="AG7" s="2178"/>
      <c r="AH7" s="2178"/>
      <c r="AI7" s="2178"/>
      <c r="AJ7" s="2178"/>
      <c r="AK7" s="2688" t="s">
        <v>29</v>
      </c>
      <c r="AL7" s="2689"/>
      <c r="AM7" s="2689"/>
      <c r="AN7" s="2715" t="s">
        <v>30</v>
      </c>
      <c r="AO7" s="2717"/>
      <c r="AP7" s="2718"/>
      <c r="AQ7" s="2690" t="s">
        <v>31</v>
      </c>
      <c r="AR7" s="2690" t="s">
        <v>32</v>
      </c>
      <c r="AS7" s="2684" t="s">
        <v>33</v>
      </c>
    </row>
    <row r="8" spans="1:45" s="723" customFormat="1" ht="82.5" customHeight="1" x14ac:dyDescent="0.25">
      <c r="A8" s="2257"/>
      <c r="B8" s="2138"/>
      <c r="C8" s="2712"/>
      <c r="D8" s="2692"/>
      <c r="E8" s="2692"/>
      <c r="F8" s="2692"/>
      <c r="G8" s="2692"/>
      <c r="H8" s="2692"/>
      <c r="I8" s="2692"/>
      <c r="J8" s="2692"/>
      <c r="K8" s="2692"/>
      <c r="L8" s="2692"/>
      <c r="M8" s="2692"/>
      <c r="N8" s="2692"/>
      <c r="O8" s="2692"/>
      <c r="P8" s="2692"/>
      <c r="Q8" s="2713"/>
      <c r="R8" s="2714"/>
      <c r="S8" s="2692"/>
      <c r="T8" s="2692"/>
      <c r="U8" s="2692"/>
      <c r="V8" s="2696"/>
      <c r="W8" s="2698"/>
      <c r="X8" s="2692"/>
      <c r="Y8" s="794" t="s">
        <v>34</v>
      </c>
      <c r="Z8" s="795" t="s">
        <v>675</v>
      </c>
      <c r="AA8" s="796" t="s">
        <v>36</v>
      </c>
      <c r="AB8" s="796" t="s">
        <v>37</v>
      </c>
      <c r="AC8" s="796" t="s">
        <v>257</v>
      </c>
      <c r="AD8" s="796" t="s">
        <v>39</v>
      </c>
      <c r="AE8" s="797" t="s">
        <v>40</v>
      </c>
      <c r="AF8" s="798" t="s">
        <v>41</v>
      </c>
      <c r="AG8" s="797" t="s">
        <v>42</v>
      </c>
      <c r="AH8" s="798" t="s">
        <v>43</v>
      </c>
      <c r="AI8" s="797" t="s">
        <v>676</v>
      </c>
      <c r="AJ8" s="797" t="s">
        <v>45</v>
      </c>
      <c r="AK8" s="796" t="s">
        <v>46</v>
      </c>
      <c r="AL8" s="796" t="s">
        <v>47</v>
      </c>
      <c r="AM8" s="796" t="s">
        <v>677</v>
      </c>
      <c r="AN8" s="2716"/>
      <c r="AO8" s="2685" t="s">
        <v>678</v>
      </c>
      <c r="AP8" s="2686" t="s">
        <v>679</v>
      </c>
      <c r="AQ8" s="2691"/>
      <c r="AR8" s="2691"/>
      <c r="AS8" s="2684"/>
    </row>
    <row r="9" spans="1:45" s="723" customFormat="1" ht="41.25" customHeight="1" x14ac:dyDescent="0.25">
      <c r="A9" s="2257"/>
      <c r="B9" s="2138"/>
      <c r="C9" s="2712"/>
      <c r="D9" s="2692"/>
      <c r="E9" s="2692"/>
      <c r="F9" s="2692"/>
      <c r="G9" s="2692"/>
      <c r="H9" s="2692"/>
      <c r="I9" s="2692"/>
      <c r="J9" s="2692"/>
      <c r="K9" s="2692"/>
      <c r="L9" s="2692"/>
      <c r="M9" s="2692"/>
      <c r="N9" s="2692"/>
      <c r="O9" s="2692"/>
      <c r="P9" s="2692"/>
      <c r="Q9" s="2713"/>
      <c r="R9" s="2714"/>
      <c r="S9" s="2692"/>
      <c r="T9" s="2692"/>
      <c r="U9" s="2692"/>
      <c r="V9" s="2696"/>
      <c r="W9" s="2698"/>
      <c r="X9" s="2692"/>
      <c r="Y9" s="2683" t="s">
        <v>680</v>
      </c>
      <c r="Z9" s="2683" t="s">
        <v>680</v>
      </c>
      <c r="AA9" s="2683" t="s">
        <v>680</v>
      </c>
      <c r="AB9" s="2683" t="s">
        <v>680</v>
      </c>
      <c r="AC9" s="2683" t="s">
        <v>680</v>
      </c>
      <c r="AD9" s="2683" t="s">
        <v>680</v>
      </c>
      <c r="AE9" s="2683" t="s">
        <v>680</v>
      </c>
      <c r="AF9" s="2683" t="s">
        <v>680</v>
      </c>
      <c r="AG9" s="2683" t="s">
        <v>680</v>
      </c>
      <c r="AH9" s="2683" t="s">
        <v>680</v>
      </c>
      <c r="AI9" s="2683" t="s">
        <v>680</v>
      </c>
      <c r="AJ9" s="2683" t="s">
        <v>680</v>
      </c>
      <c r="AK9" s="2683" t="s">
        <v>680</v>
      </c>
      <c r="AL9" s="2683" t="s">
        <v>680</v>
      </c>
      <c r="AM9" s="2683" t="s">
        <v>680</v>
      </c>
      <c r="AN9" s="2683" t="s">
        <v>680</v>
      </c>
      <c r="AO9" s="2685"/>
      <c r="AP9" s="2687"/>
      <c r="AQ9" s="799" t="s">
        <v>345</v>
      </c>
      <c r="AR9" s="799" t="s">
        <v>345</v>
      </c>
      <c r="AS9" s="2684"/>
    </row>
    <row r="10" spans="1:45" s="723" customFormat="1" ht="1.5" hidden="1" customHeight="1" x14ac:dyDescent="0.25">
      <c r="A10" s="2257"/>
      <c r="B10" s="2138"/>
      <c r="C10" s="2712"/>
      <c r="D10" s="2692"/>
      <c r="E10" s="2692"/>
      <c r="F10" s="2692"/>
      <c r="G10" s="2692"/>
      <c r="H10" s="2692"/>
      <c r="I10" s="2692"/>
      <c r="J10" s="2692"/>
      <c r="K10" s="2692"/>
      <c r="L10" s="2692"/>
      <c r="M10" s="2692"/>
      <c r="N10" s="2692"/>
      <c r="O10" s="2692"/>
      <c r="P10" s="2692"/>
      <c r="Q10" s="2713"/>
      <c r="R10" s="2714"/>
      <c r="S10" s="2692"/>
      <c r="T10" s="2692"/>
      <c r="U10" s="2692"/>
      <c r="V10" s="2696"/>
      <c r="W10" s="2698"/>
      <c r="X10" s="2692"/>
      <c r="Y10" s="2683"/>
      <c r="Z10" s="2683"/>
      <c r="AA10" s="2683"/>
      <c r="AB10" s="2683"/>
      <c r="AC10" s="2683"/>
      <c r="AD10" s="2683"/>
      <c r="AE10" s="2683"/>
      <c r="AF10" s="2683"/>
      <c r="AG10" s="2683"/>
      <c r="AH10" s="2683"/>
      <c r="AI10" s="2683"/>
      <c r="AJ10" s="2683"/>
      <c r="AK10" s="2683"/>
      <c r="AL10" s="2683"/>
      <c r="AM10" s="2683"/>
      <c r="AN10" s="2683"/>
      <c r="AO10" s="800"/>
      <c r="AP10" s="800"/>
      <c r="AQ10" s="801"/>
      <c r="AR10" s="801"/>
      <c r="AS10" s="2684"/>
    </row>
    <row r="11" spans="1:45" s="723" customFormat="1" ht="11.25" hidden="1" customHeight="1" x14ac:dyDescent="0.25">
      <c r="A11" s="2257"/>
      <c r="B11" s="2138"/>
      <c r="C11" s="2712"/>
      <c r="D11" s="2692"/>
      <c r="E11" s="2692"/>
      <c r="F11" s="2692"/>
      <c r="G11" s="2692"/>
      <c r="H11" s="2692"/>
      <c r="I11" s="2692"/>
      <c r="J11" s="2692"/>
      <c r="K11" s="2692"/>
      <c r="L11" s="2692"/>
      <c r="M11" s="2692"/>
      <c r="N11" s="2692"/>
      <c r="O11" s="2692"/>
      <c r="P11" s="2692"/>
      <c r="Q11" s="2713"/>
      <c r="R11" s="2714"/>
      <c r="S11" s="2692"/>
      <c r="T11" s="2692"/>
      <c r="U11" s="2692"/>
      <c r="V11" s="2696"/>
      <c r="W11" s="2698"/>
      <c r="X11" s="2692"/>
      <c r="Y11" s="2683"/>
      <c r="Z11" s="2683"/>
      <c r="AA11" s="2683"/>
      <c r="AB11" s="2683"/>
      <c r="AC11" s="2683"/>
      <c r="AD11" s="2683"/>
      <c r="AE11" s="2683"/>
      <c r="AF11" s="2683"/>
      <c r="AG11" s="2683"/>
      <c r="AH11" s="2683"/>
      <c r="AI11" s="2683"/>
      <c r="AJ11" s="2683"/>
      <c r="AK11" s="2683"/>
      <c r="AL11" s="2683"/>
      <c r="AM11" s="2683"/>
      <c r="AN11" s="2683"/>
      <c r="AO11" s="800"/>
      <c r="AP11" s="800"/>
      <c r="AQ11" s="801"/>
      <c r="AR11" s="801"/>
      <c r="AS11" s="2684"/>
    </row>
    <row r="12" spans="1:45" s="723" customFormat="1" ht="11.25" hidden="1" customHeight="1" x14ac:dyDescent="0.25">
      <c r="A12" s="2257"/>
      <c r="B12" s="2138"/>
      <c r="C12" s="2712"/>
      <c r="D12" s="2692"/>
      <c r="E12" s="2692"/>
      <c r="F12" s="2692"/>
      <c r="G12" s="2692"/>
      <c r="H12" s="2692"/>
      <c r="I12" s="2692"/>
      <c r="J12" s="2692"/>
      <c r="K12" s="2692"/>
      <c r="L12" s="2692"/>
      <c r="M12" s="2692"/>
      <c r="N12" s="2692"/>
      <c r="O12" s="2692"/>
      <c r="P12" s="2692"/>
      <c r="Q12" s="2713"/>
      <c r="R12" s="2714"/>
      <c r="S12" s="2692"/>
      <c r="T12" s="2692"/>
      <c r="U12" s="2692"/>
      <c r="V12" s="2696"/>
      <c r="W12" s="2698"/>
      <c r="X12" s="2692"/>
      <c r="Y12" s="2683"/>
      <c r="Z12" s="2683"/>
      <c r="AA12" s="2683"/>
      <c r="AB12" s="2683"/>
      <c r="AC12" s="2683"/>
      <c r="AD12" s="2683"/>
      <c r="AE12" s="2683"/>
      <c r="AF12" s="2683"/>
      <c r="AG12" s="2683"/>
      <c r="AH12" s="2683"/>
      <c r="AI12" s="2683"/>
      <c r="AJ12" s="2683"/>
      <c r="AK12" s="2683"/>
      <c r="AL12" s="2683"/>
      <c r="AM12" s="2683"/>
      <c r="AN12" s="2683"/>
      <c r="AO12" s="800"/>
      <c r="AP12" s="800"/>
      <c r="AQ12" s="801"/>
      <c r="AR12" s="801"/>
      <c r="AS12" s="2684"/>
    </row>
    <row r="13" spans="1:45" s="723" customFormat="1" ht="7.5" customHeight="1" x14ac:dyDescent="0.25">
      <c r="A13" s="2257"/>
      <c r="B13" s="2138"/>
      <c r="C13" s="2712"/>
      <c r="D13" s="2692"/>
      <c r="E13" s="2692"/>
      <c r="F13" s="2692"/>
      <c r="G13" s="2692"/>
      <c r="H13" s="2692"/>
      <c r="I13" s="2692"/>
      <c r="J13" s="2692"/>
      <c r="K13" s="2692"/>
      <c r="L13" s="2692"/>
      <c r="M13" s="2692"/>
      <c r="N13" s="2692"/>
      <c r="O13" s="2692"/>
      <c r="P13" s="2692"/>
      <c r="Q13" s="2713"/>
      <c r="R13" s="2714"/>
      <c r="S13" s="2692"/>
      <c r="T13" s="2692"/>
      <c r="U13" s="2692"/>
      <c r="V13" s="2696"/>
      <c r="W13" s="2698"/>
      <c r="X13" s="2692"/>
      <c r="Y13" s="2683"/>
      <c r="Z13" s="2683"/>
      <c r="AA13" s="2683"/>
      <c r="AB13" s="2683"/>
      <c r="AC13" s="2683"/>
      <c r="AD13" s="2683"/>
      <c r="AE13" s="2683"/>
      <c r="AF13" s="2683"/>
      <c r="AG13" s="2683"/>
      <c r="AH13" s="2683"/>
      <c r="AI13" s="2683"/>
      <c r="AJ13" s="2683"/>
      <c r="AK13" s="2683"/>
      <c r="AL13" s="2683"/>
      <c r="AM13" s="2683"/>
      <c r="AN13" s="2683"/>
      <c r="AO13" s="800"/>
      <c r="AP13" s="800"/>
      <c r="AQ13" s="801"/>
      <c r="AR13" s="801"/>
      <c r="AS13" s="2684"/>
    </row>
    <row r="14" spans="1:45" s="803" customFormat="1" ht="18" customHeight="1" x14ac:dyDescent="0.25">
      <c r="A14" s="2257"/>
      <c r="B14" s="2138"/>
      <c r="C14" s="2712"/>
      <c r="D14" s="2692"/>
      <c r="E14" s="2692"/>
      <c r="F14" s="2692"/>
      <c r="G14" s="2692"/>
      <c r="H14" s="2692"/>
      <c r="I14" s="2692"/>
      <c r="J14" s="2692"/>
      <c r="K14" s="2692"/>
      <c r="L14" s="2692"/>
      <c r="M14" s="802" t="s">
        <v>345</v>
      </c>
      <c r="N14" s="2692"/>
      <c r="O14" s="2692"/>
      <c r="P14" s="2692"/>
      <c r="Q14" s="2713"/>
      <c r="R14" s="2714"/>
      <c r="S14" s="2692"/>
      <c r="T14" s="2692"/>
      <c r="U14" s="2692"/>
      <c r="V14" s="2697"/>
      <c r="W14" s="2698"/>
      <c r="X14" s="2692"/>
      <c r="Y14" s="715"/>
      <c r="Z14" s="716"/>
      <c r="AA14" s="655"/>
      <c r="AB14" s="655"/>
      <c r="AC14" s="655"/>
      <c r="AD14" s="655"/>
      <c r="AE14" s="655"/>
      <c r="AF14" s="655"/>
      <c r="AG14" s="655"/>
      <c r="AH14" s="655"/>
      <c r="AI14" s="655"/>
      <c r="AJ14" s="655"/>
      <c r="AK14" s="655"/>
      <c r="AL14" s="655"/>
      <c r="AM14" s="655"/>
      <c r="AN14" s="655"/>
      <c r="AO14" s="800"/>
      <c r="AP14" s="800"/>
      <c r="AQ14" s="801"/>
      <c r="AR14" s="801"/>
      <c r="AS14" s="2684"/>
    </row>
    <row r="15" spans="1:45" s="803" customFormat="1" ht="13.5" customHeight="1" x14ac:dyDescent="0.25">
      <c r="A15" s="730"/>
      <c r="B15" s="719"/>
      <c r="C15" s="804"/>
      <c r="D15" s="2692"/>
      <c r="E15" s="2692"/>
      <c r="F15" s="2692"/>
      <c r="G15" s="2692"/>
      <c r="H15" s="2692"/>
      <c r="I15" s="2692"/>
      <c r="J15" s="2692"/>
      <c r="K15" s="2692"/>
      <c r="L15" s="2692"/>
      <c r="M15" s="805"/>
      <c r="N15" s="802"/>
      <c r="O15" s="802"/>
      <c r="P15" s="806"/>
      <c r="Q15" s="807"/>
      <c r="R15" s="808"/>
      <c r="S15" s="2692"/>
      <c r="T15" s="2692"/>
      <c r="U15" s="2692"/>
      <c r="V15" s="809"/>
      <c r="W15" s="810"/>
      <c r="X15" s="804"/>
      <c r="Y15" s="811"/>
      <c r="Z15" s="812"/>
      <c r="AA15" s="811"/>
      <c r="AB15" s="811"/>
      <c r="AC15" s="811"/>
      <c r="AD15" s="811"/>
      <c r="AE15" s="811"/>
      <c r="AF15" s="811"/>
      <c r="AG15" s="811"/>
      <c r="AH15" s="811"/>
      <c r="AI15" s="811"/>
      <c r="AJ15" s="811"/>
      <c r="AK15" s="811"/>
      <c r="AL15" s="811"/>
      <c r="AM15" s="811"/>
      <c r="AN15" s="811"/>
      <c r="AO15" s="800"/>
      <c r="AP15" s="800"/>
      <c r="AQ15" s="801"/>
      <c r="AR15" s="801"/>
      <c r="AS15" s="2684"/>
    </row>
    <row r="16" spans="1:45" s="822" customFormat="1" ht="15" customHeight="1" x14ac:dyDescent="0.25">
      <c r="A16" s="813">
        <v>3</v>
      </c>
      <c r="B16" s="814" t="s">
        <v>681</v>
      </c>
      <c r="C16" s="815"/>
      <c r="D16" s="816"/>
      <c r="E16" s="815"/>
      <c r="F16" s="815"/>
      <c r="G16" s="815"/>
      <c r="H16" s="815"/>
      <c r="I16" s="815"/>
      <c r="J16" s="815"/>
      <c r="K16" s="817"/>
      <c r="L16" s="817"/>
      <c r="M16" s="815"/>
      <c r="N16" s="815"/>
      <c r="O16" s="815"/>
      <c r="P16" s="817"/>
      <c r="Q16" s="815"/>
      <c r="R16" s="818"/>
      <c r="S16" s="817"/>
      <c r="T16" s="817"/>
      <c r="U16" s="817"/>
      <c r="V16" s="819"/>
      <c r="W16" s="820"/>
      <c r="X16" s="821"/>
      <c r="Y16" s="815"/>
      <c r="Z16" s="815"/>
      <c r="AA16" s="815"/>
      <c r="AB16" s="815"/>
      <c r="AC16" s="815"/>
      <c r="AD16" s="815"/>
      <c r="AE16" s="815"/>
      <c r="AF16" s="815"/>
      <c r="AG16" s="815"/>
      <c r="AH16" s="815"/>
      <c r="AI16" s="815"/>
      <c r="AJ16" s="815"/>
      <c r="AK16" s="815"/>
      <c r="AL16" s="815"/>
      <c r="AM16" s="815"/>
      <c r="AN16" s="815"/>
      <c r="AO16" s="2693"/>
      <c r="AP16" s="2693"/>
      <c r="AQ16" s="2693"/>
      <c r="AR16" s="2693"/>
      <c r="AS16" s="2694"/>
    </row>
    <row r="17" spans="1:45" s="822" customFormat="1" ht="15" customHeight="1" x14ac:dyDescent="0.25">
      <c r="A17" s="823"/>
      <c r="B17" s="708"/>
      <c r="C17" s="824"/>
      <c r="D17" s="825">
        <v>9</v>
      </c>
      <c r="E17" s="2653" t="s">
        <v>682</v>
      </c>
      <c r="F17" s="2654"/>
      <c r="G17" s="2654"/>
      <c r="H17" s="2654"/>
      <c r="I17" s="2654"/>
      <c r="J17" s="2654"/>
      <c r="K17" s="2654"/>
      <c r="L17" s="826"/>
      <c r="M17" s="827"/>
      <c r="N17" s="827"/>
      <c r="O17" s="827"/>
      <c r="P17" s="826"/>
      <c r="Q17" s="827"/>
      <c r="R17" s="828"/>
      <c r="S17" s="826"/>
      <c r="T17" s="826"/>
      <c r="U17" s="826"/>
      <c r="V17" s="829"/>
      <c r="W17" s="830"/>
      <c r="X17" s="831"/>
      <c r="Y17" s="827"/>
      <c r="Z17" s="827"/>
      <c r="AA17" s="827"/>
      <c r="AB17" s="827"/>
      <c r="AC17" s="827"/>
      <c r="AD17" s="827"/>
      <c r="AE17" s="827"/>
      <c r="AF17" s="827"/>
      <c r="AG17" s="827"/>
      <c r="AH17" s="827"/>
      <c r="AI17" s="827"/>
      <c r="AJ17" s="827"/>
      <c r="AK17" s="827"/>
      <c r="AL17" s="827"/>
      <c r="AM17" s="827"/>
      <c r="AN17" s="827"/>
      <c r="AO17" s="2681"/>
      <c r="AP17" s="2681"/>
      <c r="AQ17" s="2681"/>
      <c r="AR17" s="2681"/>
      <c r="AS17" s="2682"/>
    </row>
    <row r="18" spans="1:45" s="611" customFormat="1" ht="15" customHeight="1" x14ac:dyDescent="0.2">
      <c r="A18" s="832"/>
      <c r="B18" s="712"/>
      <c r="C18" s="713"/>
      <c r="D18" s="726"/>
      <c r="E18" s="484"/>
      <c r="F18" s="833"/>
      <c r="G18" s="515">
        <v>29</v>
      </c>
      <c r="H18" s="2641" t="s">
        <v>683</v>
      </c>
      <c r="I18" s="2642"/>
      <c r="J18" s="2642"/>
      <c r="K18" s="2642"/>
      <c r="L18" s="834"/>
      <c r="M18" s="835"/>
      <c r="N18" s="835"/>
      <c r="O18" s="835"/>
      <c r="P18" s="834"/>
      <c r="Q18" s="835"/>
      <c r="R18" s="836"/>
      <c r="S18" s="834"/>
      <c r="T18" s="834"/>
      <c r="U18" s="834"/>
      <c r="V18" s="837"/>
      <c r="W18" s="838"/>
      <c r="X18" s="839"/>
      <c r="Y18" s="835"/>
      <c r="Z18" s="835"/>
      <c r="AA18" s="835"/>
      <c r="AB18" s="835"/>
      <c r="AC18" s="835"/>
      <c r="AD18" s="835"/>
      <c r="AE18" s="835"/>
      <c r="AF18" s="835"/>
      <c r="AG18" s="835"/>
      <c r="AH18" s="835"/>
      <c r="AI18" s="835"/>
      <c r="AJ18" s="835"/>
      <c r="AK18" s="835"/>
      <c r="AL18" s="835"/>
      <c r="AM18" s="835"/>
      <c r="AN18" s="835"/>
      <c r="AO18" s="2677"/>
      <c r="AP18" s="2677"/>
      <c r="AQ18" s="2677"/>
      <c r="AR18" s="2677"/>
      <c r="AS18" s="2678"/>
    </row>
    <row r="19" spans="1:45" s="843" customFormat="1" ht="80.25" customHeight="1" x14ac:dyDescent="0.2">
      <c r="A19" s="840"/>
      <c r="B19" s="841"/>
      <c r="C19" s="842"/>
      <c r="D19" s="443"/>
      <c r="E19" s="841"/>
      <c r="F19" s="842"/>
      <c r="G19" s="2628"/>
      <c r="H19" s="2643"/>
      <c r="I19" s="2644"/>
      <c r="J19" s="2618">
        <v>114</v>
      </c>
      <c r="K19" s="2057" t="s">
        <v>684</v>
      </c>
      <c r="L19" s="2057" t="s">
        <v>685</v>
      </c>
      <c r="M19" s="2620">
        <v>30</v>
      </c>
      <c r="N19" s="2628" t="s">
        <v>686</v>
      </c>
      <c r="O19" s="2628" t="s">
        <v>687</v>
      </c>
      <c r="P19" s="2057" t="s">
        <v>688</v>
      </c>
      <c r="Q19" s="2668">
        <f>+V19/R19</f>
        <v>1</v>
      </c>
      <c r="R19" s="2675">
        <v>1060557735</v>
      </c>
      <c r="S19" s="2057" t="s">
        <v>689</v>
      </c>
      <c r="T19" s="2057" t="s">
        <v>690</v>
      </c>
      <c r="U19" s="2057" t="s">
        <v>691</v>
      </c>
      <c r="V19" s="2659">
        <f>678800+169021200+890857735</f>
        <v>1060557735</v>
      </c>
      <c r="W19" s="2679"/>
      <c r="X19" s="2628"/>
      <c r="Y19" s="2626">
        <v>26</v>
      </c>
      <c r="Z19" s="2626">
        <v>26</v>
      </c>
      <c r="AA19" s="2628"/>
      <c r="AB19" s="2628"/>
      <c r="AC19" s="2626">
        <v>52</v>
      </c>
      <c r="AD19" s="2626"/>
      <c r="AE19" s="2626"/>
      <c r="AF19" s="2626"/>
      <c r="AG19" s="2626"/>
      <c r="AH19" s="2626"/>
      <c r="AI19" s="2626"/>
      <c r="AJ19" s="2626"/>
      <c r="AK19" s="2626"/>
      <c r="AL19" s="2626"/>
      <c r="AM19" s="2626"/>
      <c r="AN19" s="2626">
        <f>+Y19+Z19</f>
        <v>52</v>
      </c>
      <c r="AO19" s="2057"/>
      <c r="AP19" s="2057"/>
      <c r="AQ19" s="2631">
        <v>43101</v>
      </c>
      <c r="AR19" s="2631">
        <v>43465</v>
      </c>
      <c r="AS19" s="2616" t="s">
        <v>692</v>
      </c>
    </row>
    <row r="20" spans="1:45" s="843" customFormat="1" ht="86.25" customHeight="1" x14ac:dyDescent="0.2">
      <c r="A20" s="840"/>
      <c r="B20" s="841"/>
      <c r="C20" s="842"/>
      <c r="D20" s="443"/>
      <c r="E20" s="841"/>
      <c r="F20" s="842"/>
      <c r="G20" s="2629"/>
      <c r="H20" s="2645"/>
      <c r="I20" s="2646"/>
      <c r="J20" s="2657"/>
      <c r="K20" s="2648"/>
      <c r="L20" s="2648"/>
      <c r="M20" s="2650"/>
      <c r="N20" s="2639"/>
      <c r="O20" s="2639"/>
      <c r="P20" s="2648"/>
      <c r="Q20" s="2670"/>
      <c r="R20" s="2676"/>
      <c r="S20" s="2648"/>
      <c r="T20" s="2648"/>
      <c r="U20" s="2648"/>
      <c r="V20" s="2660"/>
      <c r="W20" s="2680"/>
      <c r="X20" s="2639"/>
      <c r="Y20" s="2647"/>
      <c r="Z20" s="2647"/>
      <c r="AA20" s="2639"/>
      <c r="AB20" s="2639"/>
      <c r="AC20" s="2647"/>
      <c r="AD20" s="2647"/>
      <c r="AE20" s="2647"/>
      <c r="AF20" s="2647"/>
      <c r="AG20" s="2647"/>
      <c r="AH20" s="2647"/>
      <c r="AI20" s="2647"/>
      <c r="AJ20" s="2647"/>
      <c r="AK20" s="2647"/>
      <c r="AL20" s="2647"/>
      <c r="AM20" s="2647"/>
      <c r="AN20" s="2647"/>
      <c r="AO20" s="2648"/>
      <c r="AP20" s="2648"/>
      <c r="AQ20" s="2638"/>
      <c r="AR20" s="2638"/>
      <c r="AS20" s="2674"/>
    </row>
    <row r="21" spans="1:45" s="843" customFormat="1" ht="39" customHeight="1" x14ac:dyDescent="0.2">
      <c r="A21" s="840"/>
      <c r="B21" s="841"/>
      <c r="C21" s="842"/>
      <c r="D21" s="443"/>
      <c r="E21" s="841"/>
      <c r="F21" s="842"/>
      <c r="G21" s="2629"/>
      <c r="H21" s="2645"/>
      <c r="I21" s="2646"/>
      <c r="J21" s="2618">
        <v>114</v>
      </c>
      <c r="K21" s="2057" t="s">
        <v>693</v>
      </c>
      <c r="L21" s="2057" t="s">
        <v>694</v>
      </c>
      <c r="M21" s="2620">
        <v>30</v>
      </c>
      <c r="N21" s="2628" t="s">
        <v>695</v>
      </c>
      <c r="O21" s="2628" t="s">
        <v>696</v>
      </c>
      <c r="P21" s="2057" t="s">
        <v>697</v>
      </c>
      <c r="Q21" s="2665">
        <f>(V21+V23+V24)/R21</f>
        <v>0.45551998929828352</v>
      </c>
      <c r="R21" s="2626">
        <f>V21+V23+V24+V25+V27+V28+V29+V31+V32</f>
        <v>3183175347</v>
      </c>
      <c r="S21" s="2057" t="s">
        <v>698</v>
      </c>
      <c r="T21" s="2624" t="s">
        <v>699</v>
      </c>
      <c r="U21" s="2057" t="s">
        <v>700</v>
      </c>
      <c r="V21" s="2659">
        <v>323600000</v>
      </c>
      <c r="W21" s="844"/>
      <c r="X21" s="726"/>
      <c r="Y21" s="2671">
        <v>85275</v>
      </c>
      <c r="Z21" s="2671">
        <v>85275</v>
      </c>
      <c r="AA21" s="2626">
        <v>25580</v>
      </c>
      <c r="AB21" s="2671">
        <v>42638</v>
      </c>
      <c r="AC21" s="2671">
        <v>68221</v>
      </c>
      <c r="AD21" s="2671">
        <v>17055</v>
      </c>
      <c r="AE21" s="2671">
        <v>8528</v>
      </c>
      <c r="AF21" s="2671">
        <v>8527.5</v>
      </c>
      <c r="AG21" s="2626"/>
      <c r="AH21" s="2626"/>
      <c r="AI21" s="2626"/>
      <c r="AJ21" s="2626"/>
      <c r="AK21" s="2626"/>
      <c r="AL21" s="2661"/>
      <c r="AM21" s="2626"/>
      <c r="AN21" s="2671">
        <f>Y21+Z21</f>
        <v>170550</v>
      </c>
      <c r="AO21" s="705"/>
      <c r="AP21" s="2057" t="s">
        <v>701</v>
      </c>
      <c r="AQ21" s="2631">
        <v>43101</v>
      </c>
      <c r="AR21" s="2631">
        <v>43465</v>
      </c>
      <c r="AS21" s="2616" t="s">
        <v>692</v>
      </c>
    </row>
    <row r="22" spans="1:45" s="843" customFormat="1" ht="21.75" customHeight="1" x14ac:dyDescent="0.2">
      <c r="A22" s="840"/>
      <c r="B22" s="841"/>
      <c r="C22" s="842"/>
      <c r="D22" s="443"/>
      <c r="E22" s="841"/>
      <c r="F22" s="842"/>
      <c r="G22" s="2629"/>
      <c r="H22" s="2645"/>
      <c r="I22" s="2646"/>
      <c r="J22" s="2619"/>
      <c r="K22" s="2630"/>
      <c r="L22" s="2630"/>
      <c r="M22" s="2621"/>
      <c r="N22" s="2629"/>
      <c r="O22" s="2629"/>
      <c r="P22" s="2630"/>
      <c r="Q22" s="2666"/>
      <c r="R22" s="2627"/>
      <c r="S22" s="2630"/>
      <c r="T22" s="2625"/>
      <c r="U22" s="2648"/>
      <c r="V22" s="2660"/>
      <c r="W22" s="845"/>
      <c r="X22" s="443"/>
      <c r="Y22" s="2672"/>
      <c r="Z22" s="2672"/>
      <c r="AA22" s="2627"/>
      <c r="AB22" s="2672"/>
      <c r="AC22" s="2672"/>
      <c r="AD22" s="2672"/>
      <c r="AE22" s="2672"/>
      <c r="AF22" s="2672"/>
      <c r="AG22" s="2627"/>
      <c r="AH22" s="2627"/>
      <c r="AI22" s="2627"/>
      <c r="AJ22" s="2627"/>
      <c r="AK22" s="2627"/>
      <c r="AL22" s="2662"/>
      <c r="AM22" s="2627"/>
      <c r="AN22" s="2672"/>
      <c r="AO22" s="724"/>
      <c r="AP22" s="2630"/>
      <c r="AQ22" s="2632"/>
      <c r="AR22" s="2632"/>
      <c r="AS22" s="2617"/>
    </row>
    <row r="23" spans="1:45" s="843" customFormat="1" ht="39.75" customHeight="1" x14ac:dyDescent="0.2">
      <c r="A23" s="840"/>
      <c r="B23" s="841"/>
      <c r="C23" s="842"/>
      <c r="D23" s="443"/>
      <c r="E23" s="841"/>
      <c r="F23" s="842"/>
      <c r="G23" s="2629"/>
      <c r="H23" s="2645"/>
      <c r="I23" s="2646"/>
      <c r="J23" s="2619"/>
      <c r="K23" s="2630"/>
      <c r="L23" s="2630"/>
      <c r="M23" s="2621"/>
      <c r="N23" s="2629"/>
      <c r="O23" s="2629"/>
      <c r="P23" s="2630"/>
      <c r="Q23" s="2666"/>
      <c r="R23" s="2627"/>
      <c r="S23" s="2630"/>
      <c r="T23" s="2625"/>
      <c r="U23" s="725" t="s">
        <v>702</v>
      </c>
      <c r="V23" s="846">
        <v>1036000000</v>
      </c>
      <c r="W23" s="847"/>
      <c r="X23" s="727"/>
      <c r="Y23" s="2672"/>
      <c r="Z23" s="2672"/>
      <c r="AA23" s="2627"/>
      <c r="AB23" s="2672"/>
      <c r="AC23" s="2672"/>
      <c r="AD23" s="2672"/>
      <c r="AE23" s="2672"/>
      <c r="AF23" s="2672"/>
      <c r="AG23" s="2627"/>
      <c r="AH23" s="2627"/>
      <c r="AI23" s="2627"/>
      <c r="AJ23" s="2627"/>
      <c r="AK23" s="2627"/>
      <c r="AL23" s="2662"/>
      <c r="AM23" s="2627"/>
      <c r="AN23" s="2672"/>
      <c r="AO23" s="724"/>
      <c r="AP23" s="2630"/>
      <c r="AQ23" s="2632"/>
      <c r="AR23" s="2632"/>
      <c r="AS23" s="2617"/>
    </row>
    <row r="24" spans="1:45" s="843" customFormat="1" ht="38.25" customHeight="1" x14ac:dyDescent="0.2">
      <c r="A24" s="840"/>
      <c r="B24" s="841"/>
      <c r="C24" s="842"/>
      <c r="D24" s="443"/>
      <c r="E24" s="841"/>
      <c r="F24" s="842"/>
      <c r="G24" s="2629"/>
      <c r="H24" s="2645"/>
      <c r="I24" s="2646"/>
      <c r="J24" s="2657"/>
      <c r="K24" s="2648"/>
      <c r="L24" s="2648"/>
      <c r="M24" s="2650"/>
      <c r="N24" s="2629"/>
      <c r="O24" s="2629"/>
      <c r="P24" s="2630"/>
      <c r="Q24" s="2667"/>
      <c r="R24" s="2627"/>
      <c r="S24" s="2630"/>
      <c r="T24" s="2658"/>
      <c r="U24" s="848" t="s">
        <v>703</v>
      </c>
      <c r="V24" s="846">
        <v>90400000</v>
      </c>
      <c r="W24" s="847">
        <v>20</v>
      </c>
      <c r="X24" s="727" t="s">
        <v>61</v>
      </c>
      <c r="Y24" s="2672"/>
      <c r="Z24" s="2672"/>
      <c r="AA24" s="2627"/>
      <c r="AB24" s="2672"/>
      <c r="AC24" s="2672"/>
      <c r="AD24" s="2672"/>
      <c r="AE24" s="2672"/>
      <c r="AF24" s="2672"/>
      <c r="AG24" s="2627"/>
      <c r="AH24" s="2627"/>
      <c r="AI24" s="2627"/>
      <c r="AJ24" s="2627"/>
      <c r="AK24" s="2627"/>
      <c r="AL24" s="2662"/>
      <c r="AM24" s="2627"/>
      <c r="AN24" s="2672"/>
      <c r="AO24" s="727"/>
      <c r="AP24" s="2630"/>
      <c r="AQ24" s="2632"/>
      <c r="AR24" s="2632"/>
      <c r="AS24" s="2617"/>
    </row>
    <row r="25" spans="1:45" s="843" customFormat="1" ht="29.25" customHeight="1" x14ac:dyDescent="0.2">
      <c r="A25" s="840"/>
      <c r="B25" s="841"/>
      <c r="C25" s="842"/>
      <c r="D25" s="443"/>
      <c r="E25" s="841"/>
      <c r="F25" s="842"/>
      <c r="G25" s="2629"/>
      <c r="H25" s="2645"/>
      <c r="I25" s="2646"/>
      <c r="J25" s="2618">
        <v>115</v>
      </c>
      <c r="K25" s="2098" t="s">
        <v>704</v>
      </c>
      <c r="L25" s="2057" t="s">
        <v>694</v>
      </c>
      <c r="M25" s="2620">
        <v>35</v>
      </c>
      <c r="N25" s="2629"/>
      <c r="O25" s="2629"/>
      <c r="P25" s="2630"/>
      <c r="Q25" s="2668">
        <f>(V25+V27+V28)/R21</f>
        <v>0.45215734136558705</v>
      </c>
      <c r="R25" s="2627"/>
      <c r="S25" s="2630"/>
      <c r="T25" s="2624" t="s">
        <v>705</v>
      </c>
      <c r="U25" s="2624" t="s">
        <v>706</v>
      </c>
      <c r="V25" s="2659">
        <v>76365000</v>
      </c>
      <c r="W25" s="2634">
        <v>39</v>
      </c>
      <c r="X25" s="2629" t="s">
        <v>707</v>
      </c>
      <c r="Y25" s="2672"/>
      <c r="Z25" s="2672"/>
      <c r="AA25" s="2627"/>
      <c r="AB25" s="2672"/>
      <c r="AC25" s="2672"/>
      <c r="AD25" s="2672"/>
      <c r="AE25" s="2672"/>
      <c r="AF25" s="2672"/>
      <c r="AG25" s="2627"/>
      <c r="AH25" s="2627"/>
      <c r="AI25" s="2627"/>
      <c r="AJ25" s="2627"/>
      <c r="AK25" s="2627"/>
      <c r="AL25" s="2662"/>
      <c r="AM25" s="2627"/>
      <c r="AN25" s="2672"/>
      <c r="AO25" s="727">
        <v>20</v>
      </c>
      <c r="AP25" s="2630"/>
      <c r="AQ25" s="2632"/>
      <c r="AR25" s="2632"/>
      <c r="AS25" s="2617"/>
    </row>
    <row r="26" spans="1:45" s="843" customFormat="1" ht="29.25" customHeight="1" x14ac:dyDescent="0.2">
      <c r="A26" s="840"/>
      <c r="B26" s="841"/>
      <c r="C26" s="842"/>
      <c r="D26" s="443"/>
      <c r="E26" s="841"/>
      <c r="F26" s="842"/>
      <c r="G26" s="2629"/>
      <c r="H26" s="2645"/>
      <c r="I26" s="2646"/>
      <c r="J26" s="2619"/>
      <c r="K26" s="2327"/>
      <c r="L26" s="2630"/>
      <c r="M26" s="2621"/>
      <c r="N26" s="2629"/>
      <c r="O26" s="2629"/>
      <c r="P26" s="2630"/>
      <c r="Q26" s="2669"/>
      <c r="R26" s="2627"/>
      <c r="S26" s="2630"/>
      <c r="T26" s="2625"/>
      <c r="U26" s="2658"/>
      <c r="V26" s="2660"/>
      <c r="W26" s="2634"/>
      <c r="X26" s="2629"/>
      <c r="Y26" s="2672"/>
      <c r="Z26" s="2672"/>
      <c r="AA26" s="2627"/>
      <c r="AB26" s="2672"/>
      <c r="AC26" s="2672"/>
      <c r="AD26" s="2672"/>
      <c r="AE26" s="2672"/>
      <c r="AF26" s="2672"/>
      <c r="AG26" s="2627"/>
      <c r="AH26" s="2627"/>
      <c r="AI26" s="2627"/>
      <c r="AJ26" s="2627"/>
      <c r="AK26" s="2627"/>
      <c r="AL26" s="2662"/>
      <c r="AM26" s="2627"/>
      <c r="AN26" s="2672"/>
      <c r="AO26" s="727">
        <v>39</v>
      </c>
      <c r="AP26" s="2630"/>
      <c r="AQ26" s="2632"/>
      <c r="AR26" s="2632"/>
      <c r="AS26" s="2617"/>
    </row>
    <row r="27" spans="1:45" s="843" customFormat="1" ht="63" customHeight="1" x14ac:dyDescent="0.2">
      <c r="A27" s="840"/>
      <c r="B27" s="841"/>
      <c r="C27" s="842"/>
      <c r="D27" s="443"/>
      <c r="E27" s="841"/>
      <c r="F27" s="842"/>
      <c r="G27" s="2629"/>
      <c r="H27" s="2645"/>
      <c r="I27" s="2646"/>
      <c r="J27" s="2619"/>
      <c r="K27" s="2327"/>
      <c r="L27" s="2630"/>
      <c r="M27" s="2621"/>
      <c r="N27" s="2629"/>
      <c r="O27" s="2629"/>
      <c r="P27" s="2630"/>
      <c r="Q27" s="2669"/>
      <c r="R27" s="2627"/>
      <c r="S27" s="2630"/>
      <c r="T27" s="2625"/>
      <c r="U27" s="849" t="s">
        <v>708</v>
      </c>
      <c r="V27" s="850">
        <v>72060000</v>
      </c>
      <c r="W27" s="847">
        <v>41</v>
      </c>
      <c r="X27" s="727" t="s">
        <v>709</v>
      </c>
      <c r="Y27" s="2672"/>
      <c r="Z27" s="2672"/>
      <c r="AA27" s="2627"/>
      <c r="AB27" s="2672"/>
      <c r="AC27" s="2672"/>
      <c r="AD27" s="2672"/>
      <c r="AE27" s="2672"/>
      <c r="AF27" s="2672"/>
      <c r="AG27" s="2627"/>
      <c r="AH27" s="2627"/>
      <c r="AI27" s="2627"/>
      <c r="AJ27" s="2627"/>
      <c r="AK27" s="2627"/>
      <c r="AL27" s="2662"/>
      <c r="AM27" s="2627"/>
      <c r="AN27" s="2672"/>
      <c r="AO27" s="727">
        <v>41</v>
      </c>
      <c r="AP27" s="2630"/>
      <c r="AQ27" s="2632"/>
      <c r="AR27" s="2632"/>
      <c r="AS27" s="2617"/>
    </row>
    <row r="28" spans="1:45" s="843" customFormat="1" ht="48" customHeight="1" x14ac:dyDescent="0.2">
      <c r="A28" s="840"/>
      <c r="B28" s="841"/>
      <c r="C28" s="842"/>
      <c r="D28" s="443"/>
      <c r="E28" s="841"/>
      <c r="F28" s="842"/>
      <c r="G28" s="2629"/>
      <c r="H28" s="2645"/>
      <c r="I28" s="2646"/>
      <c r="J28" s="2657"/>
      <c r="K28" s="2099"/>
      <c r="L28" s="2630"/>
      <c r="M28" s="2650"/>
      <c r="N28" s="2629"/>
      <c r="O28" s="2629"/>
      <c r="P28" s="2630"/>
      <c r="Q28" s="2670"/>
      <c r="R28" s="2627"/>
      <c r="S28" s="2630"/>
      <c r="T28" s="2658"/>
      <c r="U28" s="704" t="s">
        <v>710</v>
      </c>
      <c r="V28" s="850">
        <v>1290871102</v>
      </c>
      <c r="W28" s="847">
        <v>83</v>
      </c>
      <c r="X28" s="727" t="s">
        <v>711</v>
      </c>
      <c r="Y28" s="2672"/>
      <c r="Z28" s="2672"/>
      <c r="AA28" s="2627"/>
      <c r="AB28" s="2672"/>
      <c r="AC28" s="2672"/>
      <c r="AD28" s="2672"/>
      <c r="AE28" s="2672"/>
      <c r="AF28" s="2672"/>
      <c r="AG28" s="2627"/>
      <c r="AH28" s="2627"/>
      <c r="AI28" s="2627"/>
      <c r="AJ28" s="2627"/>
      <c r="AK28" s="2627"/>
      <c r="AL28" s="2662"/>
      <c r="AM28" s="2627"/>
      <c r="AN28" s="2672"/>
      <c r="AO28" s="724"/>
      <c r="AP28" s="2630"/>
      <c r="AQ28" s="2632"/>
      <c r="AR28" s="2632"/>
      <c r="AS28" s="2617"/>
    </row>
    <row r="29" spans="1:45" s="843" customFormat="1" ht="30.75" customHeight="1" x14ac:dyDescent="0.2">
      <c r="A29" s="840"/>
      <c r="B29" s="841"/>
      <c r="C29" s="842"/>
      <c r="D29" s="443"/>
      <c r="E29" s="841"/>
      <c r="F29" s="842"/>
      <c r="G29" s="2629"/>
      <c r="H29" s="2645"/>
      <c r="I29" s="2646"/>
      <c r="J29" s="2618">
        <v>116</v>
      </c>
      <c r="K29" s="2624" t="s">
        <v>712</v>
      </c>
      <c r="L29" s="2056" t="s">
        <v>694</v>
      </c>
      <c r="M29" s="2620">
        <v>10</v>
      </c>
      <c r="N29" s="2629"/>
      <c r="O29" s="2629"/>
      <c r="P29" s="2630"/>
      <c r="Q29" s="2668">
        <f>(V29+V31+V32)/R21</f>
        <v>9.2322669336129412E-2</v>
      </c>
      <c r="R29" s="2627"/>
      <c r="S29" s="2630"/>
      <c r="T29" s="2624" t="s">
        <v>713</v>
      </c>
      <c r="U29" s="2057" t="s">
        <v>706</v>
      </c>
      <c r="V29" s="2659">
        <v>47630000</v>
      </c>
      <c r="W29" s="2634">
        <v>88</v>
      </c>
      <c r="X29" s="2629" t="s">
        <v>709</v>
      </c>
      <c r="Y29" s="2672"/>
      <c r="Z29" s="2672"/>
      <c r="AA29" s="2627"/>
      <c r="AB29" s="2672"/>
      <c r="AC29" s="2672"/>
      <c r="AD29" s="2672"/>
      <c r="AE29" s="2672"/>
      <c r="AF29" s="2672"/>
      <c r="AG29" s="2627"/>
      <c r="AH29" s="2627"/>
      <c r="AI29" s="2627"/>
      <c r="AJ29" s="2627"/>
      <c r="AK29" s="2627"/>
      <c r="AL29" s="2662"/>
      <c r="AM29" s="2627"/>
      <c r="AN29" s="2672"/>
      <c r="AO29" s="724"/>
      <c r="AP29" s="2630"/>
      <c r="AQ29" s="2632"/>
      <c r="AR29" s="2632"/>
      <c r="AS29" s="2617"/>
    </row>
    <row r="30" spans="1:45" s="843" customFormat="1" ht="30.75" customHeight="1" x14ac:dyDescent="0.2">
      <c r="A30" s="840"/>
      <c r="B30" s="841"/>
      <c r="C30" s="842"/>
      <c r="D30" s="443"/>
      <c r="E30" s="841"/>
      <c r="F30" s="842"/>
      <c r="G30" s="2629"/>
      <c r="H30" s="2645"/>
      <c r="I30" s="2646"/>
      <c r="J30" s="2619"/>
      <c r="K30" s="2625"/>
      <c r="L30" s="2056"/>
      <c r="M30" s="2621"/>
      <c r="N30" s="2629"/>
      <c r="O30" s="2629"/>
      <c r="P30" s="2630"/>
      <c r="Q30" s="2669"/>
      <c r="R30" s="2627"/>
      <c r="S30" s="2630"/>
      <c r="T30" s="2625"/>
      <c r="U30" s="2648"/>
      <c r="V30" s="2660"/>
      <c r="W30" s="2634"/>
      <c r="X30" s="2629"/>
      <c r="Y30" s="2672"/>
      <c r="Z30" s="2672"/>
      <c r="AA30" s="2627"/>
      <c r="AB30" s="2672"/>
      <c r="AC30" s="2672"/>
      <c r="AD30" s="2672"/>
      <c r="AE30" s="2672"/>
      <c r="AF30" s="2672"/>
      <c r="AG30" s="2627"/>
      <c r="AH30" s="2627"/>
      <c r="AI30" s="2627"/>
      <c r="AJ30" s="2627"/>
      <c r="AK30" s="2627"/>
      <c r="AL30" s="2662"/>
      <c r="AM30" s="2627"/>
      <c r="AN30" s="2672"/>
      <c r="AO30" s="724"/>
      <c r="AP30" s="2630"/>
      <c r="AQ30" s="2632"/>
      <c r="AR30" s="2632"/>
      <c r="AS30" s="2617"/>
    </row>
    <row r="31" spans="1:45" s="843" customFormat="1" ht="32.25" customHeight="1" x14ac:dyDescent="0.2">
      <c r="A31" s="840"/>
      <c r="B31" s="841"/>
      <c r="C31" s="842"/>
      <c r="D31" s="443"/>
      <c r="E31" s="841"/>
      <c r="F31" s="842"/>
      <c r="G31" s="2629"/>
      <c r="H31" s="2645"/>
      <c r="I31" s="2646"/>
      <c r="J31" s="2619"/>
      <c r="K31" s="2625"/>
      <c r="L31" s="2056"/>
      <c r="M31" s="2621"/>
      <c r="N31" s="2629"/>
      <c r="O31" s="2629"/>
      <c r="P31" s="2630"/>
      <c r="Q31" s="2669"/>
      <c r="R31" s="2627"/>
      <c r="S31" s="2630"/>
      <c r="T31" s="2625"/>
      <c r="U31" s="725" t="s">
        <v>714</v>
      </c>
      <c r="V31" s="846">
        <v>35637000</v>
      </c>
      <c r="W31" s="845"/>
      <c r="X31" s="443"/>
      <c r="Y31" s="2672"/>
      <c r="Z31" s="2672"/>
      <c r="AA31" s="2627"/>
      <c r="AB31" s="2672"/>
      <c r="AC31" s="2672"/>
      <c r="AD31" s="2672"/>
      <c r="AE31" s="2672"/>
      <c r="AF31" s="2672"/>
      <c r="AG31" s="2627"/>
      <c r="AH31" s="2627"/>
      <c r="AI31" s="2627"/>
      <c r="AJ31" s="2627"/>
      <c r="AK31" s="2627"/>
      <c r="AL31" s="2662"/>
      <c r="AM31" s="2627"/>
      <c r="AN31" s="2672"/>
      <c r="AO31" s="724"/>
      <c r="AP31" s="2630"/>
      <c r="AQ31" s="2632"/>
      <c r="AR31" s="2632"/>
      <c r="AS31" s="2617"/>
    </row>
    <row r="32" spans="1:45" s="843" customFormat="1" ht="40.5" customHeight="1" x14ac:dyDescent="0.2">
      <c r="A32" s="840"/>
      <c r="B32" s="841"/>
      <c r="C32" s="842"/>
      <c r="D32" s="443"/>
      <c r="E32" s="841"/>
      <c r="F32" s="842"/>
      <c r="G32" s="2639"/>
      <c r="H32" s="2655"/>
      <c r="I32" s="2656"/>
      <c r="J32" s="2657"/>
      <c r="K32" s="2658"/>
      <c r="L32" s="2056"/>
      <c r="M32" s="2650"/>
      <c r="N32" s="2639"/>
      <c r="O32" s="2639"/>
      <c r="P32" s="2648"/>
      <c r="Q32" s="2670"/>
      <c r="R32" s="2647"/>
      <c r="S32" s="2648"/>
      <c r="T32" s="2658"/>
      <c r="U32" s="725" t="s">
        <v>710</v>
      </c>
      <c r="V32" s="846">
        <v>210612245</v>
      </c>
      <c r="W32" s="851"/>
      <c r="X32" s="852"/>
      <c r="Y32" s="2673"/>
      <c r="Z32" s="2673"/>
      <c r="AA32" s="2647"/>
      <c r="AB32" s="2673"/>
      <c r="AC32" s="2673"/>
      <c r="AD32" s="2673"/>
      <c r="AE32" s="2673"/>
      <c r="AF32" s="2673"/>
      <c r="AG32" s="2647"/>
      <c r="AH32" s="2647"/>
      <c r="AI32" s="2647"/>
      <c r="AJ32" s="2647"/>
      <c r="AK32" s="2647"/>
      <c r="AL32" s="2663"/>
      <c r="AM32" s="2647"/>
      <c r="AN32" s="2673"/>
      <c r="AO32" s="725"/>
      <c r="AP32" s="2648"/>
      <c r="AQ32" s="2638"/>
      <c r="AR32" s="2638"/>
      <c r="AS32" s="2640"/>
    </row>
    <row r="33" spans="1:45" s="611" customFormat="1" ht="15" customHeight="1" x14ac:dyDescent="0.2">
      <c r="A33" s="840"/>
      <c r="B33" s="841"/>
      <c r="C33" s="842"/>
      <c r="D33" s="443"/>
      <c r="E33" s="841"/>
      <c r="F33" s="842"/>
      <c r="G33" s="515">
        <v>30</v>
      </c>
      <c r="H33" s="2641" t="s">
        <v>715</v>
      </c>
      <c r="I33" s="2642"/>
      <c r="J33" s="2642"/>
      <c r="K33" s="2642"/>
      <c r="L33" s="834"/>
      <c r="M33" s="853"/>
      <c r="N33" s="835"/>
      <c r="O33" s="835"/>
      <c r="P33" s="834"/>
      <c r="Q33" s="835"/>
      <c r="R33" s="835"/>
      <c r="S33" s="834"/>
      <c r="T33" s="834"/>
      <c r="U33" s="834"/>
      <c r="V33" s="854"/>
      <c r="W33" s="838"/>
      <c r="X33" s="839"/>
      <c r="Y33" s="835"/>
      <c r="Z33" s="835"/>
      <c r="AA33" s="835"/>
      <c r="AB33" s="835"/>
      <c r="AC33" s="835"/>
      <c r="AD33" s="835"/>
      <c r="AE33" s="835"/>
      <c r="AF33" s="835"/>
      <c r="AG33" s="835"/>
      <c r="AH33" s="835"/>
      <c r="AI33" s="835"/>
      <c r="AJ33" s="835"/>
      <c r="AK33" s="835"/>
      <c r="AL33" s="835"/>
      <c r="AM33" s="835"/>
      <c r="AN33" s="835"/>
      <c r="AO33" s="835"/>
      <c r="AP33" s="835"/>
      <c r="AQ33" s="835"/>
      <c r="AR33" s="835"/>
      <c r="AS33" s="855"/>
    </row>
    <row r="34" spans="1:45" s="843" customFormat="1" ht="27" customHeight="1" x14ac:dyDescent="0.2">
      <c r="A34" s="840"/>
      <c r="B34" s="841"/>
      <c r="C34" s="842"/>
      <c r="D34" s="443"/>
      <c r="E34" s="841"/>
      <c r="F34" s="842"/>
      <c r="G34" s="531"/>
      <c r="H34" s="2643"/>
      <c r="I34" s="2644"/>
      <c r="J34" s="2618">
        <v>117</v>
      </c>
      <c r="K34" s="2057" t="s">
        <v>716</v>
      </c>
      <c r="L34" s="2057" t="s">
        <v>694</v>
      </c>
      <c r="M34" s="2620">
        <v>2</v>
      </c>
      <c r="N34" s="2628" t="s">
        <v>717</v>
      </c>
      <c r="O34" s="2628" t="s">
        <v>718</v>
      </c>
      <c r="P34" s="2057" t="s">
        <v>719</v>
      </c>
      <c r="Q34" s="2622">
        <f>(V34+V37)/R34</f>
        <v>1</v>
      </c>
      <c r="R34" s="2626">
        <f>+V34+V37</f>
        <v>80000000</v>
      </c>
      <c r="S34" s="2057" t="s">
        <v>720</v>
      </c>
      <c r="T34" s="2057" t="s">
        <v>721</v>
      </c>
      <c r="U34" s="2057" t="s">
        <v>722</v>
      </c>
      <c r="V34" s="2659">
        <v>70000000</v>
      </c>
      <c r="W34" s="2633">
        <v>20</v>
      </c>
      <c r="X34" s="2628" t="s">
        <v>61</v>
      </c>
      <c r="Y34" s="2628">
        <v>75</v>
      </c>
      <c r="Z34" s="2628">
        <v>75</v>
      </c>
      <c r="AA34" s="2626"/>
      <c r="AB34" s="2626"/>
      <c r="AC34" s="2626">
        <v>150</v>
      </c>
      <c r="AD34" s="2626"/>
      <c r="AE34" s="2626"/>
      <c r="AF34" s="2626"/>
      <c r="AG34" s="2626"/>
      <c r="AH34" s="2626"/>
      <c r="AI34" s="2626"/>
      <c r="AJ34" s="2626"/>
      <c r="AK34" s="2626"/>
      <c r="AL34" s="2626"/>
      <c r="AM34" s="2626"/>
      <c r="AN34" s="2626">
        <v>150</v>
      </c>
      <c r="AO34" s="2628">
        <v>20</v>
      </c>
      <c r="AP34" s="2057" t="s">
        <v>723</v>
      </c>
      <c r="AQ34" s="2631">
        <v>43101</v>
      </c>
      <c r="AR34" s="2631">
        <v>43465</v>
      </c>
      <c r="AS34" s="2616" t="s">
        <v>692</v>
      </c>
    </row>
    <row r="35" spans="1:45" s="843" customFormat="1" ht="18.75" customHeight="1" x14ac:dyDescent="0.2">
      <c r="A35" s="840"/>
      <c r="B35" s="841"/>
      <c r="C35" s="842"/>
      <c r="D35" s="443"/>
      <c r="E35" s="841"/>
      <c r="F35" s="842"/>
      <c r="G35" s="531"/>
      <c r="H35" s="2645"/>
      <c r="I35" s="2646"/>
      <c r="J35" s="2619"/>
      <c r="K35" s="2630"/>
      <c r="L35" s="2630"/>
      <c r="M35" s="2621"/>
      <c r="N35" s="2629"/>
      <c r="O35" s="2629"/>
      <c r="P35" s="2630"/>
      <c r="Q35" s="2623"/>
      <c r="R35" s="2627"/>
      <c r="S35" s="2630"/>
      <c r="T35" s="2630"/>
      <c r="U35" s="2630"/>
      <c r="V35" s="2664"/>
      <c r="W35" s="2634"/>
      <c r="X35" s="2629"/>
      <c r="Y35" s="2629"/>
      <c r="Z35" s="2629"/>
      <c r="AA35" s="2627"/>
      <c r="AB35" s="2627"/>
      <c r="AC35" s="2627"/>
      <c r="AD35" s="2627"/>
      <c r="AE35" s="2627"/>
      <c r="AF35" s="2627"/>
      <c r="AG35" s="2627"/>
      <c r="AH35" s="2627"/>
      <c r="AI35" s="2627"/>
      <c r="AJ35" s="2627"/>
      <c r="AK35" s="2627"/>
      <c r="AL35" s="2627"/>
      <c r="AM35" s="2627"/>
      <c r="AN35" s="2627"/>
      <c r="AO35" s="2629"/>
      <c r="AP35" s="2630"/>
      <c r="AQ35" s="2632"/>
      <c r="AR35" s="2632"/>
      <c r="AS35" s="2617"/>
    </row>
    <row r="36" spans="1:45" s="843" customFormat="1" ht="46.5" customHeight="1" x14ac:dyDescent="0.2">
      <c r="A36" s="840"/>
      <c r="B36" s="841"/>
      <c r="C36" s="842"/>
      <c r="D36" s="443"/>
      <c r="E36" s="841"/>
      <c r="F36" s="842"/>
      <c r="G36" s="531"/>
      <c r="H36" s="2645"/>
      <c r="I36" s="2646"/>
      <c r="J36" s="2619"/>
      <c r="K36" s="2630"/>
      <c r="L36" s="2630"/>
      <c r="M36" s="2621"/>
      <c r="N36" s="2629"/>
      <c r="O36" s="2629"/>
      <c r="P36" s="2630"/>
      <c r="Q36" s="2623"/>
      <c r="R36" s="2627"/>
      <c r="S36" s="2630"/>
      <c r="T36" s="2630"/>
      <c r="U36" s="2648"/>
      <c r="V36" s="2660"/>
      <c r="W36" s="2634"/>
      <c r="X36" s="2629"/>
      <c r="Y36" s="2629"/>
      <c r="Z36" s="2629"/>
      <c r="AA36" s="2627"/>
      <c r="AB36" s="2627"/>
      <c r="AC36" s="2627"/>
      <c r="AD36" s="2627"/>
      <c r="AE36" s="2627"/>
      <c r="AF36" s="2627"/>
      <c r="AG36" s="2627"/>
      <c r="AH36" s="2627"/>
      <c r="AI36" s="2627"/>
      <c r="AJ36" s="2627"/>
      <c r="AK36" s="2627"/>
      <c r="AL36" s="2627"/>
      <c r="AM36" s="2627"/>
      <c r="AN36" s="2627"/>
      <c r="AO36" s="2629"/>
      <c r="AP36" s="2630"/>
      <c r="AQ36" s="2632"/>
      <c r="AR36" s="2632"/>
      <c r="AS36" s="2617"/>
    </row>
    <row r="37" spans="1:45" s="843" customFormat="1" ht="67.5" customHeight="1" x14ac:dyDescent="0.2">
      <c r="A37" s="840"/>
      <c r="B37" s="841"/>
      <c r="C37" s="842"/>
      <c r="D37" s="443"/>
      <c r="E37" s="841"/>
      <c r="F37" s="842"/>
      <c r="G37" s="531"/>
      <c r="H37" s="2655"/>
      <c r="I37" s="2656"/>
      <c r="J37" s="2657"/>
      <c r="K37" s="2648"/>
      <c r="L37" s="2648"/>
      <c r="M37" s="2650"/>
      <c r="N37" s="2639"/>
      <c r="O37" s="2639"/>
      <c r="P37" s="2648"/>
      <c r="Q37" s="2651"/>
      <c r="R37" s="2647"/>
      <c r="S37" s="2648"/>
      <c r="T37" s="2648"/>
      <c r="U37" s="704" t="s">
        <v>724</v>
      </c>
      <c r="V37" s="850">
        <v>10000000</v>
      </c>
      <c r="W37" s="2649"/>
      <c r="X37" s="2639"/>
      <c r="Y37" s="2639"/>
      <c r="Z37" s="2639"/>
      <c r="AA37" s="2647"/>
      <c r="AB37" s="2647"/>
      <c r="AC37" s="2647"/>
      <c r="AD37" s="2647"/>
      <c r="AE37" s="2647"/>
      <c r="AF37" s="2647"/>
      <c r="AG37" s="2647"/>
      <c r="AH37" s="2647"/>
      <c r="AI37" s="2647"/>
      <c r="AJ37" s="2647"/>
      <c r="AK37" s="2647"/>
      <c r="AL37" s="2647"/>
      <c r="AM37" s="2647"/>
      <c r="AN37" s="2647"/>
      <c r="AO37" s="2639"/>
      <c r="AP37" s="2648"/>
      <c r="AQ37" s="2638"/>
      <c r="AR37" s="2638"/>
      <c r="AS37" s="2640"/>
    </row>
    <row r="38" spans="1:45" s="611" customFormat="1" ht="22.5" customHeight="1" x14ac:dyDescent="0.2">
      <c r="A38" s="840"/>
      <c r="B38" s="841"/>
      <c r="C38" s="842"/>
      <c r="D38" s="443"/>
      <c r="E38" s="841"/>
      <c r="F38" s="842"/>
      <c r="G38" s="515">
        <v>31</v>
      </c>
      <c r="H38" s="2641" t="s">
        <v>725</v>
      </c>
      <c r="I38" s="2642"/>
      <c r="J38" s="2642"/>
      <c r="K38" s="2642"/>
      <c r="L38" s="834"/>
      <c r="M38" s="853"/>
      <c r="N38" s="835"/>
      <c r="O38" s="835"/>
      <c r="P38" s="834"/>
      <c r="Q38" s="835"/>
      <c r="R38" s="835"/>
      <c r="S38" s="834"/>
      <c r="T38" s="834"/>
      <c r="U38" s="834"/>
      <c r="V38" s="854"/>
      <c r="W38" s="838"/>
      <c r="X38" s="839"/>
      <c r="Y38" s="835"/>
      <c r="Z38" s="835"/>
      <c r="AA38" s="835"/>
      <c r="AB38" s="835"/>
      <c r="AC38" s="835"/>
      <c r="AD38" s="835"/>
      <c r="AE38" s="835"/>
      <c r="AF38" s="835"/>
      <c r="AG38" s="835"/>
      <c r="AH38" s="835"/>
      <c r="AI38" s="835"/>
      <c r="AJ38" s="835"/>
      <c r="AK38" s="835"/>
      <c r="AL38" s="835"/>
      <c r="AM38" s="835"/>
      <c r="AN38" s="835"/>
      <c r="AO38" s="835"/>
      <c r="AP38" s="835"/>
      <c r="AQ38" s="835"/>
      <c r="AR38" s="835"/>
      <c r="AS38" s="855"/>
    </row>
    <row r="39" spans="1:45" s="843" customFormat="1" ht="34.5" customHeight="1" x14ac:dyDescent="0.2">
      <c r="A39" s="840"/>
      <c r="B39" s="841"/>
      <c r="C39" s="842"/>
      <c r="D39" s="443"/>
      <c r="E39" s="841"/>
      <c r="F39" s="842"/>
      <c r="G39" s="531"/>
      <c r="H39" s="2643"/>
      <c r="I39" s="2644"/>
      <c r="J39" s="2618">
        <v>118</v>
      </c>
      <c r="K39" s="2088" t="s">
        <v>726</v>
      </c>
      <c r="L39" s="2057" t="s">
        <v>694</v>
      </c>
      <c r="M39" s="2620">
        <v>6</v>
      </c>
      <c r="N39" s="2628" t="s">
        <v>727</v>
      </c>
      <c r="O39" s="2628" t="s">
        <v>728</v>
      </c>
      <c r="P39" s="2088" t="s">
        <v>729</v>
      </c>
      <c r="Q39" s="2541">
        <f>(V39+V41+V42+V43)/R39</f>
        <v>0.25995300508408675</v>
      </c>
      <c r="R39" s="2626">
        <f>SUM(V39:V46)</f>
        <v>170030733</v>
      </c>
      <c r="S39" s="2057" t="s">
        <v>730</v>
      </c>
      <c r="T39" s="2624" t="s">
        <v>731</v>
      </c>
      <c r="U39" s="2057" t="s">
        <v>732</v>
      </c>
      <c r="V39" s="2659">
        <v>20200000</v>
      </c>
      <c r="W39" s="2633" t="s">
        <v>733</v>
      </c>
      <c r="X39" s="2628" t="s">
        <v>734</v>
      </c>
      <c r="Y39" s="2626">
        <v>50476</v>
      </c>
      <c r="Z39" s="2626">
        <v>50476</v>
      </c>
      <c r="AA39" s="2626">
        <v>42400</v>
      </c>
      <c r="AB39" s="2626">
        <v>30286</v>
      </c>
      <c r="AC39" s="2626">
        <v>18171</v>
      </c>
      <c r="AD39" s="2626">
        <v>10095</v>
      </c>
      <c r="AE39" s="2626"/>
      <c r="AF39" s="2661"/>
      <c r="AG39" s="2626"/>
      <c r="AH39" s="2626"/>
      <c r="AI39" s="2626"/>
      <c r="AJ39" s="2626"/>
      <c r="AK39" s="2661"/>
      <c r="AL39" s="2661"/>
      <c r="AM39" s="2626"/>
      <c r="AN39" s="2626">
        <f>+Y39+Z39</f>
        <v>100952</v>
      </c>
      <c r="AO39" s="2628">
        <v>34</v>
      </c>
      <c r="AP39" s="2057" t="s">
        <v>735</v>
      </c>
      <c r="AQ39" s="2631">
        <v>43101</v>
      </c>
      <c r="AR39" s="2631">
        <v>43465</v>
      </c>
      <c r="AS39" s="2616" t="s">
        <v>692</v>
      </c>
    </row>
    <row r="40" spans="1:45" s="843" customFormat="1" ht="27.75" customHeight="1" x14ac:dyDescent="0.2">
      <c r="A40" s="840"/>
      <c r="B40" s="841"/>
      <c r="C40" s="842"/>
      <c r="D40" s="443"/>
      <c r="E40" s="841"/>
      <c r="F40" s="842"/>
      <c r="G40" s="531"/>
      <c r="H40" s="2645"/>
      <c r="I40" s="2646"/>
      <c r="J40" s="2619"/>
      <c r="K40" s="2185"/>
      <c r="L40" s="2630"/>
      <c r="M40" s="2621"/>
      <c r="N40" s="2629"/>
      <c r="O40" s="2629"/>
      <c r="P40" s="2185"/>
      <c r="Q40" s="2541"/>
      <c r="R40" s="2627"/>
      <c r="S40" s="2630"/>
      <c r="T40" s="2625"/>
      <c r="U40" s="2648"/>
      <c r="V40" s="2660"/>
      <c r="W40" s="2634"/>
      <c r="X40" s="2629"/>
      <c r="Y40" s="2627"/>
      <c r="Z40" s="2627"/>
      <c r="AA40" s="2627"/>
      <c r="AB40" s="2627"/>
      <c r="AC40" s="2627"/>
      <c r="AD40" s="2627"/>
      <c r="AE40" s="2627"/>
      <c r="AF40" s="2662"/>
      <c r="AG40" s="2627"/>
      <c r="AH40" s="2627"/>
      <c r="AI40" s="2627"/>
      <c r="AJ40" s="2627"/>
      <c r="AK40" s="2662"/>
      <c r="AL40" s="2662"/>
      <c r="AM40" s="2627"/>
      <c r="AN40" s="2627"/>
      <c r="AO40" s="2629"/>
      <c r="AP40" s="2630"/>
      <c r="AQ40" s="2632"/>
      <c r="AR40" s="2632"/>
      <c r="AS40" s="2617"/>
    </row>
    <row r="41" spans="1:45" s="843" customFormat="1" ht="69.75" customHeight="1" x14ac:dyDescent="0.2">
      <c r="A41" s="840"/>
      <c r="B41" s="841"/>
      <c r="C41" s="842"/>
      <c r="D41" s="443"/>
      <c r="E41" s="841"/>
      <c r="F41" s="842"/>
      <c r="G41" s="531"/>
      <c r="H41" s="2645"/>
      <c r="I41" s="2646"/>
      <c r="J41" s="2619"/>
      <c r="K41" s="2185"/>
      <c r="L41" s="2630"/>
      <c r="M41" s="2621"/>
      <c r="N41" s="2629"/>
      <c r="O41" s="2629"/>
      <c r="P41" s="2185"/>
      <c r="Q41" s="2541"/>
      <c r="R41" s="2627"/>
      <c r="S41" s="2630"/>
      <c r="T41" s="2625"/>
      <c r="U41" s="704" t="s">
        <v>736</v>
      </c>
      <c r="V41" s="850">
        <v>10000000</v>
      </c>
      <c r="W41" s="2634"/>
      <c r="X41" s="2629"/>
      <c r="Y41" s="2627"/>
      <c r="Z41" s="2627"/>
      <c r="AA41" s="2627"/>
      <c r="AB41" s="2627"/>
      <c r="AC41" s="2627"/>
      <c r="AD41" s="2627"/>
      <c r="AE41" s="2627"/>
      <c r="AF41" s="2662"/>
      <c r="AG41" s="2627"/>
      <c r="AH41" s="2627"/>
      <c r="AI41" s="2627"/>
      <c r="AJ41" s="2627"/>
      <c r="AK41" s="2662"/>
      <c r="AL41" s="2662"/>
      <c r="AM41" s="2627"/>
      <c r="AN41" s="2627"/>
      <c r="AO41" s="2629"/>
      <c r="AP41" s="2630"/>
      <c r="AQ41" s="2632"/>
      <c r="AR41" s="2632"/>
      <c r="AS41" s="2617"/>
    </row>
    <row r="42" spans="1:45" s="843" customFormat="1" ht="42.75" customHeight="1" x14ac:dyDescent="0.2">
      <c r="A42" s="840"/>
      <c r="B42" s="841"/>
      <c r="C42" s="842"/>
      <c r="D42" s="443"/>
      <c r="E42" s="841"/>
      <c r="F42" s="842"/>
      <c r="G42" s="531"/>
      <c r="H42" s="2645"/>
      <c r="I42" s="2646"/>
      <c r="J42" s="2619"/>
      <c r="K42" s="2185"/>
      <c r="L42" s="2630"/>
      <c r="M42" s="2621"/>
      <c r="N42" s="2629"/>
      <c r="O42" s="2629"/>
      <c r="P42" s="2185"/>
      <c r="Q42" s="2541"/>
      <c r="R42" s="2627"/>
      <c r="S42" s="2630"/>
      <c r="T42" s="2625"/>
      <c r="U42" s="704" t="s">
        <v>737</v>
      </c>
      <c r="V42" s="850">
        <v>14000000</v>
      </c>
      <c r="W42" s="2634"/>
      <c r="X42" s="2629"/>
      <c r="Y42" s="2627"/>
      <c r="Z42" s="2627"/>
      <c r="AA42" s="2627"/>
      <c r="AB42" s="2627"/>
      <c r="AC42" s="2627"/>
      <c r="AD42" s="2627"/>
      <c r="AE42" s="2627"/>
      <c r="AF42" s="2662"/>
      <c r="AG42" s="2627"/>
      <c r="AH42" s="2627"/>
      <c r="AI42" s="2627"/>
      <c r="AJ42" s="2627"/>
      <c r="AK42" s="2662"/>
      <c r="AL42" s="2662"/>
      <c r="AM42" s="2627"/>
      <c r="AN42" s="2627"/>
      <c r="AO42" s="2629"/>
      <c r="AP42" s="2630"/>
      <c r="AQ42" s="2632"/>
      <c r="AR42" s="2632"/>
      <c r="AS42" s="2617"/>
    </row>
    <row r="43" spans="1:45" s="843" customFormat="1" ht="45.75" customHeight="1" x14ac:dyDescent="0.2">
      <c r="A43" s="840"/>
      <c r="B43" s="841"/>
      <c r="C43" s="842"/>
      <c r="D43" s="443"/>
      <c r="E43" s="841"/>
      <c r="F43" s="842"/>
      <c r="G43" s="531"/>
      <c r="H43" s="2645"/>
      <c r="I43" s="2646"/>
      <c r="J43" s="2619"/>
      <c r="K43" s="2185"/>
      <c r="L43" s="2630"/>
      <c r="M43" s="2621"/>
      <c r="N43" s="2629"/>
      <c r="O43" s="2629"/>
      <c r="P43" s="2185"/>
      <c r="Q43" s="2541"/>
      <c r="R43" s="2627"/>
      <c r="S43" s="2630"/>
      <c r="T43" s="2658"/>
      <c r="U43" s="704" t="s">
        <v>738</v>
      </c>
      <c r="V43" s="850">
        <v>0</v>
      </c>
      <c r="W43" s="2634"/>
      <c r="X43" s="2629"/>
      <c r="Y43" s="2627"/>
      <c r="Z43" s="2627"/>
      <c r="AA43" s="2627"/>
      <c r="AB43" s="2627"/>
      <c r="AC43" s="2627"/>
      <c r="AD43" s="2627"/>
      <c r="AE43" s="2627"/>
      <c r="AF43" s="2662"/>
      <c r="AG43" s="2627"/>
      <c r="AH43" s="2627"/>
      <c r="AI43" s="2627"/>
      <c r="AJ43" s="2627"/>
      <c r="AK43" s="2662"/>
      <c r="AL43" s="2662"/>
      <c r="AM43" s="2627"/>
      <c r="AN43" s="2627"/>
      <c r="AO43" s="2629"/>
      <c r="AP43" s="2630"/>
      <c r="AQ43" s="2632"/>
      <c r="AR43" s="2632"/>
      <c r="AS43" s="2617"/>
    </row>
    <row r="44" spans="1:45" s="843" customFormat="1" ht="30" customHeight="1" x14ac:dyDescent="0.2">
      <c r="A44" s="840"/>
      <c r="B44" s="841"/>
      <c r="C44" s="842"/>
      <c r="D44" s="443"/>
      <c r="E44" s="841"/>
      <c r="F44" s="842"/>
      <c r="G44" s="531"/>
      <c r="H44" s="2645"/>
      <c r="I44" s="2646"/>
      <c r="J44" s="2619"/>
      <c r="K44" s="2185"/>
      <c r="L44" s="2630"/>
      <c r="M44" s="2621"/>
      <c r="N44" s="2629"/>
      <c r="O44" s="2629"/>
      <c r="P44" s="2185"/>
      <c r="Q44" s="2622">
        <f>(V44+V46)/R39</f>
        <v>0.74004699491591319</v>
      </c>
      <c r="R44" s="2627"/>
      <c r="S44" s="2630"/>
      <c r="T44" s="2624" t="s">
        <v>739</v>
      </c>
      <c r="U44" s="2057" t="s">
        <v>740</v>
      </c>
      <c r="V44" s="2659">
        <v>20000000</v>
      </c>
      <c r="W44" s="2634"/>
      <c r="X44" s="2629"/>
      <c r="Y44" s="2627"/>
      <c r="Z44" s="2627"/>
      <c r="AA44" s="2627"/>
      <c r="AB44" s="2627"/>
      <c r="AC44" s="2627"/>
      <c r="AD44" s="2627"/>
      <c r="AE44" s="2627"/>
      <c r="AF44" s="2662"/>
      <c r="AG44" s="2627"/>
      <c r="AH44" s="2627"/>
      <c r="AI44" s="2627"/>
      <c r="AJ44" s="2627"/>
      <c r="AK44" s="2662"/>
      <c r="AL44" s="2662"/>
      <c r="AM44" s="2627"/>
      <c r="AN44" s="2627"/>
      <c r="AO44" s="2629"/>
      <c r="AP44" s="2630"/>
      <c r="AQ44" s="2632"/>
      <c r="AR44" s="2632"/>
      <c r="AS44" s="2617"/>
    </row>
    <row r="45" spans="1:45" s="843" customFormat="1" ht="41.25" customHeight="1" x14ac:dyDescent="0.2">
      <c r="A45" s="840"/>
      <c r="B45" s="841"/>
      <c r="C45" s="842"/>
      <c r="D45" s="443"/>
      <c r="E45" s="841"/>
      <c r="F45" s="842"/>
      <c r="G45" s="531"/>
      <c r="H45" s="2645"/>
      <c r="I45" s="2646"/>
      <c r="J45" s="2619"/>
      <c r="K45" s="2185"/>
      <c r="L45" s="2630"/>
      <c r="M45" s="2621"/>
      <c r="N45" s="2629"/>
      <c r="O45" s="2629"/>
      <c r="P45" s="2185"/>
      <c r="Q45" s="2623"/>
      <c r="R45" s="2627"/>
      <c r="S45" s="2630"/>
      <c r="T45" s="2625"/>
      <c r="U45" s="2648"/>
      <c r="V45" s="2660"/>
      <c r="W45" s="2634"/>
      <c r="X45" s="2629"/>
      <c r="Y45" s="2627"/>
      <c r="Z45" s="2627"/>
      <c r="AA45" s="2627"/>
      <c r="AB45" s="2627"/>
      <c r="AC45" s="2627"/>
      <c r="AD45" s="2627"/>
      <c r="AE45" s="2627"/>
      <c r="AF45" s="2662"/>
      <c r="AG45" s="2627"/>
      <c r="AH45" s="2627"/>
      <c r="AI45" s="2627"/>
      <c r="AJ45" s="2627"/>
      <c r="AK45" s="2662"/>
      <c r="AL45" s="2662"/>
      <c r="AM45" s="2627"/>
      <c r="AN45" s="2627"/>
      <c r="AO45" s="2629"/>
      <c r="AP45" s="2630"/>
      <c r="AQ45" s="2632"/>
      <c r="AR45" s="2632"/>
      <c r="AS45" s="2617"/>
    </row>
    <row r="46" spans="1:45" s="843" customFormat="1" ht="42" customHeight="1" x14ac:dyDescent="0.2">
      <c r="A46" s="840"/>
      <c r="B46" s="841"/>
      <c r="C46" s="842"/>
      <c r="D46" s="443"/>
      <c r="E46" s="841"/>
      <c r="F46" s="842"/>
      <c r="G46" s="531"/>
      <c r="H46" s="2655"/>
      <c r="I46" s="2656"/>
      <c r="J46" s="2657"/>
      <c r="K46" s="2089"/>
      <c r="L46" s="2648"/>
      <c r="M46" s="2650"/>
      <c r="N46" s="2639"/>
      <c r="O46" s="2639"/>
      <c r="P46" s="2089"/>
      <c r="Q46" s="2651"/>
      <c r="R46" s="2647"/>
      <c r="S46" s="2648"/>
      <c r="T46" s="2658"/>
      <c r="U46" s="725" t="s">
        <v>741</v>
      </c>
      <c r="V46" s="846">
        <v>105830733</v>
      </c>
      <c r="W46" s="2649"/>
      <c r="X46" s="2639"/>
      <c r="Y46" s="2647"/>
      <c r="Z46" s="2647"/>
      <c r="AA46" s="2647"/>
      <c r="AB46" s="2647"/>
      <c r="AC46" s="2647"/>
      <c r="AD46" s="2647"/>
      <c r="AE46" s="2647"/>
      <c r="AF46" s="2663"/>
      <c r="AG46" s="2647"/>
      <c r="AH46" s="2647"/>
      <c r="AI46" s="2647"/>
      <c r="AJ46" s="2647"/>
      <c r="AK46" s="2663"/>
      <c r="AL46" s="2663"/>
      <c r="AM46" s="2647"/>
      <c r="AN46" s="2647"/>
      <c r="AO46" s="2639"/>
      <c r="AP46" s="2648"/>
      <c r="AQ46" s="2638"/>
      <c r="AR46" s="2638"/>
      <c r="AS46" s="2640"/>
    </row>
    <row r="47" spans="1:45" s="822" customFormat="1" ht="15" customHeight="1" x14ac:dyDescent="0.25">
      <c r="A47" s="823"/>
      <c r="B47" s="708"/>
      <c r="C47" s="824"/>
      <c r="D47" s="825">
        <v>10</v>
      </c>
      <c r="E47" s="2653" t="s">
        <v>742</v>
      </c>
      <c r="F47" s="2654"/>
      <c r="G47" s="2654"/>
      <c r="H47" s="2654"/>
      <c r="I47" s="2654"/>
      <c r="J47" s="2654"/>
      <c r="K47" s="2654"/>
      <c r="L47" s="826"/>
      <c r="M47" s="856"/>
      <c r="N47" s="827"/>
      <c r="O47" s="827"/>
      <c r="P47" s="826"/>
      <c r="Q47" s="827"/>
      <c r="R47" s="827"/>
      <c r="S47" s="826"/>
      <c r="T47" s="826"/>
      <c r="U47" s="826"/>
      <c r="V47" s="857"/>
      <c r="W47" s="830"/>
      <c r="X47" s="831"/>
      <c r="Y47" s="827"/>
      <c r="Z47" s="827"/>
      <c r="AA47" s="827"/>
      <c r="AB47" s="827"/>
      <c r="AC47" s="827"/>
      <c r="AD47" s="827"/>
      <c r="AE47" s="827"/>
      <c r="AF47" s="827"/>
      <c r="AG47" s="827"/>
      <c r="AH47" s="827"/>
      <c r="AI47" s="827"/>
      <c r="AJ47" s="827"/>
      <c r="AK47" s="827"/>
      <c r="AL47" s="827"/>
      <c r="AM47" s="827"/>
      <c r="AN47" s="827"/>
      <c r="AO47" s="827"/>
      <c r="AP47" s="827"/>
      <c r="AQ47" s="827"/>
      <c r="AR47" s="827"/>
      <c r="AS47" s="858"/>
    </row>
    <row r="48" spans="1:45" s="822" customFormat="1" ht="15" customHeight="1" x14ac:dyDescent="0.25">
      <c r="A48" s="859"/>
      <c r="B48" s="709"/>
      <c r="C48" s="709"/>
      <c r="D48" s="860"/>
      <c r="E48" s="483"/>
      <c r="F48" s="824"/>
      <c r="G48" s="515">
        <v>32</v>
      </c>
      <c r="H48" s="2641" t="s">
        <v>743</v>
      </c>
      <c r="I48" s="2642"/>
      <c r="J48" s="2642"/>
      <c r="K48" s="2642"/>
      <c r="L48" s="2642"/>
      <c r="M48" s="861"/>
      <c r="N48" s="862"/>
      <c r="O48" s="862"/>
      <c r="P48" s="863"/>
      <c r="Q48" s="862"/>
      <c r="R48" s="862"/>
      <c r="S48" s="863"/>
      <c r="T48" s="863"/>
      <c r="U48" s="863"/>
      <c r="V48" s="864"/>
      <c r="W48" s="865"/>
      <c r="X48" s="866"/>
      <c r="Y48" s="862"/>
      <c r="Z48" s="862"/>
      <c r="AA48" s="862"/>
      <c r="AB48" s="862"/>
      <c r="AC48" s="862"/>
      <c r="AD48" s="862"/>
      <c r="AE48" s="862"/>
      <c r="AF48" s="862"/>
      <c r="AG48" s="862"/>
      <c r="AH48" s="862"/>
      <c r="AI48" s="862"/>
      <c r="AJ48" s="862"/>
      <c r="AK48" s="862"/>
      <c r="AL48" s="862"/>
      <c r="AM48" s="862"/>
      <c r="AN48" s="862"/>
      <c r="AO48" s="862"/>
      <c r="AP48" s="862"/>
      <c r="AQ48" s="862"/>
      <c r="AR48" s="862"/>
      <c r="AS48" s="867"/>
    </row>
    <row r="49" spans="1:59" s="843" customFormat="1" ht="50.25" customHeight="1" x14ac:dyDescent="0.2">
      <c r="A49" s="840"/>
      <c r="B49" s="841"/>
      <c r="C49" s="841"/>
      <c r="D49" s="443"/>
      <c r="E49" s="2645"/>
      <c r="F49" s="2646"/>
      <c r="G49" s="531"/>
      <c r="H49" s="2643"/>
      <c r="I49" s="2644"/>
      <c r="J49" s="2618">
        <v>119</v>
      </c>
      <c r="K49" s="2057" t="s">
        <v>744</v>
      </c>
      <c r="L49" s="2057" t="s">
        <v>694</v>
      </c>
      <c r="M49" s="2620">
        <v>9</v>
      </c>
      <c r="N49" s="2628" t="s">
        <v>745</v>
      </c>
      <c r="O49" s="2628" t="s">
        <v>746</v>
      </c>
      <c r="P49" s="2057" t="s">
        <v>747</v>
      </c>
      <c r="Q49" s="2622">
        <f>(V49+V50+V51+V52)/R49</f>
        <v>1</v>
      </c>
      <c r="R49" s="2635">
        <f>SUM(V49:V52)</f>
        <v>550956761</v>
      </c>
      <c r="S49" s="2057" t="s">
        <v>748</v>
      </c>
      <c r="T49" s="2057" t="s">
        <v>749</v>
      </c>
      <c r="U49" s="704" t="s">
        <v>750</v>
      </c>
      <c r="V49" s="850">
        <v>306456761</v>
      </c>
      <c r="W49" s="2633">
        <v>20</v>
      </c>
      <c r="X49" s="2628" t="s">
        <v>61</v>
      </c>
      <c r="Y49" s="2628">
        <v>85278</v>
      </c>
      <c r="Z49" s="2628">
        <v>85277</v>
      </c>
      <c r="AA49" s="2626">
        <v>17056</v>
      </c>
      <c r="AB49" s="2626">
        <v>34111</v>
      </c>
      <c r="AC49" s="2626">
        <v>85278</v>
      </c>
      <c r="AD49" s="2626">
        <v>25582</v>
      </c>
      <c r="AE49" s="2626">
        <v>4263.875</v>
      </c>
      <c r="AF49" s="2626">
        <v>4264</v>
      </c>
      <c r="AG49" s="2626"/>
      <c r="AH49" s="2626"/>
      <c r="AI49" s="2626"/>
      <c r="AJ49" s="732"/>
      <c r="AK49" s="732"/>
      <c r="AL49" s="732"/>
      <c r="AM49" s="732"/>
      <c r="AN49" s="2626">
        <v>170555</v>
      </c>
      <c r="AO49" s="2628">
        <v>20</v>
      </c>
      <c r="AP49" s="2057" t="s">
        <v>751</v>
      </c>
      <c r="AQ49" s="2631">
        <v>43101</v>
      </c>
      <c r="AR49" s="2631">
        <v>43465</v>
      </c>
      <c r="AS49" s="2616" t="s">
        <v>692</v>
      </c>
    </row>
    <row r="50" spans="1:59" s="843" customFormat="1" ht="32.25" customHeight="1" x14ac:dyDescent="0.2">
      <c r="A50" s="840"/>
      <c r="B50" s="841"/>
      <c r="C50" s="841"/>
      <c r="D50" s="443"/>
      <c r="E50" s="2645"/>
      <c r="F50" s="2646"/>
      <c r="G50" s="531"/>
      <c r="H50" s="2645"/>
      <c r="I50" s="2646"/>
      <c r="J50" s="2619"/>
      <c r="K50" s="2630"/>
      <c r="L50" s="2630"/>
      <c r="M50" s="2621"/>
      <c r="N50" s="2629"/>
      <c r="O50" s="2629"/>
      <c r="P50" s="2630"/>
      <c r="Q50" s="2623"/>
      <c r="R50" s="2636"/>
      <c r="S50" s="2630"/>
      <c r="T50" s="2630"/>
      <c r="U50" s="702" t="s">
        <v>752</v>
      </c>
      <c r="V50" s="761">
        <v>1</v>
      </c>
      <c r="W50" s="2634"/>
      <c r="X50" s="2629"/>
      <c r="Y50" s="2629"/>
      <c r="Z50" s="2629"/>
      <c r="AA50" s="2627"/>
      <c r="AB50" s="2627"/>
      <c r="AC50" s="2627"/>
      <c r="AD50" s="2627"/>
      <c r="AE50" s="2627"/>
      <c r="AF50" s="2627"/>
      <c r="AG50" s="2627"/>
      <c r="AH50" s="2627"/>
      <c r="AI50" s="2627"/>
      <c r="AJ50" s="733"/>
      <c r="AK50" s="733"/>
      <c r="AL50" s="733"/>
      <c r="AM50" s="733"/>
      <c r="AN50" s="2627"/>
      <c r="AO50" s="2629"/>
      <c r="AP50" s="2630"/>
      <c r="AQ50" s="2632"/>
      <c r="AR50" s="2632"/>
      <c r="AS50" s="2617"/>
    </row>
    <row r="51" spans="1:59" s="843" customFormat="1" ht="38.25" customHeight="1" x14ac:dyDescent="0.2">
      <c r="A51" s="840"/>
      <c r="B51" s="841"/>
      <c r="C51" s="841"/>
      <c r="D51" s="443"/>
      <c r="E51" s="2645"/>
      <c r="F51" s="2646"/>
      <c r="G51" s="531"/>
      <c r="H51" s="2645"/>
      <c r="I51" s="2646"/>
      <c r="J51" s="2619"/>
      <c r="K51" s="2630"/>
      <c r="L51" s="2630"/>
      <c r="M51" s="2621"/>
      <c r="N51" s="2629"/>
      <c r="O51" s="2629"/>
      <c r="P51" s="2630"/>
      <c r="Q51" s="2623"/>
      <c r="R51" s="2636"/>
      <c r="S51" s="2630"/>
      <c r="T51" s="2648"/>
      <c r="U51" s="704" t="s">
        <v>753</v>
      </c>
      <c r="V51" s="868">
        <v>122249999</v>
      </c>
      <c r="W51" s="2634"/>
      <c r="X51" s="2629"/>
      <c r="Y51" s="2629"/>
      <c r="Z51" s="2629"/>
      <c r="AA51" s="2627"/>
      <c r="AB51" s="2627"/>
      <c r="AC51" s="2627"/>
      <c r="AD51" s="2627"/>
      <c r="AE51" s="2627"/>
      <c r="AF51" s="2627"/>
      <c r="AG51" s="2627"/>
      <c r="AH51" s="2627"/>
      <c r="AI51" s="2627"/>
      <c r="AJ51" s="733"/>
      <c r="AK51" s="733"/>
      <c r="AL51" s="733"/>
      <c r="AM51" s="733"/>
      <c r="AN51" s="2627"/>
      <c r="AO51" s="2629"/>
      <c r="AP51" s="2630"/>
      <c r="AQ51" s="2632"/>
      <c r="AR51" s="2632"/>
      <c r="AS51" s="2617"/>
    </row>
    <row r="52" spans="1:59" s="843" customFormat="1" ht="112.5" customHeight="1" x14ac:dyDescent="0.2">
      <c r="A52" s="840"/>
      <c r="B52" s="841"/>
      <c r="C52" s="841"/>
      <c r="D52" s="443"/>
      <c r="E52" s="2645"/>
      <c r="F52" s="2646"/>
      <c r="G52" s="531"/>
      <c r="H52" s="2655"/>
      <c r="I52" s="2656"/>
      <c r="J52" s="2657"/>
      <c r="K52" s="2648"/>
      <c r="L52" s="2648"/>
      <c r="M52" s="2650"/>
      <c r="N52" s="2639"/>
      <c r="O52" s="2639"/>
      <c r="P52" s="2648"/>
      <c r="Q52" s="2651"/>
      <c r="R52" s="2652"/>
      <c r="S52" s="2648"/>
      <c r="T52" s="725" t="s">
        <v>754</v>
      </c>
      <c r="U52" s="705" t="s">
        <v>755</v>
      </c>
      <c r="V52" s="868">
        <v>122250000</v>
      </c>
      <c r="W52" s="2649"/>
      <c r="X52" s="2639"/>
      <c r="Y52" s="2639"/>
      <c r="Z52" s="2639"/>
      <c r="AA52" s="2647"/>
      <c r="AB52" s="2647"/>
      <c r="AC52" s="2647"/>
      <c r="AD52" s="2647"/>
      <c r="AE52" s="2647"/>
      <c r="AF52" s="2647"/>
      <c r="AG52" s="2647"/>
      <c r="AH52" s="2647"/>
      <c r="AI52" s="2647"/>
      <c r="AJ52" s="869"/>
      <c r="AK52" s="869"/>
      <c r="AL52" s="869"/>
      <c r="AM52" s="869"/>
      <c r="AN52" s="2647"/>
      <c r="AO52" s="2639"/>
      <c r="AP52" s="2648"/>
      <c r="AQ52" s="2638"/>
      <c r="AR52" s="2638"/>
      <c r="AS52" s="2640"/>
    </row>
    <row r="53" spans="1:59" s="611" customFormat="1" ht="15" customHeight="1" x14ac:dyDescent="0.2">
      <c r="A53" s="832"/>
      <c r="B53" s="712"/>
      <c r="C53" s="712"/>
      <c r="D53" s="727"/>
      <c r="E53" s="2645"/>
      <c r="F53" s="2646"/>
      <c r="G53" s="515">
        <v>32</v>
      </c>
      <c r="H53" s="2641" t="s">
        <v>743</v>
      </c>
      <c r="I53" s="2642"/>
      <c r="J53" s="2642"/>
      <c r="K53" s="2642"/>
      <c r="L53" s="2642"/>
      <c r="M53" s="853"/>
      <c r="N53" s="835"/>
      <c r="O53" s="835"/>
      <c r="P53" s="834"/>
      <c r="Q53" s="835"/>
      <c r="R53" s="835"/>
      <c r="S53" s="834"/>
      <c r="T53" s="834"/>
      <c r="U53" s="834"/>
      <c r="V53" s="854"/>
      <c r="W53" s="838"/>
      <c r="X53" s="839"/>
      <c r="Y53" s="835"/>
      <c r="Z53" s="835"/>
      <c r="AA53" s="835"/>
      <c r="AB53" s="835"/>
      <c r="AC53" s="835"/>
      <c r="AD53" s="835"/>
      <c r="AE53" s="835"/>
      <c r="AF53" s="835"/>
      <c r="AG53" s="835"/>
      <c r="AH53" s="835"/>
      <c r="AI53" s="835"/>
      <c r="AJ53" s="835"/>
      <c r="AK53" s="835"/>
      <c r="AL53" s="835"/>
      <c r="AM53" s="835"/>
      <c r="AN53" s="835"/>
      <c r="AO53" s="835"/>
      <c r="AP53" s="835"/>
      <c r="AQ53" s="835"/>
      <c r="AR53" s="835"/>
      <c r="AS53" s="855"/>
    </row>
    <row r="54" spans="1:59" s="843" customFormat="1" ht="54.75" customHeight="1" x14ac:dyDescent="0.2">
      <c r="A54" s="840"/>
      <c r="B54" s="841"/>
      <c r="C54" s="841"/>
      <c r="D54" s="443"/>
      <c r="E54" s="2645"/>
      <c r="F54" s="2646"/>
      <c r="G54" s="531"/>
      <c r="H54" s="2643"/>
      <c r="I54" s="2644"/>
      <c r="J54" s="2618">
        <v>120</v>
      </c>
      <c r="K54" s="2098" t="s">
        <v>756</v>
      </c>
      <c r="L54" s="2057" t="s">
        <v>694</v>
      </c>
      <c r="M54" s="2620">
        <v>3</v>
      </c>
      <c r="N54" s="2628" t="s">
        <v>757</v>
      </c>
      <c r="O54" s="2628" t="s">
        <v>758</v>
      </c>
      <c r="P54" s="2057" t="s">
        <v>759</v>
      </c>
      <c r="Q54" s="2622">
        <f>(V54+V55)/R54</f>
        <v>0.86223636363636369</v>
      </c>
      <c r="R54" s="2635">
        <f>V54+V58+V55+V56+V57</f>
        <v>550000000</v>
      </c>
      <c r="S54" s="2057" t="s">
        <v>760</v>
      </c>
      <c r="T54" s="2637" t="s">
        <v>761</v>
      </c>
      <c r="U54" s="704" t="s">
        <v>762</v>
      </c>
      <c r="V54" s="850">
        <v>24229999</v>
      </c>
      <c r="W54" s="2633">
        <v>20</v>
      </c>
      <c r="X54" s="2628" t="s">
        <v>61</v>
      </c>
      <c r="Y54" s="2628">
        <v>142127</v>
      </c>
      <c r="Z54" s="2628">
        <v>142127</v>
      </c>
      <c r="AA54" s="2626">
        <v>85276</v>
      </c>
      <c r="AB54" s="2626">
        <v>85276</v>
      </c>
      <c r="AC54" s="2626">
        <v>99489</v>
      </c>
      <c r="AD54" s="2626">
        <v>14213</v>
      </c>
      <c r="AE54" s="2626"/>
      <c r="AF54" s="2626"/>
      <c r="AG54" s="2626"/>
      <c r="AH54" s="2626"/>
      <c r="AI54" s="2626"/>
      <c r="AJ54" s="732"/>
      <c r="AK54" s="732"/>
      <c r="AL54" s="732"/>
      <c r="AM54" s="732"/>
      <c r="AN54" s="2626">
        <f>+Y54+Z54</f>
        <v>284254</v>
      </c>
      <c r="AO54" s="2628">
        <v>20</v>
      </c>
      <c r="AP54" s="2057" t="s">
        <v>763</v>
      </c>
      <c r="AQ54" s="2631">
        <v>43101</v>
      </c>
      <c r="AR54" s="2631">
        <v>43465</v>
      </c>
      <c r="AS54" s="2616" t="s">
        <v>692</v>
      </c>
    </row>
    <row r="55" spans="1:59" s="843" customFormat="1" ht="68.25" customHeight="1" x14ac:dyDescent="0.2">
      <c r="A55" s="840"/>
      <c r="B55" s="841"/>
      <c r="C55" s="841"/>
      <c r="D55" s="443"/>
      <c r="E55" s="2645"/>
      <c r="F55" s="2646"/>
      <c r="G55" s="531"/>
      <c r="H55" s="2645"/>
      <c r="I55" s="2646"/>
      <c r="J55" s="2619"/>
      <c r="K55" s="2327"/>
      <c r="L55" s="2630"/>
      <c r="M55" s="2621"/>
      <c r="N55" s="2629"/>
      <c r="O55" s="2629"/>
      <c r="P55" s="2630"/>
      <c r="Q55" s="2623"/>
      <c r="R55" s="2636"/>
      <c r="S55" s="2630"/>
      <c r="T55" s="2637"/>
      <c r="U55" s="725" t="s">
        <v>764</v>
      </c>
      <c r="V55" s="846">
        <f>1+450000000</f>
        <v>450000001</v>
      </c>
      <c r="W55" s="2634"/>
      <c r="X55" s="2629"/>
      <c r="Y55" s="2629"/>
      <c r="Z55" s="2629"/>
      <c r="AA55" s="2627"/>
      <c r="AB55" s="2627"/>
      <c r="AC55" s="2627"/>
      <c r="AD55" s="2627"/>
      <c r="AE55" s="2627"/>
      <c r="AF55" s="2627"/>
      <c r="AG55" s="2627"/>
      <c r="AH55" s="2627"/>
      <c r="AI55" s="2627"/>
      <c r="AJ55" s="733"/>
      <c r="AK55" s="733"/>
      <c r="AL55" s="733"/>
      <c r="AM55" s="733"/>
      <c r="AN55" s="2627"/>
      <c r="AO55" s="2629"/>
      <c r="AP55" s="2630"/>
      <c r="AQ55" s="2632"/>
      <c r="AR55" s="2632"/>
      <c r="AS55" s="2617"/>
    </row>
    <row r="56" spans="1:59" s="843" customFormat="1" ht="56.25" customHeight="1" x14ac:dyDescent="0.2">
      <c r="A56" s="840"/>
      <c r="B56" s="841"/>
      <c r="C56" s="841"/>
      <c r="D56" s="443"/>
      <c r="E56" s="2645"/>
      <c r="F56" s="2646"/>
      <c r="G56" s="531"/>
      <c r="H56" s="2645"/>
      <c r="I56" s="2646"/>
      <c r="J56" s="2618">
        <v>121</v>
      </c>
      <c r="K56" s="2098" t="s">
        <v>765</v>
      </c>
      <c r="L56" s="2630"/>
      <c r="M56" s="2620">
        <v>4</v>
      </c>
      <c r="N56" s="2629"/>
      <c r="O56" s="2629"/>
      <c r="P56" s="2630"/>
      <c r="Q56" s="2622">
        <f>(V56+V57+V58)/R54</f>
        <v>0.13776363636363637</v>
      </c>
      <c r="R56" s="2636"/>
      <c r="S56" s="2630"/>
      <c r="T56" s="2624" t="s">
        <v>766</v>
      </c>
      <c r="U56" s="725" t="s">
        <v>767</v>
      </c>
      <c r="V56" s="846">
        <v>0</v>
      </c>
      <c r="W56" s="2634"/>
      <c r="X56" s="2629"/>
      <c r="Y56" s="2629"/>
      <c r="Z56" s="2629"/>
      <c r="AA56" s="2627"/>
      <c r="AB56" s="2627"/>
      <c r="AC56" s="2627"/>
      <c r="AD56" s="2627"/>
      <c r="AE56" s="2627"/>
      <c r="AF56" s="2627"/>
      <c r="AG56" s="2627"/>
      <c r="AH56" s="2627"/>
      <c r="AI56" s="2627"/>
      <c r="AJ56" s="733"/>
      <c r="AK56" s="733"/>
      <c r="AL56" s="733"/>
      <c r="AM56" s="733"/>
      <c r="AN56" s="2627"/>
      <c r="AO56" s="2629"/>
      <c r="AP56" s="2630"/>
      <c r="AQ56" s="2632"/>
      <c r="AR56" s="2632"/>
      <c r="AS56" s="2617"/>
    </row>
    <row r="57" spans="1:59" s="843" customFormat="1" ht="52.5" customHeight="1" x14ac:dyDescent="0.2">
      <c r="A57" s="840"/>
      <c r="B57" s="841"/>
      <c r="C57" s="841"/>
      <c r="D57" s="443"/>
      <c r="E57" s="2645"/>
      <c r="F57" s="2646"/>
      <c r="G57" s="531"/>
      <c r="H57" s="2645"/>
      <c r="I57" s="2646"/>
      <c r="J57" s="2619"/>
      <c r="K57" s="2327"/>
      <c r="L57" s="2630"/>
      <c r="M57" s="2621"/>
      <c r="N57" s="2629"/>
      <c r="O57" s="2629"/>
      <c r="P57" s="2630"/>
      <c r="Q57" s="2623"/>
      <c r="R57" s="2636"/>
      <c r="S57" s="2630"/>
      <c r="T57" s="2625"/>
      <c r="U57" s="725" t="s">
        <v>768</v>
      </c>
      <c r="V57" s="846">
        <v>55770000</v>
      </c>
      <c r="W57" s="2634"/>
      <c r="X57" s="2629"/>
      <c r="Y57" s="2629"/>
      <c r="Z57" s="2629"/>
      <c r="AA57" s="2627"/>
      <c r="AB57" s="2627"/>
      <c r="AC57" s="2627"/>
      <c r="AD57" s="2627"/>
      <c r="AE57" s="2627"/>
      <c r="AF57" s="2627"/>
      <c r="AG57" s="2627"/>
      <c r="AH57" s="2627"/>
      <c r="AI57" s="2627"/>
      <c r="AJ57" s="733"/>
      <c r="AK57" s="733"/>
      <c r="AL57" s="733"/>
      <c r="AM57" s="733"/>
      <c r="AN57" s="2627"/>
      <c r="AO57" s="2629"/>
      <c r="AP57" s="2630"/>
      <c r="AQ57" s="2632"/>
      <c r="AR57" s="2632"/>
      <c r="AS57" s="2617"/>
    </row>
    <row r="58" spans="1:59" s="611" customFormat="1" ht="66" customHeight="1" thickBot="1" x14ac:dyDescent="0.25">
      <c r="A58" s="840"/>
      <c r="B58" s="841"/>
      <c r="C58" s="841"/>
      <c r="D58" s="443"/>
      <c r="E58" s="2645"/>
      <c r="F58" s="2646"/>
      <c r="G58" s="531"/>
      <c r="H58" s="2645"/>
      <c r="I58" s="2646"/>
      <c r="J58" s="2619"/>
      <c r="K58" s="2327"/>
      <c r="L58" s="2630"/>
      <c r="M58" s="2621"/>
      <c r="N58" s="2629"/>
      <c r="O58" s="2629"/>
      <c r="P58" s="2630"/>
      <c r="Q58" s="2623"/>
      <c r="R58" s="2636"/>
      <c r="S58" s="2630"/>
      <c r="T58" s="2625"/>
      <c r="U58" s="724" t="s">
        <v>769</v>
      </c>
      <c r="V58" s="870">
        <v>20000000</v>
      </c>
      <c r="W58" s="2634"/>
      <c r="X58" s="2629"/>
      <c r="Y58" s="2629"/>
      <c r="Z58" s="2629"/>
      <c r="AA58" s="2627"/>
      <c r="AB58" s="2627"/>
      <c r="AC58" s="2627"/>
      <c r="AD58" s="2627"/>
      <c r="AE58" s="2627"/>
      <c r="AF58" s="2627"/>
      <c r="AG58" s="2627"/>
      <c r="AH58" s="2627"/>
      <c r="AI58" s="2627"/>
      <c r="AJ58" s="733"/>
      <c r="AK58" s="733"/>
      <c r="AL58" s="733"/>
      <c r="AM58" s="733"/>
      <c r="AN58" s="2627"/>
      <c r="AO58" s="2629"/>
      <c r="AP58" s="2630"/>
      <c r="AQ58" s="2632"/>
      <c r="AR58" s="2632"/>
      <c r="AS58" s="2617"/>
    </row>
    <row r="59" spans="1:59" s="610" customFormat="1" ht="16.5" thickBot="1" x14ac:dyDescent="0.25">
      <c r="A59" s="871"/>
      <c r="B59" s="872"/>
      <c r="C59" s="872"/>
      <c r="D59" s="872"/>
      <c r="E59" s="872"/>
      <c r="F59" s="872"/>
      <c r="G59" s="872"/>
      <c r="H59" s="872"/>
      <c r="I59" s="872"/>
      <c r="J59" s="873"/>
      <c r="K59" s="874"/>
      <c r="L59" s="874"/>
      <c r="M59" s="872"/>
      <c r="N59" s="765"/>
      <c r="O59" s="872"/>
      <c r="P59" s="875" t="s">
        <v>770</v>
      </c>
      <c r="Q59" s="876"/>
      <c r="R59" s="877">
        <f>SUM(R19:R58)</f>
        <v>5594720576</v>
      </c>
      <c r="S59" s="874"/>
      <c r="T59" s="874"/>
      <c r="U59" s="874"/>
      <c r="V59" s="878">
        <f>SUM(V19:V58)</f>
        <v>5594720576</v>
      </c>
      <c r="W59" s="879"/>
      <c r="X59" s="872"/>
      <c r="Y59" s="872"/>
      <c r="Z59" s="872"/>
      <c r="AA59" s="880"/>
      <c r="AB59" s="881"/>
      <c r="AC59" s="880"/>
      <c r="AD59" s="880"/>
      <c r="AE59" s="880"/>
      <c r="AF59" s="880"/>
      <c r="AG59" s="880"/>
      <c r="AH59" s="880"/>
      <c r="AI59" s="880"/>
      <c r="AJ59" s="880"/>
      <c r="AK59" s="880"/>
      <c r="AL59" s="880"/>
      <c r="AM59" s="880"/>
      <c r="AN59" s="880"/>
      <c r="AO59" s="874"/>
      <c r="AP59" s="874"/>
      <c r="AQ59" s="882"/>
      <c r="AR59" s="882"/>
      <c r="AS59" s="883"/>
    </row>
    <row r="60" spans="1:59" s="611" customFormat="1" x14ac:dyDescent="0.2">
      <c r="A60" s="485"/>
      <c r="B60" s="485"/>
      <c r="C60" s="485"/>
      <c r="D60" s="485"/>
      <c r="E60" s="485"/>
      <c r="F60" s="485"/>
      <c r="G60" s="485"/>
      <c r="H60" s="485"/>
      <c r="I60" s="485"/>
      <c r="J60" s="485"/>
      <c r="K60" s="884"/>
      <c r="L60" s="884"/>
      <c r="M60" s="467"/>
      <c r="N60" s="885"/>
      <c r="O60" s="467"/>
      <c r="P60" s="884"/>
      <c r="Q60" s="481"/>
      <c r="R60" s="886"/>
      <c r="S60" s="884"/>
      <c r="T60" s="884"/>
      <c r="U60" s="884"/>
      <c r="V60" s="887"/>
      <c r="W60" s="480"/>
      <c r="X60" s="888"/>
      <c r="Y60" s="477"/>
      <c r="Z60" s="477"/>
      <c r="AA60" s="485"/>
      <c r="AB60" s="485"/>
      <c r="AC60" s="485"/>
      <c r="AD60" s="485"/>
      <c r="AE60" s="485"/>
      <c r="AF60" s="485"/>
      <c r="AG60" s="485"/>
      <c r="AH60" s="485"/>
      <c r="AI60" s="485"/>
      <c r="AJ60" s="485"/>
      <c r="AK60" s="485"/>
      <c r="AL60" s="485"/>
      <c r="AM60" s="485"/>
      <c r="AN60" s="485"/>
      <c r="AO60" s="632"/>
      <c r="AP60" s="632"/>
      <c r="AQ60" s="889"/>
      <c r="AR60" s="889"/>
    </row>
    <row r="61" spans="1:59" s="611" customFormat="1" x14ac:dyDescent="0.2">
      <c r="A61" s="485"/>
      <c r="B61" s="485"/>
      <c r="C61" s="485"/>
      <c r="D61" s="485"/>
      <c r="E61" s="485"/>
      <c r="F61" s="485"/>
      <c r="G61" s="485"/>
      <c r="H61" s="485"/>
      <c r="I61" s="485"/>
      <c r="J61" s="485"/>
      <c r="K61" s="884"/>
      <c r="L61" s="884"/>
      <c r="M61" s="467"/>
      <c r="N61" s="885"/>
      <c r="O61" s="467"/>
      <c r="P61" s="884"/>
      <c r="Q61" s="481"/>
      <c r="R61" s="886"/>
      <c r="S61" s="884"/>
      <c r="T61" s="884"/>
      <c r="U61" s="884"/>
      <c r="V61" s="887"/>
      <c r="W61" s="480"/>
      <c r="X61" s="888"/>
      <c r="Y61" s="477"/>
      <c r="Z61" s="477"/>
      <c r="AA61" s="485"/>
      <c r="AB61" s="485"/>
      <c r="AC61" s="485"/>
      <c r="AD61" s="485"/>
      <c r="AE61" s="485"/>
      <c r="AF61" s="485"/>
      <c r="AG61" s="485"/>
      <c r="AH61" s="485"/>
      <c r="AI61" s="485"/>
      <c r="AJ61" s="485"/>
      <c r="AK61" s="485"/>
      <c r="AL61" s="485"/>
      <c r="AM61" s="485"/>
      <c r="AN61" s="485"/>
      <c r="AO61" s="632"/>
      <c r="AP61" s="632"/>
      <c r="AQ61" s="889"/>
      <c r="AR61" s="889"/>
    </row>
    <row r="62" spans="1:59" s="611" customFormat="1" x14ac:dyDescent="0.2">
      <c r="A62" s="485"/>
      <c r="B62" s="485"/>
      <c r="C62" s="485"/>
      <c r="D62" s="485"/>
      <c r="E62" s="485"/>
      <c r="F62" s="485"/>
      <c r="G62" s="485"/>
      <c r="H62" s="485"/>
      <c r="I62" s="485"/>
      <c r="J62" s="485"/>
      <c r="K62" s="884"/>
      <c r="L62" s="884"/>
      <c r="M62" s="467"/>
      <c r="N62" s="885"/>
      <c r="O62" s="467"/>
      <c r="P62" s="884"/>
      <c r="Q62" s="481"/>
      <c r="R62" s="886"/>
      <c r="S62" s="884"/>
      <c r="T62" s="884"/>
      <c r="U62" s="884"/>
      <c r="V62" s="887"/>
      <c r="W62" s="480"/>
      <c r="X62" s="888"/>
      <c r="Y62" s="477"/>
      <c r="Z62" s="477"/>
      <c r="AA62" s="485"/>
      <c r="AB62" s="485"/>
      <c r="AC62" s="485"/>
      <c r="AD62" s="485"/>
      <c r="AE62" s="485"/>
      <c r="AF62" s="485"/>
      <c r="AG62" s="485"/>
      <c r="AH62" s="485"/>
      <c r="AI62" s="485"/>
      <c r="AJ62" s="485"/>
      <c r="AK62" s="485"/>
      <c r="AL62" s="485"/>
      <c r="AM62" s="485"/>
      <c r="AN62" s="485"/>
      <c r="AO62" s="632"/>
      <c r="AP62" s="632"/>
      <c r="AQ62" s="889"/>
      <c r="AR62" s="889"/>
    </row>
    <row r="63" spans="1:59" s="505" customFormat="1" ht="15.75" x14ac:dyDescent="0.25">
      <c r="A63" s="467"/>
      <c r="B63" s="467"/>
      <c r="C63" s="467"/>
      <c r="D63" s="2614" t="s">
        <v>771</v>
      </c>
      <c r="E63" s="2614"/>
      <c r="F63" s="2614"/>
      <c r="G63" s="2614"/>
      <c r="H63" s="2614"/>
      <c r="I63" s="2614"/>
      <c r="J63" s="467"/>
      <c r="K63" s="884"/>
      <c r="L63" s="884"/>
      <c r="M63" s="890"/>
      <c r="N63" s="891"/>
      <c r="O63" s="467"/>
      <c r="P63" s="884"/>
      <c r="Q63" s="892"/>
      <c r="R63" s="893"/>
      <c r="S63" s="894"/>
      <c r="T63" s="884"/>
      <c r="U63" s="884"/>
      <c r="V63" s="887"/>
      <c r="W63" s="480"/>
      <c r="X63" s="895"/>
      <c r="Y63" s="896"/>
      <c r="Z63" s="896"/>
      <c r="AA63" s="896"/>
      <c r="AB63" s="897"/>
      <c r="AC63" s="477"/>
      <c r="AD63" s="485"/>
      <c r="AE63" s="898"/>
      <c r="AF63" s="898"/>
      <c r="AG63" s="485"/>
      <c r="AH63" s="898"/>
      <c r="AI63" s="485"/>
      <c r="AJ63" s="485"/>
      <c r="AK63" s="485"/>
      <c r="AL63" s="485"/>
      <c r="AM63" s="485"/>
      <c r="AN63" s="485"/>
      <c r="AO63" s="489"/>
      <c r="AP63" s="899"/>
      <c r="AQ63" s="900"/>
      <c r="AR63" s="900"/>
      <c r="AS63" s="485"/>
      <c r="AT63" s="898"/>
      <c r="AU63" s="485"/>
      <c r="AV63" s="898"/>
      <c r="AW63" s="901"/>
      <c r="AX63" s="779"/>
      <c r="AY63" s="779"/>
      <c r="AZ63" s="779"/>
      <c r="BA63" s="901"/>
      <c r="BB63" s="901"/>
      <c r="BC63" s="902"/>
      <c r="BD63" s="903"/>
      <c r="BE63" s="904"/>
      <c r="BF63" s="905"/>
      <c r="BG63" s="906"/>
    </row>
    <row r="64" spans="1:59" s="505" customFormat="1" ht="15.75" x14ac:dyDescent="0.2">
      <c r="A64" s="467"/>
      <c r="B64" s="467"/>
      <c r="C64" s="467"/>
      <c r="D64" s="2615" t="s">
        <v>772</v>
      </c>
      <c r="E64" s="2615"/>
      <c r="F64" s="2615"/>
      <c r="G64" s="2615"/>
      <c r="H64" s="2615"/>
      <c r="I64" s="2615"/>
      <c r="J64" s="467"/>
      <c r="K64" s="884"/>
      <c r="L64" s="884"/>
      <c r="M64" s="890"/>
      <c r="N64" s="891"/>
      <c r="O64" s="467"/>
      <c r="P64" s="884"/>
      <c r="Q64" s="892"/>
      <c r="R64" s="893"/>
      <c r="S64" s="894"/>
      <c r="T64" s="884"/>
      <c r="U64" s="884"/>
      <c r="V64" s="907"/>
      <c r="W64" s="480"/>
      <c r="X64" s="895"/>
      <c r="Y64" s="896"/>
      <c r="Z64" s="896"/>
      <c r="AA64" s="896"/>
      <c r="AB64" s="897"/>
      <c r="AC64" s="477"/>
      <c r="AD64" s="485"/>
      <c r="AE64" s="898"/>
      <c r="AF64" s="898"/>
      <c r="AG64" s="485"/>
      <c r="AH64" s="898"/>
      <c r="AI64" s="485"/>
      <c r="AJ64" s="485"/>
      <c r="AK64" s="485"/>
      <c r="AL64" s="485"/>
      <c r="AM64" s="485"/>
      <c r="AN64" s="485"/>
      <c r="AO64" s="489"/>
      <c r="AP64" s="899"/>
      <c r="AQ64" s="900"/>
      <c r="AR64" s="900"/>
      <c r="AS64" s="485"/>
      <c r="AT64" s="898"/>
      <c r="AU64" s="485"/>
      <c r="AV64" s="898"/>
      <c r="AW64" s="901"/>
      <c r="AX64" s="908"/>
      <c r="AY64" s="908"/>
      <c r="AZ64" s="779"/>
      <c r="BA64" s="901"/>
      <c r="BB64" s="901"/>
      <c r="BC64" s="902"/>
      <c r="BD64" s="903"/>
      <c r="BE64" s="904"/>
      <c r="BF64" s="905"/>
      <c r="BG64" s="906"/>
    </row>
  </sheetData>
  <sheetProtection password="CBEB" sheet="1" objects="1" scenarios="1"/>
  <mergeCells count="302">
    <mergeCell ref="A1:AR4"/>
    <mergeCell ref="A5:M6"/>
    <mergeCell ref="P5:AS5"/>
    <mergeCell ref="P6:X6"/>
    <mergeCell ref="AQ6:AS6"/>
    <mergeCell ref="A7:A14"/>
    <mergeCell ref="B7:C14"/>
    <mergeCell ref="D7:D15"/>
    <mergeCell ref="E7:F15"/>
    <mergeCell ref="G7:G15"/>
    <mergeCell ref="O7:O14"/>
    <mergeCell ref="P7:P14"/>
    <mergeCell ref="Q7:Q14"/>
    <mergeCell ref="R7:R14"/>
    <mergeCell ref="S7:S15"/>
    <mergeCell ref="T7:T15"/>
    <mergeCell ref="J7:J15"/>
    <mergeCell ref="K7:K15"/>
    <mergeCell ref="L7:L15"/>
    <mergeCell ref="M7:M13"/>
    <mergeCell ref="N7:N14"/>
    <mergeCell ref="AN7:AN8"/>
    <mergeCell ref="AO7:AP7"/>
    <mergeCell ref="AO16:AS16"/>
    <mergeCell ref="V7:V14"/>
    <mergeCell ref="W7:W14"/>
    <mergeCell ref="X7:X14"/>
    <mergeCell ref="Y7:Z7"/>
    <mergeCell ref="AA7:AD7"/>
    <mergeCell ref="AL9:AL13"/>
    <mergeCell ref="AM9:AM13"/>
    <mergeCell ref="AN9:AN13"/>
    <mergeCell ref="E17:K17"/>
    <mergeCell ref="AO17:AS17"/>
    <mergeCell ref="AF9:AF13"/>
    <mergeCell ref="AG9:AG13"/>
    <mergeCell ref="AH9:AH13"/>
    <mergeCell ref="AI9:AI13"/>
    <mergeCell ref="AJ9:AJ13"/>
    <mergeCell ref="AK9:AK13"/>
    <mergeCell ref="AS7:AS15"/>
    <mergeCell ref="AO8:AO9"/>
    <mergeCell ref="AP8:AP9"/>
    <mergeCell ref="Y9:Y13"/>
    <mergeCell ref="Z9:Z13"/>
    <mergeCell ref="AA9:AA13"/>
    <mergeCell ref="AB9:AB13"/>
    <mergeCell ref="AC9:AC13"/>
    <mergeCell ref="AD9:AD13"/>
    <mergeCell ref="AE9:AE13"/>
    <mergeCell ref="AE7:AJ7"/>
    <mergeCell ref="AK7:AM7"/>
    <mergeCell ref="AQ7:AQ8"/>
    <mergeCell ref="AR7:AR8"/>
    <mergeCell ref="U7:U15"/>
    <mergeCell ref="H7:I15"/>
    <mergeCell ref="P19:P20"/>
    <mergeCell ref="Q19:Q20"/>
    <mergeCell ref="R19:R20"/>
    <mergeCell ref="S19:S20"/>
    <mergeCell ref="T19:T20"/>
    <mergeCell ref="U19:U20"/>
    <mergeCell ref="H18:K18"/>
    <mergeCell ref="AO18:AS18"/>
    <mergeCell ref="G19:G32"/>
    <mergeCell ref="H19:I32"/>
    <mergeCell ref="J19:J20"/>
    <mergeCell ref="K19:K20"/>
    <mergeCell ref="L19:L20"/>
    <mergeCell ref="M19:M20"/>
    <mergeCell ref="N19:N20"/>
    <mergeCell ref="O19:O20"/>
    <mergeCell ref="AB19:AB20"/>
    <mergeCell ref="AC19:AC20"/>
    <mergeCell ref="AD19:AD20"/>
    <mergeCell ref="AE19:AE20"/>
    <mergeCell ref="AF19:AF20"/>
    <mergeCell ref="AG19:AG20"/>
    <mergeCell ref="V19:V20"/>
    <mergeCell ref="W19:W20"/>
    <mergeCell ref="X19:X20"/>
    <mergeCell ref="Y19:Y20"/>
    <mergeCell ref="Z19:Z20"/>
    <mergeCell ref="AA19:AA20"/>
    <mergeCell ref="AN19:AN20"/>
    <mergeCell ref="AO19:AO20"/>
    <mergeCell ref="AP19:AP20"/>
    <mergeCell ref="AQ19:AQ20"/>
    <mergeCell ref="AR19:AR20"/>
    <mergeCell ref="AS19:AS20"/>
    <mergeCell ref="AH19:AH20"/>
    <mergeCell ref="AI19:AI20"/>
    <mergeCell ref="AJ19:AJ20"/>
    <mergeCell ref="AK19:AK20"/>
    <mergeCell ref="AL19:AL20"/>
    <mergeCell ref="AM19:AM20"/>
    <mergeCell ref="J21:J24"/>
    <mergeCell ref="K21:K24"/>
    <mergeCell ref="L21:L24"/>
    <mergeCell ref="M21:M24"/>
    <mergeCell ref="N21:N32"/>
    <mergeCell ref="O21:O32"/>
    <mergeCell ref="J29:J32"/>
    <mergeCell ref="K29:K32"/>
    <mergeCell ref="L29:L32"/>
    <mergeCell ref="M29:M32"/>
    <mergeCell ref="Z21:Z32"/>
    <mergeCell ref="AA21:AA32"/>
    <mergeCell ref="AB21:AB32"/>
    <mergeCell ref="AC21:AC32"/>
    <mergeCell ref="V25:V26"/>
    <mergeCell ref="W25:W26"/>
    <mergeCell ref="X25:X26"/>
    <mergeCell ref="AQ21:AQ32"/>
    <mergeCell ref="AR21:AR32"/>
    <mergeCell ref="AS21:AS32"/>
    <mergeCell ref="J25:J28"/>
    <mergeCell ref="K25:K28"/>
    <mergeCell ref="L25:L28"/>
    <mergeCell ref="M25:M28"/>
    <mergeCell ref="Q25:Q28"/>
    <mergeCell ref="T25:T28"/>
    <mergeCell ref="U25:U26"/>
    <mergeCell ref="AJ21:AJ32"/>
    <mergeCell ref="AK21:AK32"/>
    <mergeCell ref="AL21:AL32"/>
    <mergeCell ref="AM21:AM32"/>
    <mergeCell ref="AN21:AN32"/>
    <mergeCell ref="AP21:AP32"/>
    <mergeCell ref="AD21:AD32"/>
    <mergeCell ref="AE21:AE32"/>
    <mergeCell ref="AF21:AF32"/>
    <mergeCell ref="AG21:AG32"/>
    <mergeCell ref="AH21:AH32"/>
    <mergeCell ref="AI21:AI32"/>
    <mergeCell ref="V21:V22"/>
    <mergeCell ref="Y21:Y32"/>
    <mergeCell ref="S34:S37"/>
    <mergeCell ref="T34:T37"/>
    <mergeCell ref="U34:U36"/>
    <mergeCell ref="W29:W30"/>
    <mergeCell ref="X29:X30"/>
    <mergeCell ref="H33:K33"/>
    <mergeCell ref="H34:I37"/>
    <mergeCell ref="J34:J37"/>
    <mergeCell ref="K34:K37"/>
    <mergeCell ref="L34:L37"/>
    <mergeCell ref="M34:M37"/>
    <mergeCell ref="N34:N37"/>
    <mergeCell ref="O34:O37"/>
    <mergeCell ref="V29:V30"/>
    <mergeCell ref="P21:P32"/>
    <mergeCell ref="Q21:Q24"/>
    <mergeCell ref="R21:R32"/>
    <mergeCell ref="S21:S32"/>
    <mergeCell ref="T21:T24"/>
    <mergeCell ref="U21:U22"/>
    <mergeCell ref="Q29:Q32"/>
    <mergeCell ref="T29:T32"/>
    <mergeCell ref="U29:U30"/>
    <mergeCell ref="AQ34:AQ37"/>
    <mergeCell ref="AR34:AR37"/>
    <mergeCell ref="AS34:AS37"/>
    <mergeCell ref="AH34:AH37"/>
    <mergeCell ref="AI34:AI37"/>
    <mergeCell ref="AJ34:AJ37"/>
    <mergeCell ref="AK34:AK37"/>
    <mergeCell ref="AL34:AL37"/>
    <mergeCell ref="AM34:AM37"/>
    <mergeCell ref="H38:K38"/>
    <mergeCell ref="H39:I46"/>
    <mergeCell ref="J39:J46"/>
    <mergeCell ref="K39:K46"/>
    <mergeCell ref="L39:L46"/>
    <mergeCell ref="M39:M46"/>
    <mergeCell ref="AN34:AN37"/>
    <mergeCell ref="AO34:AO37"/>
    <mergeCell ref="AP34:AP37"/>
    <mergeCell ref="AB34:AB37"/>
    <mergeCell ref="AC34:AC37"/>
    <mergeCell ref="AD34:AD37"/>
    <mergeCell ref="AE34:AE37"/>
    <mergeCell ref="AF34:AF37"/>
    <mergeCell ref="AG34:AG37"/>
    <mergeCell ref="V34:V36"/>
    <mergeCell ref="W34:W37"/>
    <mergeCell ref="X34:X37"/>
    <mergeCell ref="Y34:Y37"/>
    <mergeCell ref="Z34:Z37"/>
    <mergeCell ref="AA34:AA37"/>
    <mergeCell ref="P34:P37"/>
    <mergeCell ref="Q34:Q37"/>
    <mergeCell ref="R34:R37"/>
    <mergeCell ref="T39:T43"/>
    <mergeCell ref="U39:U40"/>
    <mergeCell ref="V39:V40"/>
    <mergeCell ref="W39:W46"/>
    <mergeCell ref="X39:X46"/>
    <mergeCell ref="Y39:Y46"/>
    <mergeCell ref="N39:N46"/>
    <mergeCell ref="O39:O46"/>
    <mergeCell ref="P39:P46"/>
    <mergeCell ref="Q39:Q43"/>
    <mergeCell ref="R39:R46"/>
    <mergeCell ref="S39:S46"/>
    <mergeCell ref="AR39:AR46"/>
    <mergeCell ref="AS39:AS46"/>
    <mergeCell ref="Q44:Q46"/>
    <mergeCell ref="T44:T46"/>
    <mergeCell ref="U44:U45"/>
    <mergeCell ref="V44:V45"/>
    <mergeCell ref="AL39:AL46"/>
    <mergeCell ref="AM39:AM46"/>
    <mergeCell ref="AN39:AN46"/>
    <mergeCell ref="AO39:AO46"/>
    <mergeCell ref="AP39:AP46"/>
    <mergeCell ref="AQ39:AQ46"/>
    <mergeCell ref="AF39:AF46"/>
    <mergeCell ref="AG39:AG46"/>
    <mergeCell ref="AH39:AH46"/>
    <mergeCell ref="AI39:AI46"/>
    <mergeCell ref="AJ39:AJ46"/>
    <mergeCell ref="AK39:AK46"/>
    <mergeCell ref="Z39:Z46"/>
    <mergeCell ref="AA39:AA46"/>
    <mergeCell ref="AB39:AB46"/>
    <mergeCell ref="AC39:AC46"/>
    <mergeCell ref="AD39:AD46"/>
    <mergeCell ref="AE39:AE46"/>
    <mergeCell ref="M49:M52"/>
    <mergeCell ref="N49:N52"/>
    <mergeCell ref="O49:O52"/>
    <mergeCell ref="P49:P52"/>
    <mergeCell ref="Q49:Q52"/>
    <mergeCell ref="R49:R52"/>
    <mergeCell ref="E47:K47"/>
    <mergeCell ref="H48:L48"/>
    <mergeCell ref="E49:F58"/>
    <mergeCell ref="H49:I52"/>
    <mergeCell ref="J49:J52"/>
    <mergeCell ref="K49:K52"/>
    <mergeCell ref="L49:L52"/>
    <mergeCell ref="AR49:AR52"/>
    <mergeCell ref="AS49:AS52"/>
    <mergeCell ref="H53:L53"/>
    <mergeCell ref="H54:I58"/>
    <mergeCell ref="J54:J55"/>
    <mergeCell ref="K54:K55"/>
    <mergeCell ref="L54:L58"/>
    <mergeCell ref="M54:M55"/>
    <mergeCell ref="N54:N58"/>
    <mergeCell ref="AG49:AG52"/>
    <mergeCell ref="AH49:AH52"/>
    <mergeCell ref="AI49:AI52"/>
    <mergeCell ref="AN49:AN52"/>
    <mergeCell ref="AO49:AO52"/>
    <mergeCell ref="AP49:AP52"/>
    <mergeCell ref="AA49:AA52"/>
    <mergeCell ref="AB49:AB52"/>
    <mergeCell ref="AC49:AC52"/>
    <mergeCell ref="AD49:AD52"/>
    <mergeCell ref="AE49:AE52"/>
    <mergeCell ref="AF49:AF52"/>
    <mergeCell ref="S49:S52"/>
    <mergeCell ref="T49:T51"/>
    <mergeCell ref="W49:W52"/>
    <mergeCell ref="AA54:AA58"/>
    <mergeCell ref="AB54:AB58"/>
    <mergeCell ref="O54:O58"/>
    <mergeCell ref="P54:P58"/>
    <mergeCell ref="Q54:Q55"/>
    <mergeCell ref="R54:R58"/>
    <mergeCell ref="S54:S58"/>
    <mergeCell ref="T54:T55"/>
    <mergeCell ref="AQ49:AQ52"/>
    <mergeCell ref="X49:X52"/>
    <mergeCell ref="Y49:Y52"/>
    <mergeCell ref="Z49:Z52"/>
    <mergeCell ref="D63:I63"/>
    <mergeCell ref="D64:I64"/>
    <mergeCell ref="AS54:AS58"/>
    <mergeCell ref="J56:J58"/>
    <mergeCell ref="K56:K58"/>
    <mergeCell ref="M56:M58"/>
    <mergeCell ref="Q56:Q58"/>
    <mergeCell ref="T56:T58"/>
    <mergeCell ref="AI54:AI58"/>
    <mergeCell ref="AN54:AN58"/>
    <mergeCell ref="AO54:AO58"/>
    <mergeCell ref="AP54:AP58"/>
    <mergeCell ref="AQ54:AQ58"/>
    <mergeCell ref="AR54:AR58"/>
    <mergeCell ref="AC54:AC58"/>
    <mergeCell ref="AD54:AD58"/>
    <mergeCell ref="AE54:AE58"/>
    <mergeCell ref="AF54:AF58"/>
    <mergeCell ref="AG54:AG58"/>
    <mergeCell ref="AH54:AH58"/>
    <mergeCell ref="W54:W58"/>
    <mergeCell ref="X54:X58"/>
    <mergeCell ref="Y54:Y58"/>
    <mergeCell ref="Z54:Z58"/>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7030A0"/>
  </sheetPr>
  <dimension ref="A1:BK101"/>
  <sheetViews>
    <sheetView showGridLines="0" topLeftCell="L1" zoomScale="70" zoomScaleNormal="70" workbookViewId="0">
      <pane ySplit="8" topLeftCell="A9" activePane="bottomLeft" state="frozen"/>
      <selection pane="bottomLeft" activeCell="S12" sqref="S12:S21"/>
    </sheetView>
  </sheetViews>
  <sheetFormatPr baseColWidth="10" defaultColWidth="11.42578125" defaultRowHeight="11.25" customHeight="1" x14ac:dyDescent="0.2"/>
  <cols>
    <col min="1" max="1" width="13.140625" style="787" customWidth="1"/>
    <col min="2" max="2" width="4" style="485" customWidth="1"/>
    <col min="3" max="3" width="17.140625" style="485" customWidth="1"/>
    <col min="4" max="4" width="14.7109375" style="485" customWidth="1"/>
    <col min="5" max="5" width="10" style="485" customWidth="1"/>
    <col min="6" max="6" width="10.85546875" style="485" customWidth="1"/>
    <col min="7" max="7" width="16.28515625" style="485" customWidth="1"/>
    <col min="8" max="8" width="8.5703125" style="485" customWidth="1"/>
    <col min="9" max="9" width="19.7109375" style="485" customWidth="1"/>
    <col min="10" max="10" width="17.5703125" style="485" customWidth="1"/>
    <col min="11" max="11" width="32.42578125" style="477" customWidth="1"/>
    <col min="12" max="12" width="22.7109375" style="468" customWidth="1"/>
    <col min="13" max="13" width="22.5703125" style="467" customWidth="1"/>
    <col min="14" max="14" width="35.5703125" style="467" customWidth="1"/>
    <col min="15" max="15" width="20.42578125" style="1079" customWidth="1"/>
    <col min="16" max="16" width="25" style="477" customWidth="1"/>
    <col min="17" max="17" width="18.5703125" style="1072" customWidth="1"/>
    <col min="18" max="18" width="24.42578125" style="1073" customWidth="1"/>
    <col min="19" max="19" width="24.5703125" style="477" customWidth="1"/>
    <col min="20" max="20" width="33.7109375" style="477" customWidth="1"/>
    <col min="21" max="21" width="35.7109375" style="477" customWidth="1"/>
    <col min="22" max="22" width="24.85546875" style="476" customWidth="1"/>
    <col min="23" max="23" width="16.5703125" style="480" customWidth="1"/>
    <col min="24" max="24" width="20.28515625" style="481" customWidth="1"/>
    <col min="25" max="25" width="12.42578125" style="485" customWidth="1"/>
    <col min="26" max="26" width="12.85546875" style="485" customWidth="1"/>
    <col min="27" max="28" width="8.28515625" style="485" customWidth="1"/>
    <col min="29" max="29" width="13.5703125" style="485" customWidth="1"/>
    <col min="30" max="30" width="9.5703125" style="485" customWidth="1"/>
    <col min="31" max="31" width="6.28515625" style="485" customWidth="1"/>
    <col min="32" max="32" width="5.85546875" style="485" customWidth="1"/>
    <col min="33" max="34" width="4.42578125" style="485" customWidth="1"/>
    <col min="35" max="35" width="5" style="485" customWidth="1"/>
    <col min="36" max="36" width="5.85546875" style="485" customWidth="1"/>
    <col min="37" max="37" width="6.140625" style="485" customWidth="1"/>
    <col min="38" max="38" width="6.28515625" style="485" customWidth="1"/>
    <col min="39" max="39" width="7.7109375" style="485" customWidth="1"/>
    <col min="40" max="40" width="14.7109375" style="485" customWidth="1"/>
    <col min="41" max="41" width="17.85546875" style="785" customWidth="1"/>
    <col min="42" max="42" width="22.85546875" style="786" customWidth="1"/>
    <col min="43" max="43" width="25.140625" style="488" customWidth="1"/>
    <col min="44" max="256" width="11.42578125" style="485"/>
    <col min="257" max="257" width="13.140625" style="485" customWidth="1"/>
    <col min="258" max="258" width="4" style="485" customWidth="1"/>
    <col min="259" max="259" width="12.85546875" style="485" customWidth="1"/>
    <col min="260" max="260" width="14.7109375" style="485" customWidth="1"/>
    <col min="261" max="261" width="10" style="485" customWidth="1"/>
    <col min="262" max="262" width="6.28515625" style="485" customWidth="1"/>
    <col min="263" max="263" width="12.28515625" style="485" customWidth="1"/>
    <col min="264" max="264" width="8.5703125" style="485" customWidth="1"/>
    <col min="265" max="265" width="13.7109375" style="485" customWidth="1"/>
    <col min="266" max="266" width="11.5703125" style="485" customWidth="1"/>
    <col min="267" max="267" width="24.7109375" style="485" customWidth="1"/>
    <col min="268" max="268" width="17.42578125" style="485" customWidth="1"/>
    <col min="269" max="269" width="20.85546875" style="485" customWidth="1"/>
    <col min="270" max="270" width="26.85546875" style="485" customWidth="1"/>
    <col min="271" max="271" width="8" style="485" customWidth="1"/>
    <col min="272" max="272" width="25" style="485" customWidth="1"/>
    <col min="273" max="273" width="12.7109375" style="485" customWidth="1"/>
    <col min="274" max="274" width="16.42578125" style="485" customWidth="1"/>
    <col min="275" max="275" width="23.5703125" style="485" customWidth="1"/>
    <col min="276" max="276" width="33.7109375" style="485" customWidth="1"/>
    <col min="277" max="277" width="31.140625" style="485" customWidth="1"/>
    <col min="278" max="278" width="19.28515625" style="485" customWidth="1"/>
    <col min="279" max="279" width="11.7109375" style="485" customWidth="1"/>
    <col min="280" max="280" width="15.42578125" style="485" customWidth="1"/>
    <col min="281" max="281" width="5.5703125" style="485" customWidth="1"/>
    <col min="282" max="282" width="4.7109375" style="485" customWidth="1"/>
    <col min="283" max="284" width="7.28515625" style="485" customWidth="1"/>
    <col min="285" max="285" width="8.42578125" style="485" customWidth="1"/>
    <col min="286" max="286" width="9.5703125" style="485" customWidth="1"/>
    <col min="287" max="287" width="6.28515625" style="485" customWidth="1"/>
    <col min="288" max="288" width="5.85546875" style="485" customWidth="1"/>
    <col min="289" max="290" width="4.42578125" style="485" customWidth="1"/>
    <col min="291" max="291" width="5" style="485" customWidth="1"/>
    <col min="292" max="292" width="5.85546875" style="485" customWidth="1"/>
    <col min="293" max="293" width="6.140625" style="485" customWidth="1"/>
    <col min="294" max="294" width="6.28515625" style="485" customWidth="1"/>
    <col min="295" max="295" width="4.85546875" style="485" customWidth="1"/>
    <col min="296" max="296" width="8.140625" style="485" customWidth="1"/>
    <col min="297" max="297" width="11.5703125" style="485" customWidth="1"/>
    <col min="298" max="298" width="13.7109375" style="485" customWidth="1"/>
    <col min="299" max="299" width="20.85546875" style="485" customWidth="1"/>
    <col min="300" max="512" width="11.42578125" style="485"/>
    <col min="513" max="513" width="13.140625" style="485" customWidth="1"/>
    <col min="514" max="514" width="4" style="485" customWidth="1"/>
    <col min="515" max="515" width="12.85546875" style="485" customWidth="1"/>
    <col min="516" max="516" width="14.7109375" style="485" customWidth="1"/>
    <col min="517" max="517" width="10" style="485" customWidth="1"/>
    <col min="518" max="518" width="6.28515625" style="485" customWidth="1"/>
    <col min="519" max="519" width="12.28515625" style="485" customWidth="1"/>
    <col min="520" max="520" width="8.5703125" style="485" customWidth="1"/>
    <col min="521" max="521" width="13.7109375" style="485" customWidth="1"/>
    <col min="522" max="522" width="11.5703125" style="485" customWidth="1"/>
    <col min="523" max="523" width="24.7109375" style="485" customWidth="1"/>
    <col min="524" max="524" width="17.42578125" style="485" customWidth="1"/>
    <col min="525" max="525" width="20.85546875" style="485" customWidth="1"/>
    <col min="526" max="526" width="26.85546875" style="485" customWidth="1"/>
    <col min="527" max="527" width="8" style="485" customWidth="1"/>
    <col min="528" max="528" width="25" style="485" customWidth="1"/>
    <col min="529" max="529" width="12.7109375" style="485" customWidth="1"/>
    <col min="530" max="530" width="16.42578125" style="485" customWidth="1"/>
    <col min="531" max="531" width="23.5703125" style="485" customWidth="1"/>
    <col min="532" max="532" width="33.7109375" style="485" customWidth="1"/>
    <col min="533" max="533" width="31.140625" style="485" customWidth="1"/>
    <col min="534" max="534" width="19.28515625" style="485" customWidth="1"/>
    <col min="535" max="535" width="11.7109375" style="485" customWidth="1"/>
    <col min="536" max="536" width="15.42578125" style="485" customWidth="1"/>
    <col min="537" max="537" width="5.5703125" style="485" customWidth="1"/>
    <col min="538" max="538" width="4.7109375" style="485" customWidth="1"/>
    <col min="539" max="540" width="7.28515625" style="485" customWidth="1"/>
    <col min="541" max="541" width="8.42578125" style="485" customWidth="1"/>
    <col min="542" max="542" width="9.5703125" style="485" customWidth="1"/>
    <col min="543" max="543" width="6.28515625" style="485" customWidth="1"/>
    <col min="544" max="544" width="5.85546875" style="485" customWidth="1"/>
    <col min="545" max="546" width="4.42578125" style="485" customWidth="1"/>
    <col min="547" max="547" width="5" style="485" customWidth="1"/>
    <col min="548" max="548" width="5.85546875" style="485" customWidth="1"/>
    <col min="549" max="549" width="6.140625" style="485" customWidth="1"/>
    <col min="550" max="550" width="6.28515625" style="485" customWidth="1"/>
    <col min="551" max="551" width="4.85546875" style="485" customWidth="1"/>
    <col min="552" max="552" width="8.140625" style="485" customWidth="1"/>
    <col min="553" max="553" width="11.5703125" style="485" customWidth="1"/>
    <col min="554" max="554" width="13.7109375" style="485" customWidth="1"/>
    <col min="555" max="555" width="20.85546875" style="485" customWidth="1"/>
    <col min="556" max="768" width="11.42578125" style="485"/>
    <col min="769" max="769" width="13.140625" style="485" customWidth="1"/>
    <col min="770" max="770" width="4" style="485" customWidth="1"/>
    <col min="771" max="771" width="12.85546875" style="485" customWidth="1"/>
    <col min="772" max="772" width="14.7109375" style="485" customWidth="1"/>
    <col min="773" max="773" width="10" style="485" customWidth="1"/>
    <col min="774" max="774" width="6.28515625" style="485" customWidth="1"/>
    <col min="775" max="775" width="12.28515625" style="485" customWidth="1"/>
    <col min="776" max="776" width="8.5703125" style="485" customWidth="1"/>
    <col min="777" max="777" width="13.7109375" style="485" customWidth="1"/>
    <col min="778" max="778" width="11.5703125" style="485" customWidth="1"/>
    <col min="779" max="779" width="24.7109375" style="485" customWidth="1"/>
    <col min="780" max="780" width="17.42578125" style="485" customWidth="1"/>
    <col min="781" max="781" width="20.85546875" style="485" customWidth="1"/>
    <col min="782" max="782" width="26.85546875" style="485" customWidth="1"/>
    <col min="783" max="783" width="8" style="485" customWidth="1"/>
    <col min="784" max="784" width="25" style="485" customWidth="1"/>
    <col min="785" max="785" width="12.7109375" style="485" customWidth="1"/>
    <col min="786" max="786" width="16.42578125" style="485" customWidth="1"/>
    <col min="787" max="787" width="23.5703125" style="485" customWidth="1"/>
    <col min="788" max="788" width="33.7109375" style="485" customWidth="1"/>
    <col min="789" max="789" width="31.140625" style="485" customWidth="1"/>
    <col min="790" max="790" width="19.28515625" style="485" customWidth="1"/>
    <col min="791" max="791" width="11.7109375" style="485" customWidth="1"/>
    <col min="792" max="792" width="15.42578125" style="485" customWidth="1"/>
    <col min="793" max="793" width="5.5703125" style="485" customWidth="1"/>
    <col min="794" max="794" width="4.7109375" style="485" customWidth="1"/>
    <col min="795" max="796" width="7.28515625" style="485" customWidth="1"/>
    <col min="797" max="797" width="8.42578125" style="485" customWidth="1"/>
    <col min="798" max="798" width="9.5703125" style="485" customWidth="1"/>
    <col min="799" max="799" width="6.28515625" style="485" customWidth="1"/>
    <col min="800" max="800" width="5.85546875" style="485" customWidth="1"/>
    <col min="801" max="802" width="4.42578125" style="485" customWidth="1"/>
    <col min="803" max="803" width="5" style="485" customWidth="1"/>
    <col min="804" max="804" width="5.85546875" style="485" customWidth="1"/>
    <col min="805" max="805" width="6.140625" style="485" customWidth="1"/>
    <col min="806" max="806" width="6.28515625" style="485" customWidth="1"/>
    <col min="807" max="807" width="4.85546875" style="485" customWidth="1"/>
    <col min="808" max="808" width="8.140625" style="485" customWidth="1"/>
    <col min="809" max="809" width="11.5703125" style="485" customWidth="1"/>
    <col min="810" max="810" width="13.7109375" style="485" customWidth="1"/>
    <col min="811" max="811" width="20.85546875" style="485" customWidth="1"/>
    <col min="812" max="1024" width="11.42578125" style="485"/>
    <col min="1025" max="1025" width="13.140625" style="485" customWidth="1"/>
    <col min="1026" max="1026" width="4" style="485" customWidth="1"/>
    <col min="1027" max="1027" width="12.85546875" style="485" customWidth="1"/>
    <col min="1028" max="1028" width="14.7109375" style="485" customWidth="1"/>
    <col min="1029" max="1029" width="10" style="485" customWidth="1"/>
    <col min="1030" max="1030" width="6.28515625" style="485" customWidth="1"/>
    <col min="1031" max="1031" width="12.28515625" style="485" customWidth="1"/>
    <col min="1032" max="1032" width="8.5703125" style="485" customWidth="1"/>
    <col min="1033" max="1033" width="13.7109375" style="485" customWidth="1"/>
    <col min="1034" max="1034" width="11.5703125" style="485" customWidth="1"/>
    <col min="1035" max="1035" width="24.7109375" style="485" customWidth="1"/>
    <col min="1036" max="1036" width="17.42578125" style="485" customWidth="1"/>
    <col min="1037" max="1037" width="20.85546875" style="485" customWidth="1"/>
    <col min="1038" max="1038" width="26.85546875" style="485" customWidth="1"/>
    <col min="1039" max="1039" width="8" style="485" customWidth="1"/>
    <col min="1040" max="1040" width="25" style="485" customWidth="1"/>
    <col min="1041" max="1041" width="12.7109375" style="485" customWidth="1"/>
    <col min="1042" max="1042" width="16.42578125" style="485" customWidth="1"/>
    <col min="1043" max="1043" width="23.5703125" style="485" customWidth="1"/>
    <col min="1044" max="1044" width="33.7109375" style="485" customWidth="1"/>
    <col min="1045" max="1045" width="31.140625" style="485" customWidth="1"/>
    <col min="1046" max="1046" width="19.28515625" style="485" customWidth="1"/>
    <col min="1047" max="1047" width="11.7109375" style="485" customWidth="1"/>
    <col min="1048" max="1048" width="15.42578125" style="485" customWidth="1"/>
    <col min="1049" max="1049" width="5.5703125" style="485" customWidth="1"/>
    <col min="1050" max="1050" width="4.7109375" style="485" customWidth="1"/>
    <col min="1051" max="1052" width="7.28515625" style="485" customWidth="1"/>
    <col min="1053" max="1053" width="8.42578125" style="485" customWidth="1"/>
    <col min="1054" max="1054" width="9.5703125" style="485" customWidth="1"/>
    <col min="1055" max="1055" width="6.28515625" style="485" customWidth="1"/>
    <col min="1056" max="1056" width="5.85546875" style="485" customWidth="1"/>
    <col min="1057" max="1058" width="4.42578125" style="485" customWidth="1"/>
    <col min="1059" max="1059" width="5" style="485" customWidth="1"/>
    <col min="1060" max="1060" width="5.85546875" style="485" customWidth="1"/>
    <col min="1061" max="1061" width="6.140625" style="485" customWidth="1"/>
    <col min="1062" max="1062" width="6.28515625" style="485" customWidth="1"/>
    <col min="1063" max="1063" width="4.85546875" style="485" customWidth="1"/>
    <col min="1064" max="1064" width="8.140625" style="485" customWidth="1"/>
    <col min="1065" max="1065" width="11.5703125" style="485" customWidth="1"/>
    <col min="1066" max="1066" width="13.7109375" style="485" customWidth="1"/>
    <col min="1067" max="1067" width="20.85546875" style="485" customWidth="1"/>
    <col min="1068" max="1280" width="11.42578125" style="485"/>
    <col min="1281" max="1281" width="13.140625" style="485" customWidth="1"/>
    <col min="1282" max="1282" width="4" style="485" customWidth="1"/>
    <col min="1283" max="1283" width="12.85546875" style="485" customWidth="1"/>
    <col min="1284" max="1284" width="14.7109375" style="485" customWidth="1"/>
    <col min="1285" max="1285" width="10" style="485" customWidth="1"/>
    <col min="1286" max="1286" width="6.28515625" style="485" customWidth="1"/>
    <col min="1287" max="1287" width="12.28515625" style="485" customWidth="1"/>
    <col min="1288" max="1288" width="8.5703125" style="485" customWidth="1"/>
    <col min="1289" max="1289" width="13.7109375" style="485" customWidth="1"/>
    <col min="1290" max="1290" width="11.5703125" style="485" customWidth="1"/>
    <col min="1291" max="1291" width="24.7109375" style="485" customWidth="1"/>
    <col min="1292" max="1292" width="17.42578125" style="485" customWidth="1"/>
    <col min="1293" max="1293" width="20.85546875" style="485" customWidth="1"/>
    <col min="1294" max="1294" width="26.85546875" style="485" customWidth="1"/>
    <col min="1295" max="1295" width="8" style="485" customWidth="1"/>
    <col min="1296" max="1296" width="25" style="485" customWidth="1"/>
    <col min="1297" max="1297" width="12.7109375" style="485" customWidth="1"/>
    <col min="1298" max="1298" width="16.42578125" style="485" customWidth="1"/>
    <col min="1299" max="1299" width="23.5703125" style="485" customWidth="1"/>
    <col min="1300" max="1300" width="33.7109375" style="485" customWidth="1"/>
    <col min="1301" max="1301" width="31.140625" style="485" customWidth="1"/>
    <col min="1302" max="1302" width="19.28515625" style="485" customWidth="1"/>
    <col min="1303" max="1303" width="11.7109375" style="485" customWidth="1"/>
    <col min="1304" max="1304" width="15.42578125" style="485" customWidth="1"/>
    <col min="1305" max="1305" width="5.5703125" style="485" customWidth="1"/>
    <col min="1306" max="1306" width="4.7109375" style="485" customWidth="1"/>
    <col min="1307" max="1308" width="7.28515625" style="485" customWidth="1"/>
    <col min="1309" max="1309" width="8.42578125" style="485" customWidth="1"/>
    <col min="1310" max="1310" width="9.5703125" style="485" customWidth="1"/>
    <col min="1311" max="1311" width="6.28515625" style="485" customWidth="1"/>
    <col min="1312" max="1312" width="5.85546875" style="485" customWidth="1"/>
    <col min="1313" max="1314" width="4.42578125" style="485" customWidth="1"/>
    <col min="1315" max="1315" width="5" style="485" customWidth="1"/>
    <col min="1316" max="1316" width="5.85546875" style="485" customWidth="1"/>
    <col min="1317" max="1317" width="6.140625" style="485" customWidth="1"/>
    <col min="1318" max="1318" width="6.28515625" style="485" customWidth="1"/>
    <col min="1319" max="1319" width="4.85546875" style="485" customWidth="1"/>
    <col min="1320" max="1320" width="8.140625" style="485" customWidth="1"/>
    <col min="1321" max="1321" width="11.5703125" style="485" customWidth="1"/>
    <col min="1322" max="1322" width="13.7109375" style="485" customWidth="1"/>
    <col min="1323" max="1323" width="20.85546875" style="485" customWidth="1"/>
    <col min="1324" max="1536" width="11.42578125" style="485"/>
    <col min="1537" max="1537" width="13.140625" style="485" customWidth="1"/>
    <col min="1538" max="1538" width="4" style="485" customWidth="1"/>
    <col min="1539" max="1539" width="12.85546875" style="485" customWidth="1"/>
    <col min="1540" max="1540" width="14.7109375" style="485" customWidth="1"/>
    <col min="1541" max="1541" width="10" style="485" customWidth="1"/>
    <col min="1542" max="1542" width="6.28515625" style="485" customWidth="1"/>
    <col min="1543" max="1543" width="12.28515625" style="485" customWidth="1"/>
    <col min="1544" max="1544" width="8.5703125" style="485" customWidth="1"/>
    <col min="1545" max="1545" width="13.7109375" style="485" customWidth="1"/>
    <col min="1546" max="1546" width="11.5703125" style="485" customWidth="1"/>
    <col min="1547" max="1547" width="24.7109375" style="485" customWidth="1"/>
    <col min="1548" max="1548" width="17.42578125" style="485" customWidth="1"/>
    <col min="1549" max="1549" width="20.85546875" style="485" customWidth="1"/>
    <col min="1550" max="1550" width="26.85546875" style="485" customWidth="1"/>
    <col min="1551" max="1551" width="8" style="485" customWidth="1"/>
    <col min="1552" max="1552" width="25" style="485" customWidth="1"/>
    <col min="1553" max="1553" width="12.7109375" style="485" customWidth="1"/>
    <col min="1554" max="1554" width="16.42578125" style="485" customWidth="1"/>
    <col min="1555" max="1555" width="23.5703125" style="485" customWidth="1"/>
    <col min="1556" max="1556" width="33.7109375" style="485" customWidth="1"/>
    <col min="1557" max="1557" width="31.140625" style="485" customWidth="1"/>
    <col min="1558" max="1558" width="19.28515625" style="485" customWidth="1"/>
    <col min="1559" max="1559" width="11.7109375" style="485" customWidth="1"/>
    <col min="1560" max="1560" width="15.42578125" style="485" customWidth="1"/>
    <col min="1561" max="1561" width="5.5703125" style="485" customWidth="1"/>
    <col min="1562" max="1562" width="4.7109375" style="485" customWidth="1"/>
    <col min="1563" max="1564" width="7.28515625" style="485" customWidth="1"/>
    <col min="1565" max="1565" width="8.42578125" style="485" customWidth="1"/>
    <col min="1566" max="1566" width="9.5703125" style="485" customWidth="1"/>
    <col min="1567" max="1567" width="6.28515625" style="485" customWidth="1"/>
    <col min="1568" max="1568" width="5.85546875" style="485" customWidth="1"/>
    <col min="1569" max="1570" width="4.42578125" style="485" customWidth="1"/>
    <col min="1571" max="1571" width="5" style="485" customWidth="1"/>
    <col min="1572" max="1572" width="5.85546875" style="485" customWidth="1"/>
    <col min="1573" max="1573" width="6.140625" style="485" customWidth="1"/>
    <col min="1574" max="1574" width="6.28515625" style="485" customWidth="1"/>
    <col min="1575" max="1575" width="4.85546875" style="485" customWidth="1"/>
    <col min="1576" max="1576" width="8.140625" style="485" customWidth="1"/>
    <col min="1577" max="1577" width="11.5703125" style="485" customWidth="1"/>
    <col min="1578" max="1578" width="13.7109375" style="485" customWidth="1"/>
    <col min="1579" max="1579" width="20.85546875" style="485" customWidth="1"/>
    <col min="1580" max="1792" width="11.42578125" style="485"/>
    <col min="1793" max="1793" width="13.140625" style="485" customWidth="1"/>
    <col min="1794" max="1794" width="4" style="485" customWidth="1"/>
    <col min="1795" max="1795" width="12.85546875" style="485" customWidth="1"/>
    <col min="1796" max="1796" width="14.7109375" style="485" customWidth="1"/>
    <col min="1797" max="1797" width="10" style="485" customWidth="1"/>
    <col min="1798" max="1798" width="6.28515625" style="485" customWidth="1"/>
    <col min="1799" max="1799" width="12.28515625" style="485" customWidth="1"/>
    <col min="1800" max="1800" width="8.5703125" style="485" customWidth="1"/>
    <col min="1801" max="1801" width="13.7109375" style="485" customWidth="1"/>
    <col min="1802" max="1802" width="11.5703125" style="485" customWidth="1"/>
    <col min="1803" max="1803" width="24.7109375" style="485" customWidth="1"/>
    <col min="1804" max="1804" width="17.42578125" style="485" customWidth="1"/>
    <col min="1805" max="1805" width="20.85546875" style="485" customWidth="1"/>
    <col min="1806" max="1806" width="26.85546875" style="485" customWidth="1"/>
    <col min="1807" max="1807" width="8" style="485" customWidth="1"/>
    <col min="1808" max="1808" width="25" style="485" customWidth="1"/>
    <col min="1809" max="1809" width="12.7109375" style="485" customWidth="1"/>
    <col min="1810" max="1810" width="16.42578125" style="485" customWidth="1"/>
    <col min="1811" max="1811" width="23.5703125" style="485" customWidth="1"/>
    <col min="1812" max="1812" width="33.7109375" style="485" customWidth="1"/>
    <col min="1813" max="1813" width="31.140625" style="485" customWidth="1"/>
    <col min="1814" max="1814" width="19.28515625" style="485" customWidth="1"/>
    <col min="1815" max="1815" width="11.7109375" style="485" customWidth="1"/>
    <col min="1816" max="1816" width="15.42578125" style="485" customWidth="1"/>
    <col min="1817" max="1817" width="5.5703125" style="485" customWidth="1"/>
    <col min="1818" max="1818" width="4.7109375" style="485" customWidth="1"/>
    <col min="1819" max="1820" width="7.28515625" style="485" customWidth="1"/>
    <col min="1821" max="1821" width="8.42578125" style="485" customWidth="1"/>
    <col min="1822" max="1822" width="9.5703125" style="485" customWidth="1"/>
    <col min="1823" max="1823" width="6.28515625" style="485" customWidth="1"/>
    <col min="1824" max="1824" width="5.85546875" style="485" customWidth="1"/>
    <col min="1825" max="1826" width="4.42578125" style="485" customWidth="1"/>
    <col min="1827" max="1827" width="5" style="485" customWidth="1"/>
    <col min="1828" max="1828" width="5.85546875" style="485" customWidth="1"/>
    <col min="1829" max="1829" width="6.140625" style="485" customWidth="1"/>
    <col min="1830" max="1830" width="6.28515625" style="485" customWidth="1"/>
    <col min="1831" max="1831" width="4.85546875" style="485" customWidth="1"/>
    <col min="1832" max="1832" width="8.140625" style="485" customWidth="1"/>
    <col min="1833" max="1833" width="11.5703125" style="485" customWidth="1"/>
    <col min="1834" max="1834" width="13.7109375" style="485" customWidth="1"/>
    <col min="1835" max="1835" width="20.85546875" style="485" customWidth="1"/>
    <col min="1836" max="2048" width="11.42578125" style="485"/>
    <col min="2049" max="2049" width="13.140625" style="485" customWidth="1"/>
    <col min="2050" max="2050" width="4" style="485" customWidth="1"/>
    <col min="2051" max="2051" width="12.85546875" style="485" customWidth="1"/>
    <col min="2052" max="2052" width="14.7109375" style="485" customWidth="1"/>
    <col min="2053" max="2053" width="10" style="485" customWidth="1"/>
    <col min="2054" max="2054" width="6.28515625" style="485" customWidth="1"/>
    <col min="2055" max="2055" width="12.28515625" style="485" customWidth="1"/>
    <col min="2056" max="2056" width="8.5703125" style="485" customWidth="1"/>
    <col min="2057" max="2057" width="13.7109375" style="485" customWidth="1"/>
    <col min="2058" max="2058" width="11.5703125" style="485" customWidth="1"/>
    <col min="2059" max="2059" width="24.7109375" style="485" customWidth="1"/>
    <col min="2060" max="2060" width="17.42578125" style="485" customWidth="1"/>
    <col min="2061" max="2061" width="20.85546875" style="485" customWidth="1"/>
    <col min="2062" max="2062" width="26.85546875" style="485" customWidth="1"/>
    <col min="2063" max="2063" width="8" style="485" customWidth="1"/>
    <col min="2064" max="2064" width="25" style="485" customWidth="1"/>
    <col min="2065" max="2065" width="12.7109375" style="485" customWidth="1"/>
    <col min="2066" max="2066" width="16.42578125" style="485" customWidth="1"/>
    <col min="2067" max="2067" width="23.5703125" style="485" customWidth="1"/>
    <col min="2068" max="2068" width="33.7109375" style="485" customWidth="1"/>
    <col min="2069" max="2069" width="31.140625" style="485" customWidth="1"/>
    <col min="2070" max="2070" width="19.28515625" style="485" customWidth="1"/>
    <col min="2071" max="2071" width="11.7109375" style="485" customWidth="1"/>
    <col min="2072" max="2072" width="15.42578125" style="485" customWidth="1"/>
    <col min="2073" max="2073" width="5.5703125" style="485" customWidth="1"/>
    <col min="2074" max="2074" width="4.7109375" style="485" customWidth="1"/>
    <col min="2075" max="2076" width="7.28515625" style="485" customWidth="1"/>
    <col min="2077" max="2077" width="8.42578125" style="485" customWidth="1"/>
    <col min="2078" max="2078" width="9.5703125" style="485" customWidth="1"/>
    <col min="2079" max="2079" width="6.28515625" style="485" customWidth="1"/>
    <col min="2080" max="2080" width="5.85546875" style="485" customWidth="1"/>
    <col min="2081" max="2082" width="4.42578125" style="485" customWidth="1"/>
    <col min="2083" max="2083" width="5" style="485" customWidth="1"/>
    <col min="2084" max="2084" width="5.85546875" style="485" customWidth="1"/>
    <col min="2085" max="2085" width="6.140625" style="485" customWidth="1"/>
    <col min="2086" max="2086" width="6.28515625" style="485" customWidth="1"/>
    <col min="2087" max="2087" width="4.85546875" style="485" customWidth="1"/>
    <col min="2088" max="2088" width="8.140625" style="485" customWidth="1"/>
    <col min="2089" max="2089" width="11.5703125" style="485" customWidth="1"/>
    <col min="2090" max="2090" width="13.7109375" style="485" customWidth="1"/>
    <col min="2091" max="2091" width="20.85546875" style="485" customWidth="1"/>
    <col min="2092" max="2304" width="11.42578125" style="485"/>
    <col min="2305" max="2305" width="13.140625" style="485" customWidth="1"/>
    <col min="2306" max="2306" width="4" style="485" customWidth="1"/>
    <col min="2307" max="2307" width="12.85546875" style="485" customWidth="1"/>
    <col min="2308" max="2308" width="14.7109375" style="485" customWidth="1"/>
    <col min="2309" max="2309" width="10" style="485" customWidth="1"/>
    <col min="2310" max="2310" width="6.28515625" style="485" customWidth="1"/>
    <col min="2311" max="2311" width="12.28515625" style="485" customWidth="1"/>
    <col min="2312" max="2312" width="8.5703125" style="485" customWidth="1"/>
    <col min="2313" max="2313" width="13.7109375" style="485" customWidth="1"/>
    <col min="2314" max="2314" width="11.5703125" style="485" customWidth="1"/>
    <col min="2315" max="2315" width="24.7109375" style="485" customWidth="1"/>
    <col min="2316" max="2316" width="17.42578125" style="485" customWidth="1"/>
    <col min="2317" max="2317" width="20.85546875" style="485" customWidth="1"/>
    <col min="2318" max="2318" width="26.85546875" style="485" customWidth="1"/>
    <col min="2319" max="2319" width="8" style="485" customWidth="1"/>
    <col min="2320" max="2320" width="25" style="485" customWidth="1"/>
    <col min="2321" max="2321" width="12.7109375" style="485" customWidth="1"/>
    <col min="2322" max="2322" width="16.42578125" style="485" customWidth="1"/>
    <col min="2323" max="2323" width="23.5703125" style="485" customWidth="1"/>
    <col min="2324" max="2324" width="33.7109375" style="485" customWidth="1"/>
    <col min="2325" max="2325" width="31.140625" style="485" customWidth="1"/>
    <col min="2326" max="2326" width="19.28515625" style="485" customWidth="1"/>
    <col min="2327" max="2327" width="11.7109375" style="485" customWidth="1"/>
    <col min="2328" max="2328" width="15.42578125" style="485" customWidth="1"/>
    <col min="2329" max="2329" width="5.5703125" style="485" customWidth="1"/>
    <col min="2330" max="2330" width="4.7109375" style="485" customWidth="1"/>
    <col min="2331" max="2332" width="7.28515625" style="485" customWidth="1"/>
    <col min="2333" max="2333" width="8.42578125" style="485" customWidth="1"/>
    <col min="2334" max="2334" width="9.5703125" style="485" customWidth="1"/>
    <col min="2335" max="2335" width="6.28515625" style="485" customWidth="1"/>
    <col min="2336" max="2336" width="5.85546875" style="485" customWidth="1"/>
    <col min="2337" max="2338" width="4.42578125" style="485" customWidth="1"/>
    <col min="2339" max="2339" width="5" style="485" customWidth="1"/>
    <col min="2340" max="2340" width="5.85546875" style="485" customWidth="1"/>
    <col min="2341" max="2341" width="6.140625" style="485" customWidth="1"/>
    <col min="2342" max="2342" width="6.28515625" style="485" customWidth="1"/>
    <col min="2343" max="2343" width="4.85546875" style="485" customWidth="1"/>
    <col min="2344" max="2344" width="8.140625" style="485" customWidth="1"/>
    <col min="2345" max="2345" width="11.5703125" style="485" customWidth="1"/>
    <col min="2346" max="2346" width="13.7109375" style="485" customWidth="1"/>
    <col min="2347" max="2347" width="20.85546875" style="485" customWidth="1"/>
    <col min="2348" max="2560" width="11.42578125" style="485"/>
    <col min="2561" max="2561" width="13.140625" style="485" customWidth="1"/>
    <col min="2562" max="2562" width="4" style="485" customWidth="1"/>
    <col min="2563" max="2563" width="12.85546875" style="485" customWidth="1"/>
    <col min="2564" max="2564" width="14.7109375" style="485" customWidth="1"/>
    <col min="2565" max="2565" width="10" style="485" customWidth="1"/>
    <col min="2566" max="2566" width="6.28515625" style="485" customWidth="1"/>
    <col min="2567" max="2567" width="12.28515625" style="485" customWidth="1"/>
    <col min="2568" max="2568" width="8.5703125" style="485" customWidth="1"/>
    <col min="2569" max="2569" width="13.7109375" style="485" customWidth="1"/>
    <col min="2570" max="2570" width="11.5703125" style="485" customWidth="1"/>
    <col min="2571" max="2571" width="24.7109375" style="485" customWidth="1"/>
    <col min="2572" max="2572" width="17.42578125" style="485" customWidth="1"/>
    <col min="2573" max="2573" width="20.85546875" style="485" customWidth="1"/>
    <col min="2574" max="2574" width="26.85546875" style="485" customWidth="1"/>
    <col min="2575" max="2575" width="8" style="485" customWidth="1"/>
    <col min="2576" max="2576" width="25" style="485" customWidth="1"/>
    <col min="2577" max="2577" width="12.7109375" style="485" customWidth="1"/>
    <col min="2578" max="2578" width="16.42578125" style="485" customWidth="1"/>
    <col min="2579" max="2579" width="23.5703125" style="485" customWidth="1"/>
    <col min="2580" max="2580" width="33.7109375" style="485" customWidth="1"/>
    <col min="2581" max="2581" width="31.140625" style="485" customWidth="1"/>
    <col min="2582" max="2582" width="19.28515625" style="485" customWidth="1"/>
    <col min="2583" max="2583" width="11.7109375" style="485" customWidth="1"/>
    <col min="2584" max="2584" width="15.42578125" style="485" customWidth="1"/>
    <col min="2585" max="2585" width="5.5703125" style="485" customWidth="1"/>
    <col min="2586" max="2586" width="4.7109375" style="485" customWidth="1"/>
    <col min="2587" max="2588" width="7.28515625" style="485" customWidth="1"/>
    <col min="2589" max="2589" width="8.42578125" style="485" customWidth="1"/>
    <col min="2590" max="2590" width="9.5703125" style="485" customWidth="1"/>
    <col min="2591" max="2591" width="6.28515625" style="485" customWidth="1"/>
    <col min="2592" max="2592" width="5.85546875" style="485" customWidth="1"/>
    <col min="2593" max="2594" width="4.42578125" style="485" customWidth="1"/>
    <col min="2595" max="2595" width="5" style="485" customWidth="1"/>
    <col min="2596" max="2596" width="5.85546875" style="485" customWidth="1"/>
    <col min="2597" max="2597" width="6.140625" style="485" customWidth="1"/>
    <col min="2598" max="2598" width="6.28515625" style="485" customWidth="1"/>
    <col min="2599" max="2599" width="4.85546875" style="485" customWidth="1"/>
    <col min="2600" max="2600" width="8.140625" style="485" customWidth="1"/>
    <col min="2601" max="2601" width="11.5703125" style="485" customWidth="1"/>
    <col min="2602" max="2602" width="13.7109375" style="485" customWidth="1"/>
    <col min="2603" max="2603" width="20.85546875" style="485" customWidth="1"/>
    <col min="2604" max="2816" width="11.42578125" style="485"/>
    <col min="2817" max="2817" width="13.140625" style="485" customWidth="1"/>
    <col min="2818" max="2818" width="4" style="485" customWidth="1"/>
    <col min="2819" max="2819" width="12.85546875" style="485" customWidth="1"/>
    <col min="2820" max="2820" width="14.7109375" style="485" customWidth="1"/>
    <col min="2821" max="2821" width="10" style="485" customWidth="1"/>
    <col min="2822" max="2822" width="6.28515625" style="485" customWidth="1"/>
    <col min="2823" max="2823" width="12.28515625" style="485" customWidth="1"/>
    <col min="2824" max="2824" width="8.5703125" style="485" customWidth="1"/>
    <col min="2825" max="2825" width="13.7109375" style="485" customWidth="1"/>
    <col min="2826" max="2826" width="11.5703125" style="485" customWidth="1"/>
    <col min="2827" max="2827" width="24.7109375" style="485" customWidth="1"/>
    <col min="2828" max="2828" width="17.42578125" style="485" customWidth="1"/>
    <col min="2829" max="2829" width="20.85546875" style="485" customWidth="1"/>
    <col min="2830" max="2830" width="26.85546875" style="485" customWidth="1"/>
    <col min="2831" max="2831" width="8" style="485" customWidth="1"/>
    <col min="2832" max="2832" width="25" style="485" customWidth="1"/>
    <col min="2833" max="2833" width="12.7109375" style="485" customWidth="1"/>
    <col min="2834" max="2834" width="16.42578125" style="485" customWidth="1"/>
    <col min="2835" max="2835" width="23.5703125" style="485" customWidth="1"/>
    <col min="2836" max="2836" width="33.7109375" style="485" customWidth="1"/>
    <col min="2837" max="2837" width="31.140625" style="485" customWidth="1"/>
    <col min="2838" max="2838" width="19.28515625" style="485" customWidth="1"/>
    <col min="2839" max="2839" width="11.7109375" style="485" customWidth="1"/>
    <col min="2840" max="2840" width="15.42578125" style="485" customWidth="1"/>
    <col min="2841" max="2841" width="5.5703125" style="485" customWidth="1"/>
    <col min="2842" max="2842" width="4.7109375" style="485" customWidth="1"/>
    <col min="2843" max="2844" width="7.28515625" style="485" customWidth="1"/>
    <col min="2845" max="2845" width="8.42578125" style="485" customWidth="1"/>
    <col min="2846" max="2846" width="9.5703125" style="485" customWidth="1"/>
    <col min="2847" max="2847" width="6.28515625" style="485" customWidth="1"/>
    <col min="2848" max="2848" width="5.85546875" style="485" customWidth="1"/>
    <col min="2849" max="2850" width="4.42578125" style="485" customWidth="1"/>
    <col min="2851" max="2851" width="5" style="485" customWidth="1"/>
    <col min="2852" max="2852" width="5.85546875" style="485" customWidth="1"/>
    <col min="2853" max="2853" width="6.140625" style="485" customWidth="1"/>
    <col min="2854" max="2854" width="6.28515625" style="485" customWidth="1"/>
    <col min="2855" max="2855" width="4.85546875" style="485" customWidth="1"/>
    <col min="2856" max="2856" width="8.140625" style="485" customWidth="1"/>
    <col min="2857" max="2857" width="11.5703125" style="485" customWidth="1"/>
    <col min="2858" max="2858" width="13.7109375" style="485" customWidth="1"/>
    <col min="2859" max="2859" width="20.85546875" style="485" customWidth="1"/>
    <col min="2860" max="3072" width="11.42578125" style="485"/>
    <col min="3073" max="3073" width="13.140625" style="485" customWidth="1"/>
    <col min="3074" max="3074" width="4" style="485" customWidth="1"/>
    <col min="3075" max="3075" width="12.85546875" style="485" customWidth="1"/>
    <col min="3076" max="3076" width="14.7109375" style="485" customWidth="1"/>
    <col min="3077" max="3077" width="10" style="485" customWidth="1"/>
    <col min="3078" max="3078" width="6.28515625" style="485" customWidth="1"/>
    <col min="3079" max="3079" width="12.28515625" style="485" customWidth="1"/>
    <col min="3080" max="3080" width="8.5703125" style="485" customWidth="1"/>
    <col min="3081" max="3081" width="13.7109375" style="485" customWidth="1"/>
    <col min="3082" max="3082" width="11.5703125" style="485" customWidth="1"/>
    <col min="3083" max="3083" width="24.7109375" style="485" customWidth="1"/>
    <col min="3084" max="3084" width="17.42578125" style="485" customWidth="1"/>
    <col min="3085" max="3085" width="20.85546875" style="485" customWidth="1"/>
    <col min="3086" max="3086" width="26.85546875" style="485" customWidth="1"/>
    <col min="3087" max="3087" width="8" style="485" customWidth="1"/>
    <col min="3088" max="3088" width="25" style="485" customWidth="1"/>
    <col min="3089" max="3089" width="12.7109375" style="485" customWidth="1"/>
    <col min="3090" max="3090" width="16.42578125" style="485" customWidth="1"/>
    <col min="3091" max="3091" width="23.5703125" style="485" customWidth="1"/>
    <col min="3092" max="3092" width="33.7109375" style="485" customWidth="1"/>
    <col min="3093" max="3093" width="31.140625" style="485" customWidth="1"/>
    <col min="3094" max="3094" width="19.28515625" style="485" customWidth="1"/>
    <col min="3095" max="3095" width="11.7109375" style="485" customWidth="1"/>
    <col min="3096" max="3096" width="15.42578125" style="485" customWidth="1"/>
    <col min="3097" max="3097" width="5.5703125" style="485" customWidth="1"/>
    <col min="3098" max="3098" width="4.7109375" style="485" customWidth="1"/>
    <col min="3099" max="3100" width="7.28515625" style="485" customWidth="1"/>
    <col min="3101" max="3101" width="8.42578125" style="485" customWidth="1"/>
    <col min="3102" max="3102" width="9.5703125" style="485" customWidth="1"/>
    <col min="3103" max="3103" width="6.28515625" style="485" customWidth="1"/>
    <col min="3104" max="3104" width="5.85546875" style="485" customWidth="1"/>
    <col min="3105" max="3106" width="4.42578125" style="485" customWidth="1"/>
    <col min="3107" max="3107" width="5" style="485" customWidth="1"/>
    <col min="3108" max="3108" width="5.85546875" style="485" customWidth="1"/>
    <col min="3109" max="3109" width="6.140625" style="485" customWidth="1"/>
    <col min="3110" max="3110" width="6.28515625" style="485" customWidth="1"/>
    <col min="3111" max="3111" width="4.85546875" style="485" customWidth="1"/>
    <col min="3112" max="3112" width="8.140625" style="485" customWidth="1"/>
    <col min="3113" max="3113" width="11.5703125" style="485" customWidth="1"/>
    <col min="3114" max="3114" width="13.7109375" style="485" customWidth="1"/>
    <col min="3115" max="3115" width="20.85546875" style="485" customWidth="1"/>
    <col min="3116" max="3328" width="11.42578125" style="485"/>
    <col min="3329" max="3329" width="13.140625" style="485" customWidth="1"/>
    <col min="3330" max="3330" width="4" style="485" customWidth="1"/>
    <col min="3331" max="3331" width="12.85546875" style="485" customWidth="1"/>
    <col min="3332" max="3332" width="14.7109375" style="485" customWidth="1"/>
    <col min="3333" max="3333" width="10" style="485" customWidth="1"/>
    <col min="3334" max="3334" width="6.28515625" style="485" customWidth="1"/>
    <col min="3335" max="3335" width="12.28515625" style="485" customWidth="1"/>
    <col min="3336" max="3336" width="8.5703125" style="485" customWidth="1"/>
    <col min="3337" max="3337" width="13.7109375" style="485" customWidth="1"/>
    <col min="3338" max="3338" width="11.5703125" style="485" customWidth="1"/>
    <col min="3339" max="3339" width="24.7109375" style="485" customWidth="1"/>
    <col min="3340" max="3340" width="17.42578125" style="485" customWidth="1"/>
    <col min="3341" max="3341" width="20.85546875" style="485" customWidth="1"/>
    <col min="3342" max="3342" width="26.85546875" style="485" customWidth="1"/>
    <col min="3343" max="3343" width="8" style="485" customWidth="1"/>
    <col min="3344" max="3344" width="25" style="485" customWidth="1"/>
    <col min="3345" max="3345" width="12.7109375" style="485" customWidth="1"/>
    <col min="3346" max="3346" width="16.42578125" style="485" customWidth="1"/>
    <col min="3347" max="3347" width="23.5703125" style="485" customWidth="1"/>
    <col min="3348" max="3348" width="33.7109375" style="485" customWidth="1"/>
    <col min="3349" max="3349" width="31.140625" style="485" customWidth="1"/>
    <col min="3350" max="3350" width="19.28515625" style="485" customWidth="1"/>
    <col min="3351" max="3351" width="11.7109375" style="485" customWidth="1"/>
    <col min="3352" max="3352" width="15.42578125" style="485" customWidth="1"/>
    <col min="3353" max="3353" width="5.5703125" style="485" customWidth="1"/>
    <col min="3354" max="3354" width="4.7109375" style="485" customWidth="1"/>
    <col min="3355" max="3356" width="7.28515625" style="485" customWidth="1"/>
    <col min="3357" max="3357" width="8.42578125" style="485" customWidth="1"/>
    <col min="3358" max="3358" width="9.5703125" style="485" customWidth="1"/>
    <col min="3359" max="3359" width="6.28515625" style="485" customWidth="1"/>
    <col min="3360" max="3360" width="5.85546875" style="485" customWidth="1"/>
    <col min="3361" max="3362" width="4.42578125" style="485" customWidth="1"/>
    <col min="3363" max="3363" width="5" style="485" customWidth="1"/>
    <col min="3364" max="3364" width="5.85546875" style="485" customWidth="1"/>
    <col min="3365" max="3365" width="6.140625" style="485" customWidth="1"/>
    <col min="3366" max="3366" width="6.28515625" style="485" customWidth="1"/>
    <col min="3367" max="3367" width="4.85546875" style="485" customWidth="1"/>
    <col min="3368" max="3368" width="8.140625" style="485" customWidth="1"/>
    <col min="3369" max="3369" width="11.5703125" style="485" customWidth="1"/>
    <col min="3370" max="3370" width="13.7109375" style="485" customWidth="1"/>
    <col min="3371" max="3371" width="20.85546875" style="485" customWidth="1"/>
    <col min="3372" max="3584" width="11.42578125" style="485"/>
    <col min="3585" max="3585" width="13.140625" style="485" customWidth="1"/>
    <col min="3586" max="3586" width="4" style="485" customWidth="1"/>
    <col min="3587" max="3587" width="12.85546875" style="485" customWidth="1"/>
    <col min="3588" max="3588" width="14.7109375" style="485" customWidth="1"/>
    <col min="3589" max="3589" width="10" style="485" customWidth="1"/>
    <col min="3590" max="3590" width="6.28515625" style="485" customWidth="1"/>
    <col min="3591" max="3591" width="12.28515625" style="485" customWidth="1"/>
    <col min="3592" max="3592" width="8.5703125" style="485" customWidth="1"/>
    <col min="3593" max="3593" width="13.7109375" style="485" customWidth="1"/>
    <col min="3594" max="3594" width="11.5703125" style="485" customWidth="1"/>
    <col min="3595" max="3595" width="24.7109375" style="485" customWidth="1"/>
    <col min="3596" max="3596" width="17.42578125" style="485" customWidth="1"/>
    <col min="3597" max="3597" width="20.85546875" style="485" customWidth="1"/>
    <col min="3598" max="3598" width="26.85546875" style="485" customWidth="1"/>
    <col min="3599" max="3599" width="8" style="485" customWidth="1"/>
    <col min="3600" max="3600" width="25" style="485" customWidth="1"/>
    <col min="3601" max="3601" width="12.7109375" style="485" customWidth="1"/>
    <col min="3602" max="3602" width="16.42578125" style="485" customWidth="1"/>
    <col min="3603" max="3603" width="23.5703125" style="485" customWidth="1"/>
    <col min="3604" max="3604" width="33.7109375" style="485" customWidth="1"/>
    <col min="3605" max="3605" width="31.140625" style="485" customWidth="1"/>
    <col min="3606" max="3606" width="19.28515625" style="485" customWidth="1"/>
    <col min="3607" max="3607" width="11.7109375" style="485" customWidth="1"/>
    <col min="3608" max="3608" width="15.42578125" style="485" customWidth="1"/>
    <col min="3609" max="3609" width="5.5703125" style="485" customWidth="1"/>
    <col min="3610" max="3610" width="4.7109375" style="485" customWidth="1"/>
    <col min="3611" max="3612" width="7.28515625" style="485" customWidth="1"/>
    <col min="3613" max="3613" width="8.42578125" style="485" customWidth="1"/>
    <col min="3614" max="3614" width="9.5703125" style="485" customWidth="1"/>
    <col min="3615" max="3615" width="6.28515625" style="485" customWidth="1"/>
    <col min="3616" max="3616" width="5.85546875" style="485" customWidth="1"/>
    <col min="3617" max="3618" width="4.42578125" style="485" customWidth="1"/>
    <col min="3619" max="3619" width="5" style="485" customWidth="1"/>
    <col min="3620" max="3620" width="5.85546875" style="485" customWidth="1"/>
    <col min="3621" max="3621" width="6.140625" style="485" customWidth="1"/>
    <col min="3622" max="3622" width="6.28515625" style="485" customWidth="1"/>
    <col min="3623" max="3623" width="4.85546875" style="485" customWidth="1"/>
    <col min="3624" max="3624" width="8.140625" style="485" customWidth="1"/>
    <col min="3625" max="3625" width="11.5703125" style="485" customWidth="1"/>
    <col min="3626" max="3626" width="13.7109375" style="485" customWidth="1"/>
    <col min="3627" max="3627" width="20.85546875" style="485" customWidth="1"/>
    <col min="3628" max="3840" width="11.42578125" style="485"/>
    <col min="3841" max="3841" width="13.140625" style="485" customWidth="1"/>
    <col min="3842" max="3842" width="4" style="485" customWidth="1"/>
    <col min="3843" max="3843" width="12.85546875" style="485" customWidth="1"/>
    <col min="3844" max="3844" width="14.7109375" style="485" customWidth="1"/>
    <col min="3845" max="3845" width="10" style="485" customWidth="1"/>
    <col min="3846" max="3846" width="6.28515625" style="485" customWidth="1"/>
    <col min="3847" max="3847" width="12.28515625" style="485" customWidth="1"/>
    <col min="3848" max="3848" width="8.5703125" style="485" customWidth="1"/>
    <col min="3849" max="3849" width="13.7109375" style="485" customWidth="1"/>
    <col min="3850" max="3850" width="11.5703125" style="485" customWidth="1"/>
    <col min="3851" max="3851" width="24.7109375" style="485" customWidth="1"/>
    <col min="3852" max="3852" width="17.42578125" style="485" customWidth="1"/>
    <col min="3853" max="3853" width="20.85546875" style="485" customWidth="1"/>
    <col min="3854" max="3854" width="26.85546875" style="485" customWidth="1"/>
    <col min="3855" max="3855" width="8" style="485" customWidth="1"/>
    <col min="3856" max="3856" width="25" style="485" customWidth="1"/>
    <col min="3857" max="3857" width="12.7109375" style="485" customWidth="1"/>
    <col min="3858" max="3858" width="16.42578125" style="485" customWidth="1"/>
    <col min="3859" max="3859" width="23.5703125" style="485" customWidth="1"/>
    <col min="3860" max="3860" width="33.7109375" style="485" customWidth="1"/>
    <col min="3861" max="3861" width="31.140625" style="485" customWidth="1"/>
    <col min="3862" max="3862" width="19.28515625" style="485" customWidth="1"/>
    <col min="3863" max="3863" width="11.7109375" style="485" customWidth="1"/>
    <col min="3864" max="3864" width="15.42578125" style="485" customWidth="1"/>
    <col min="3865" max="3865" width="5.5703125" style="485" customWidth="1"/>
    <col min="3866" max="3866" width="4.7109375" style="485" customWidth="1"/>
    <col min="3867" max="3868" width="7.28515625" style="485" customWidth="1"/>
    <col min="3869" max="3869" width="8.42578125" style="485" customWidth="1"/>
    <col min="3870" max="3870" width="9.5703125" style="485" customWidth="1"/>
    <col min="3871" max="3871" width="6.28515625" style="485" customWidth="1"/>
    <col min="3872" max="3872" width="5.85546875" style="485" customWidth="1"/>
    <col min="3873" max="3874" width="4.42578125" style="485" customWidth="1"/>
    <col min="3875" max="3875" width="5" style="485" customWidth="1"/>
    <col min="3876" max="3876" width="5.85546875" style="485" customWidth="1"/>
    <col min="3877" max="3877" width="6.140625" style="485" customWidth="1"/>
    <col min="3878" max="3878" width="6.28515625" style="485" customWidth="1"/>
    <col min="3879" max="3879" width="4.85546875" style="485" customWidth="1"/>
    <col min="3880" max="3880" width="8.140625" style="485" customWidth="1"/>
    <col min="3881" max="3881" width="11.5703125" style="485" customWidth="1"/>
    <col min="3882" max="3882" width="13.7109375" style="485" customWidth="1"/>
    <col min="3883" max="3883" width="20.85546875" style="485" customWidth="1"/>
    <col min="3884" max="4096" width="11.42578125" style="485"/>
    <col min="4097" max="4097" width="13.140625" style="485" customWidth="1"/>
    <col min="4098" max="4098" width="4" style="485" customWidth="1"/>
    <col min="4099" max="4099" width="12.85546875" style="485" customWidth="1"/>
    <col min="4100" max="4100" width="14.7109375" style="485" customWidth="1"/>
    <col min="4101" max="4101" width="10" style="485" customWidth="1"/>
    <col min="4102" max="4102" width="6.28515625" style="485" customWidth="1"/>
    <col min="4103" max="4103" width="12.28515625" style="485" customWidth="1"/>
    <col min="4104" max="4104" width="8.5703125" style="485" customWidth="1"/>
    <col min="4105" max="4105" width="13.7109375" style="485" customWidth="1"/>
    <col min="4106" max="4106" width="11.5703125" style="485" customWidth="1"/>
    <col min="4107" max="4107" width="24.7109375" style="485" customWidth="1"/>
    <col min="4108" max="4108" width="17.42578125" style="485" customWidth="1"/>
    <col min="4109" max="4109" width="20.85546875" style="485" customWidth="1"/>
    <col min="4110" max="4110" width="26.85546875" style="485" customWidth="1"/>
    <col min="4111" max="4111" width="8" style="485" customWidth="1"/>
    <col min="4112" max="4112" width="25" style="485" customWidth="1"/>
    <col min="4113" max="4113" width="12.7109375" style="485" customWidth="1"/>
    <col min="4114" max="4114" width="16.42578125" style="485" customWidth="1"/>
    <col min="4115" max="4115" width="23.5703125" style="485" customWidth="1"/>
    <col min="4116" max="4116" width="33.7109375" style="485" customWidth="1"/>
    <col min="4117" max="4117" width="31.140625" style="485" customWidth="1"/>
    <col min="4118" max="4118" width="19.28515625" style="485" customWidth="1"/>
    <col min="4119" max="4119" width="11.7109375" style="485" customWidth="1"/>
    <col min="4120" max="4120" width="15.42578125" style="485" customWidth="1"/>
    <col min="4121" max="4121" width="5.5703125" style="485" customWidth="1"/>
    <col min="4122" max="4122" width="4.7109375" style="485" customWidth="1"/>
    <col min="4123" max="4124" width="7.28515625" style="485" customWidth="1"/>
    <col min="4125" max="4125" width="8.42578125" style="485" customWidth="1"/>
    <col min="4126" max="4126" width="9.5703125" style="485" customWidth="1"/>
    <col min="4127" max="4127" width="6.28515625" style="485" customWidth="1"/>
    <col min="4128" max="4128" width="5.85546875" style="485" customWidth="1"/>
    <col min="4129" max="4130" width="4.42578125" style="485" customWidth="1"/>
    <col min="4131" max="4131" width="5" style="485" customWidth="1"/>
    <col min="4132" max="4132" width="5.85546875" style="485" customWidth="1"/>
    <col min="4133" max="4133" width="6.140625" style="485" customWidth="1"/>
    <col min="4134" max="4134" width="6.28515625" style="485" customWidth="1"/>
    <col min="4135" max="4135" width="4.85546875" style="485" customWidth="1"/>
    <col min="4136" max="4136" width="8.140625" style="485" customWidth="1"/>
    <col min="4137" max="4137" width="11.5703125" style="485" customWidth="1"/>
    <col min="4138" max="4138" width="13.7109375" style="485" customWidth="1"/>
    <col min="4139" max="4139" width="20.85546875" style="485" customWidth="1"/>
    <col min="4140" max="4352" width="11.42578125" style="485"/>
    <col min="4353" max="4353" width="13.140625" style="485" customWidth="1"/>
    <col min="4354" max="4354" width="4" style="485" customWidth="1"/>
    <col min="4355" max="4355" width="12.85546875" style="485" customWidth="1"/>
    <col min="4356" max="4356" width="14.7109375" style="485" customWidth="1"/>
    <col min="4357" max="4357" width="10" style="485" customWidth="1"/>
    <col min="4358" max="4358" width="6.28515625" style="485" customWidth="1"/>
    <col min="4359" max="4359" width="12.28515625" style="485" customWidth="1"/>
    <col min="4360" max="4360" width="8.5703125" style="485" customWidth="1"/>
    <col min="4361" max="4361" width="13.7109375" style="485" customWidth="1"/>
    <col min="4362" max="4362" width="11.5703125" style="485" customWidth="1"/>
    <col min="4363" max="4363" width="24.7109375" style="485" customWidth="1"/>
    <col min="4364" max="4364" width="17.42578125" style="485" customWidth="1"/>
    <col min="4365" max="4365" width="20.85546875" style="485" customWidth="1"/>
    <col min="4366" max="4366" width="26.85546875" style="485" customWidth="1"/>
    <col min="4367" max="4367" width="8" style="485" customWidth="1"/>
    <col min="4368" max="4368" width="25" style="485" customWidth="1"/>
    <col min="4369" max="4369" width="12.7109375" style="485" customWidth="1"/>
    <col min="4370" max="4370" width="16.42578125" style="485" customWidth="1"/>
    <col min="4371" max="4371" width="23.5703125" style="485" customWidth="1"/>
    <col min="4372" max="4372" width="33.7109375" style="485" customWidth="1"/>
    <col min="4373" max="4373" width="31.140625" style="485" customWidth="1"/>
    <col min="4374" max="4374" width="19.28515625" style="485" customWidth="1"/>
    <col min="4375" max="4375" width="11.7109375" style="485" customWidth="1"/>
    <col min="4376" max="4376" width="15.42578125" style="485" customWidth="1"/>
    <col min="4377" max="4377" width="5.5703125" style="485" customWidth="1"/>
    <col min="4378" max="4378" width="4.7109375" style="485" customWidth="1"/>
    <col min="4379" max="4380" width="7.28515625" style="485" customWidth="1"/>
    <col min="4381" max="4381" width="8.42578125" style="485" customWidth="1"/>
    <col min="4382" max="4382" width="9.5703125" style="485" customWidth="1"/>
    <col min="4383" max="4383" width="6.28515625" style="485" customWidth="1"/>
    <col min="4384" max="4384" width="5.85546875" style="485" customWidth="1"/>
    <col min="4385" max="4386" width="4.42578125" style="485" customWidth="1"/>
    <col min="4387" max="4387" width="5" style="485" customWidth="1"/>
    <col min="4388" max="4388" width="5.85546875" style="485" customWidth="1"/>
    <col min="4389" max="4389" width="6.140625" style="485" customWidth="1"/>
    <col min="4390" max="4390" width="6.28515625" style="485" customWidth="1"/>
    <col min="4391" max="4391" width="4.85546875" style="485" customWidth="1"/>
    <col min="4392" max="4392" width="8.140625" style="485" customWidth="1"/>
    <col min="4393" max="4393" width="11.5703125" style="485" customWidth="1"/>
    <col min="4394" max="4394" width="13.7109375" style="485" customWidth="1"/>
    <col min="4395" max="4395" width="20.85546875" style="485" customWidth="1"/>
    <col min="4396" max="4608" width="11.42578125" style="485"/>
    <col min="4609" max="4609" width="13.140625" style="485" customWidth="1"/>
    <col min="4610" max="4610" width="4" style="485" customWidth="1"/>
    <col min="4611" max="4611" width="12.85546875" style="485" customWidth="1"/>
    <col min="4612" max="4612" width="14.7109375" style="485" customWidth="1"/>
    <col min="4613" max="4613" width="10" style="485" customWidth="1"/>
    <col min="4614" max="4614" width="6.28515625" style="485" customWidth="1"/>
    <col min="4615" max="4615" width="12.28515625" style="485" customWidth="1"/>
    <col min="4616" max="4616" width="8.5703125" style="485" customWidth="1"/>
    <col min="4617" max="4617" width="13.7109375" style="485" customWidth="1"/>
    <col min="4618" max="4618" width="11.5703125" style="485" customWidth="1"/>
    <col min="4619" max="4619" width="24.7109375" style="485" customWidth="1"/>
    <col min="4620" max="4620" width="17.42578125" style="485" customWidth="1"/>
    <col min="4621" max="4621" width="20.85546875" style="485" customWidth="1"/>
    <col min="4622" max="4622" width="26.85546875" style="485" customWidth="1"/>
    <col min="4623" max="4623" width="8" style="485" customWidth="1"/>
    <col min="4624" max="4624" width="25" style="485" customWidth="1"/>
    <col min="4625" max="4625" width="12.7109375" style="485" customWidth="1"/>
    <col min="4626" max="4626" width="16.42578125" style="485" customWidth="1"/>
    <col min="4627" max="4627" width="23.5703125" style="485" customWidth="1"/>
    <col min="4628" max="4628" width="33.7109375" style="485" customWidth="1"/>
    <col min="4629" max="4629" width="31.140625" style="485" customWidth="1"/>
    <col min="4630" max="4630" width="19.28515625" style="485" customWidth="1"/>
    <col min="4631" max="4631" width="11.7109375" style="485" customWidth="1"/>
    <col min="4632" max="4632" width="15.42578125" style="485" customWidth="1"/>
    <col min="4633" max="4633" width="5.5703125" style="485" customWidth="1"/>
    <col min="4634" max="4634" width="4.7109375" style="485" customWidth="1"/>
    <col min="4635" max="4636" width="7.28515625" style="485" customWidth="1"/>
    <col min="4637" max="4637" width="8.42578125" style="485" customWidth="1"/>
    <col min="4638" max="4638" width="9.5703125" style="485" customWidth="1"/>
    <col min="4639" max="4639" width="6.28515625" style="485" customWidth="1"/>
    <col min="4640" max="4640" width="5.85546875" style="485" customWidth="1"/>
    <col min="4641" max="4642" width="4.42578125" style="485" customWidth="1"/>
    <col min="4643" max="4643" width="5" style="485" customWidth="1"/>
    <col min="4644" max="4644" width="5.85546875" style="485" customWidth="1"/>
    <col min="4645" max="4645" width="6.140625" style="485" customWidth="1"/>
    <col min="4646" max="4646" width="6.28515625" style="485" customWidth="1"/>
    <col min="4647" max="4647" width="4.85546875" style="485" customWidth="1"/>
    <col min="4648" max="4648" width="8.140625" style="485" customWidth="1"/>
    <col min="4649" max="4649" width="11.5703125" style="485" customWidth="1"/>
    <col min="4650" max="4650" width="13.7109375" style="485" customWidth="1"/>
    <col min="4651" max="4651" width="20.85546875" style="485" customWidth="1"/>
    <col min="4652" max="4864" width="11.42578125" style="485"/>
    <col min="4865" max="4865" width="13.140625" style="485" customWidth="1"/>
    <col min="4866" max="4866" width="4" style="485" customWidth="1"/>
    <col min="4867" max="4867" width="12.85546875" style="485" customWidth="1"/>
    <col min="4868" max="4868" width="14.7109375" style="485" customWidth="1"/>
    <col min="4869" max="4869" width="10" style="485" customWidth="1"/>
    <col min="4870" max="4870" width="6.28515625" style="485" customWidth="1"/>
    <col min="4871" max="4871" width="12.28515625" style="485" customWidth="1"/>
    <col min="4872" max="4872" width="8.5703125" style="485" customWidth="1"/>
    <col min="4873" max="4873" width="13.7109375" style="485" customWidth="1"/>
    <col min="4874" max="4874" width="11.5703125" style="485" customWidth="1"/>
    <col min="4875" max="4875" width="24.7109375" style="485" customWidth="1"/>
    <col min="4876" max="4876" width="17.42578125" style="485" customWidth="1"/>
    <col min="4877" max="4877" width="20.85546875" style="485" customWidth="1"/>
    <col min="4878" max="4878" width="26.85546875" style="485" customWidth="1"/>
    <col min="4879" max="4879" width="8" style="485" customWidth="1"/>
    <col min="4880" max="4880" width="25" style="485" customWidth="1"/>
    <col min="4881" max="4881" width="12.7109375" style="485" customWidth="1"/>
    <col min="4882" max="4882" width="16.42578125" style="485" customWidth="1"/>
    <col min="4883" max="4883" width="23.5703125" style="485" customWidth="1"/>
    <col min="4884" max="4884" width="33.7109375" style="485" customWidth="1"/>
    <col min="4885" max="4885" width="31.140625" style="485" customWidth="1"/>
    <col min="4886" max="4886" width="19.28515625" style="485" customWidth="1"/>
    <col min="4887" max="4887" width="11.7109375" style="485" customWidth="1"/>
    <col min="4888" max="4888" width="15.42578125" style="485" customWidth="1"/>
    <col min="4889" max="4889" width="5.5703125" style="485" customWidth="1"/>
    <col min="4890" max="4890" width="4.7109375" style="485" customWidth="1"/>
    <col min="4891" max="4892" width="7.28515625" style="485" customWidth="1"/>
    <col min="4893" max="4893" width="8.42578125" style="485" customWidth="1"/>
    <col min="4894" max="4894" width="9.5703125" style="485" customWidth="1"/>
    <col min="4895" max="4895" width="6.28515625" style="485" customWidth="1"/>
    <col min="4896" max="4896" width="5.85546875" style="485" customWidth="1"/>
    <col min="4897" max="4898" width="4.42578125" style="485" customWidth="1"/>
    <col min="4899" max="4899" width="5" style="485" customWidth="1"/>
    <col min="4900" max="4900" width="5.85546875" style="485" customWidth="1"/>
    <col min="4901" max="4901" width="6.140625" style="485" customWidth="1"/>
    <col min="4902" max="4902" width="6.28515625" style="485" customWidth="1"/>
    <col min="4903" max="4903" width="4.85546875" style="485" customWidth="1"/>
    <col min="4904" max="4904" width="8.140625" style="485" customWidth="1"/>
    <col min="4905" max="4905" width="11.5703125" style="485" customWidth="1"/>
    <col min="4906" max="4906" width="13.7109375" style="485" customWidth="1"/>
    <col min="4907" max="4907" width="20.85546875" style="485" customWidth="1"/>
    <col min="4908" max="5120" width="11.42578125" style="485"/>
    <col min="5121" max="5121" width="13.140625" style="485" customWidth="1"/>
    <col min="5122" max="5122" width="4" style="485" customWidth="1"/>
    <col min="5123" max="5123" width="12.85546875" style="485" customWidth="1"/>
    <col min="5124" max="5124" width="14.7109375" style="485" customWidth="1"/>
    <col min="5125" max="5125" width="10" style="485" customWidth="1"/>
    <col min="5126" max="5126" width="6.28515625" style="485" customWidth="1"/>
    <col min="5127" max="5127" width="12.28515625" style="485" customWidth="1"/>
    <col min="5128" max="5128" width="8.5703125" style="485" customWidth="1"/>
    <col min="5129" max="5129" width="13.7109375" style="485" customWidth="1"/>
    <col min="5130" max="5130" width="11.5703125" style="485" customWidth="1"/>
    <col min="5131" max="5131" width="24.7109375" style="485" customWidth="1"/>
    <col min="5132" max="5132" width="17.42578125" style="485" customWidth="1"/>
    <col min="5133" max="5133" width="20.85546875" style="485" customWidth="1"/>
    <col min="5134" max="5134" width="26.85546875" style="485" customWidth="1"/>
    <col min="5135" max="5135" width="8" style="485" customWidth="1"/>
    <col min="5136" max="5136" width="25" style="485" customWidth="1"/>
    <col min="5137" max="5137" width="12.7109375" style="485" customWidth="1"/>
    <col min="5138" max="5138" width="16.42578125" style="485" customWidth="1"/>
    <col min="5139" max="5139" width="23.5703125" style="485" customWidth="1"/>
    <col min="5140" max="5140" width="33.7109375" style="485" customWidth="1"/>
    <col min="5141" max="5141" width="31.140625" style="485" customWidth="1"/>
    <col min="5142" max="5142" width="19.28515625" style="485" customWidth="1"/>
    <col min="5143" max="5143" width="11.7109375" style="485" customWidth="1"/>
    <col min="5144" max="5144" width="15.42578125" style="485" customWidth="1"/>
    <col min="5145" max="5145" width="5.5703125" style="485" customWidth="1"/>
    <col min="5146" max="5146" width="4.7109375" style="485" customWidth="1"/>
    <col min="5147" max="5148" width="7.28515625" style="485" customWidth="1"/>
    <col min="5149" max="5149" width="8.42578125" style="485" customWidth="1"/>
    <col min="5150" max="5150" width="9.5703125" style="485" customWidth="1"/>
    <col min="5151" max="5151" width="6.28515625" style="485" customWidth="1"/>
    <col min="5152" max="5152" width="5.85546875" style="485" customWidth="1"/>
    <col min="5153" max="5154" width="4.42578125" style="485" customWidth="1"/>
    <col min="5155" max="5155" width="5" style="485" customWidth="1"/>
    <col min="5156" max="5156" width="5.85546875" style="485" customWidth="1"/>
    <col min="5157" max="5157" width="6.140625" style="485" customWidth="1"/>
    <col min="5158" max="5158" width="6.28515625" style="485" customWidth="1"/>
    <col min="5159" max="5159" width="4.85546875" style="485" customWidth="1"/>
    <col min="5160" max="5160" width="8.140625" style="485" customWidth="1"/>
    <col min="5161" max="5161" width="11.5703125" style="485" customWidth="1"/>
    <col min="5162" max="5162" width="13.7109375" style="485" customWidth="1"/>
    <col min="5163" max="5163" width="20.85546875" style="485" customWidth="1"/>
    <col min="5164" max="5376" width="11.42578125" style="485"/>
    <col min="5377" max="5377" width="13.140625" style="485" customWidth="1"/>
    <col min="5378" max="5378" width="4" style="485" customWidth="1"/>
    <col min="5379" max="5379" width="12.85546875" style="485" customWidth="1"/>
    <col min="5380" max="5380" width="14.7109375" style="485" customWidth="1"/>
    <col min="5381" max="5381" width="10" style="485" customWidth="1"/>
    <col min="5382" max="5382" width="6.28515625" style="485" customWidth="1"/>
    <col min="5383" max="5383" width="12.28515625" style="485" customWidth="1"/>
    <col min="5384" max="5384" width="8.5703125" style="485" customWidth="1"/>
    <col min="5385" max="5385" width="13.7109375" style="485" customWidth="1"/>
    <col min="5386" max="5386" width="11.5703125" style="485" customWidth="1"/>
    <col min="5387" max="5387" width="24.7109375" style="485" customWidth="1"/>
    <col min="5388" max="5388" width="17.42578125" style="485" customWidth="1"/>
    <col min="5389" max="5389" width="20.85546875" style="485" customWidth="1"/>
    <col min="5390" max="5390" width="26.85546875" style="485" customWidth="1"/>
    <col min="5391" max="5391" width="8" style="485" customWidth="1"/>
    <col min="5392" max="5392" width="25" style="485" customWidth="1"/>
    <col min="5393" max="5393" width="12.7109375" style="485" customWidth="1"/>
    <col min="5394" max="5394" width="16.42578125" style="485" customWidth="1"/>
    <col min="5395" max="5395" width="23.5703125" style="485" customWidth="1"/>
    <col min="5396" max="5396" width="33.7109375" style="485" customWidth="1"/>
    <col min="5397" max="5397" width="31.140625" style="485" customWidth="1"/>
    <col min="5398" max="5398" width="19.28515625" style="485" customWidth="1"/>
    <col min="5399" max="5399" width="11.7109375" style="485" customWidth="1"/>
    <col min="5400" max="5400" width="15.42578125" style="485" customWidth="1"/>
    <col min="5401" max="5401" width="5.5703125" style="485" customWidth="1"/>
    <col min="5402" max="5402" width="4.7109375" style="485" customWidth="1"/>
    <col min="5403" max="5404" width="7.28515625" style="485" customWidth="1"/>
    <col min="5405" max="5405" width="8.42578125" style="485" customWidth="1"/>
    <col min="5406" max="5406" width="9.5703125" style="485" customWidth="1"/>
    <col min="5407" max="5407" width="6.28515625" style="485" customWidth="1"/>
    <col min="5408" max="5408" width="5.85546875" style="485" customWidth="1"/>
    <col min="5409" max="5410" width="4.42578125" style="485" customWidth="1"/>
    <col min="5411" max="5411" width="5" style="485" customWidth="1"/>
    <col min="5412" max="5412" width="5.85546875" style="485" customWidth="1"/>
    <col min="5413" max="5413" width="6.140625" style="485" customWidth="1"/>
    <col min="5414" max="5414" width="6.28515625" style="485" customWidth="1"/>
    <col min="5415" max="5415" width="4.85546875" style="485" customWidth="1"/>
    <col min="5416" max="5416" width="8.140625" style="485" customWidth="1"/>
    <col min="5417" max="5417" width="11.5703125" style="485" customWidth="1"/>
    <col min="5418" max="5418" width="13.7109375" style="485" customWidth="1"/>
    <col min="5419" max="5419" width="20.85546875" style="485" customWidth="1"/>
    <col min="5420" max="5632" width="11.42578125" style="485"/>
    <col min="5633" max="5633" width="13.140625" style="485" customWidth="1"/>
    <col min="5634" max="5634" width="4" style="485" customWidth="1"/>
    <col min="5635" max="5635" width="12.85546875" style="485" customWidth="1"/>
    <col min="5636" max="5636" width="14.7109375" style="485" customWidth="1"/>
    <col min="5637" max="5637" width="10" style="485" customWidth="1"/>
    <col min="5638" max="5638" width="6.28515625" style="485" customWidth="1"/>
    <col min="5639" max="5639" width="12.28515625" style="485" customWidth="1"/>
    <col min="5640" max="5640" width="8.5703125" style="485" customWidth="1"/>
    <col min="5641" max="5641" width="13.7109375" style="485" customWidth="1"/>
    <col min="5642" max="5642" width="11.5703125" style="485" customWidth="1"/>
    <col min="5643" max="5643" width="24.7109375" style="485" customWidth="1"/>
    <col min="5644" max="5644" width="17.42578125" style="485" customWidth="1"/>
    <col min="5645" max="5645" width="20.85546875" style="485" customWidth="1"/>
    <col min="5646" max="5646" width="26.85546875" style="485" customWidth="1"/>
    <col min="5647" max="5647" width="8" style="485" customWidth="1"/>
    <col min="5648" max="5648" width="25" style="485" customWidth="1"/>
    <col min="5649" max="5649" width="12.7109375" style="485" customWidth="1"/>
    <col min="5650" max="5650" width="16.42578125" style="485" customWidth="1"/>
    <col min="5651" max="5651" width="23.5703125" style="485" customWidth="1"/>
    <col min="5652" max="5652" width="33.7109375" style="485" customWidth="1"/>
    <col min="5653" max="5653" width="31.140625" style="485" customWidth="1"/>
    <col min="5654" max="5654" width="19.28515625" style="485" customWidth="1"/>
    <col min="5655" max="5655" width="11.7109375" style="485" customWidth="1"/>
    <col min="5656" max="5656" width="15.42578125" style="485" customWidth="1"/>
    <col min="5657" max="5657" width="5.5703125" style="485" customWidth="1"/>
    <col min="5658" max="5658" width="4.7109375" style="485" customWidth="1"/>
    <col min="5659" max="5660" width="7.28515625" style="485" customWidth="1"/>
    <col min="5661" max="5661" width="8.42578125" style="485" customWidth="1"/>
    <col min="5662" max="5662" width="9.5703125" style="485" customWidth="1"/>
    <col min="5663" max="5663" width="6.28515625" style="485" customWidth="1"/>
    <col min="5664" max="5664" width="5.85546875" style="485" customWidth="1"/>
    <col min="5665" max="5666" width="4.42578125" style="485" customWidth="1"/>
    <col min="5667" max="5667" width="5" style="485" customWidth="1"/>
    <col min="5668" max="5668" width="5.85546875" style="485" customWidth="1"/>
    <col min="5669" max="5669" width="6.140625" style="485" customWidth="1"/>
    <col min="5670" max="5670" width="6.28515625" style="485" customWidth="1"/>
    <col min="5671" max="5671" width="4.85546875" style="485" customWidth="1"/>
    <col min="5672" max="5672" width="8.140625" style="485" customWidth="1"/>
    <col min="5673" max="5673" width="11.5703125" style="485" customWidth="1"/>
    <col min="5674" max="5674" width="13.7109375" style="485" customWidth="1"/>
    <col min="5675" max="5675" width="20.85546875" style="485" customWidth="1"/>
    <col min="5676" max="5888" width="11.42578125" style="485"/>
    <col min="5889" max="5889" width="13.140625" style="485" customWidth="1"/>
    <col min="5890" max="5890" width="4" style="485" customWidth="1"/>
    <col min="5891" max="5891" width="12.85546875" style="485" customWidth="1"/>
    <col min="5892" max="5892" width="14.7109375" style="485" customWidth="1"/>
    <col min="5893" max="5893" width="10" style="485" customWidth="1"/>
    <col min="5894" max="5894" width="6.28515625" style="485" customWidth="1"/>
    <col min="5895" max="5895" width="12.28515625" style="485" customWidth="1"/>
    <col min="5896" max="5896" width="8.5703125" style="485" customWidth="1"/>
    <col min="5897" max="5897" width="13.7109375" style="485" customWidth="1"/>
    <col min="5898" max="5898" width="11.5703125" style="485" customWidth="1"/>
    <col min="5899" max="5899" width="24.7109375" style="485" customWidth="1"/>
    <col min="5900" max="5900" width="17.42578125" style="485" customWidth="1"/>
    <col min="5901" max="5901" width="20.85546875" style="485" customWidth="1"/>
    <col min="5902" max="5902" width="26.85546875" style="485" customWidth="1"/>
    <col min="5903" max="5903" width="8" style="485" customWidth="1"/>
    <col min="5904" max="5904" width="25" style="485" customWidth="1"/>
    <col min="5905" max="5905" width="12.7109375" style="485" customWidth="1"/>
    <col min="5906" max="5906" width="16.42578125" style="485" customWidth="1"/>
    <col min="5907" max="5907" width="23.5703125" style="485" customWidth="1"/>
    <col min="5908" max="5908" width="33.7109375" style="485" customWidth="1"/>
    <col min="5909" max="5909" width="31.140625" style="485" customWidth="1"/>
    <col min="5910" max="5910" width="19.28515625" style="485" customWidth="1"/>
    <col min="5911" max="5911" width="11.7109375" style="485" customWidth="1"/>
    <col min="5912" max="5912" width="15.42578125" style="485" customWidth="1"/>
    <col min="5913" max="5913" width="5.5703125" style="485" customWidth="1"/>
    <col min="5914" max="5914" width="4.7109375" style="485" customWidth="1"/>
    <col min="5915" max="5916" width="7.28515625" style="485" customWidth="1"/>
    <col min="5917" max="5917" width="8.42578125" style="485" customWidth="1"/>
    <col min="5918" max="5918" width="9.5703125" style="485" customWidth="1"/>
    <col min="5919" max="5919" width="6.28515625" style="485" customWidth="1"/>
    <col min="5920" max="5920" width="5.85546875" style="485" customWidth="1"/>
    <col min="5921" max="5922" width="4.42578125" style="485" customWidth="1"/>
    <col min="5923" max="5923" width="5" style="485" customWidth="1"/>
    <col min="5924" max="5924" width="5.85546875" style="485" customWidth="1"/>
    <col min="5925" max="5925" width="6.140625" style="485" customWidth="1"/>
    <col min="5926" max="5926" width="6.28515625" style="485" customWidth="1"/>
    <col min="5927" max="5927" width="4.85546875" style="485" customWidth="1"/>
    <col min="5928" max="5928" width="8.140625" style="485" customWidth="1"/>
    <col min="5929" max="5929" width="11.5703125" style="485" customWidth="1"/>
    <col min="5930" max="5930" width="13.7109375" style="485" customWidth="1"/>
    <col min="5931" max="5931" width="20.85546875" style="485" customWidth="1"/>
    <col min="5932" max="6144" width="11.42578125" style="485"/>
    <col min="6145" max="6145" width="13.140625" style="485" customWidth="1"/>
    <col min="6146" max="6146" width="4" style="485" customWidth="1"/>
    <col min="6147" max="6147" width="12.85546875" style="485" customWidth="1"/>
    <col min="6148" max="6148" width="14.7109375" style="485" customWidth="1"/>
    <col min="6149" max="6149" width="10" style="485" customWidth="1"/>
    <col min="6150" max="6150" width="6.28515625" style="485" customWidth="1"/>
    <col min="6151" max="6151" width="12.28515625" style="485" customWidth="1"/>
    <col min="6152" max="6152" width="8.5703125" style="485" customWidth="1"/>
    <col min="6153" max="6153" width="13.7109375" style="485" customWidth="1"/>
    <col min="6154" max="6154" width="11.5703125" style="485" customWidth="1"/>
    <col min="6155" max="6155" width="24.7109375" style="485" customWidth="1"/>
    <col min="6156" max="6156" width="17.42578125" style="485" customWidth="1"/>
    <col min="6157" max="6157" width="20.85546875" style="485" customWidth="1"/>
    <col min="6158" max="6158" width="26.85546875" style="485" customWidth="1"/>
    <col min="6159" max="6159" width="8" style="485" customWidth="1"/>
    <col min="6160" max="6160" width="25" style="485" customWidth="1"/>
    <col min="6161" max="6161" width="12.7109375" style="485" customWidth="1"/>
    <col min="6162" max="6162" width="16.42578125" style="485" customWidth="1"/>
    <col min="6163" max="6163" width="23.5703125" style="485" customWidth="1"/>
    <col min="6164" max="6164" width="33.7109375" style="485" customWidth="1"/>
    <col min="6165" max="6165" width="31.140625" style="485" customWidth="1"/>
    <col min="6166" max="6166" width="19.28515625" style="485" customWidth="1"/>
    <col min="6167" max="6167" width="11.7109375" style="485" customWidth="1"/>
    <col min="6168" max="6168" width="15.42578125" style="485" customWidth="1"/>
    <col min="6169" max="6169" width="5.5703125" style="485" customWidth="1"/>
    <col min="6170" max="6170" width="4.7109375" style="485" customWidth="1"/>
    <col min="6171" max="6172" width="7.28515625" style="485" customWidth="1"/>
    <col min="6173" max="6173" width="8.42578125" style="485" customWidth="1"/>
    <col min="6174" max="6174" width="9.5703125" style="485" customWidth="1"/>
    <col min="6175" max="6175" width="6.28515625" style="485" customWidth="1"/>
    <col min="6176" max="6176" width="5.85546875" style="485" customWidth="1"/>
    <col min="6177" max="6178" width="4.42578125" style="485" customWidth="1"/>
    <col min="6179" max="6179" width="5" style="485" customWidth="1"/>
    <col min="6180" max="6180" width="5.85546875" style="485" customWidth="1"/>
    <col min="6181" max="6181" width="6.140625" style="485" customWidth="1"/>
    <col min="6182" max="6182" width="6.28515625" style="485" customWidth="1"/>
    <col min="6183" max="6183" width="4.85546875" style="485" customWidth="1"/>
    <col min="6184" max="6184" width="8.140625" style="485" customWidth="1"/>
    <col min="6185" max="6185" width="11.5703125" style="485" customWidth="1"/>
    <col min="6186" max="6186" width="13.7109375" style="485" customWidth="1"/>
    <col min="6187" max="6187" width="20.85546875" style="485" customWidth="1"/>
    <col min="6188" max="6400" width="11.42578125" style="485"/>
    <col min="6401" max="6401" width="13.140625" style="485" customWidth="1"/>
    <col min="6402" max="6402" width="4" style="485" customWidth="1"/>
    <col min="6403" max="6403" width="12.85546875" style="485" customWidth="1"/>
    <col min="6404" max="6404" width="14.7109375" style="485" customWidth="1"/>
    <col min="6405" max="6405" width="10" style="485" customWidth="1"/>
    <col min="6406" max="6406" width="6.28515625" style="485" customWidth="1"/>
    <col min="6407" max="6407" width="12.28515625" style="485" customWidth="1"/>
    <col min="6408" max="6408" width="8.5703125" style="485" customWidth="1"/>
    <col min="6409" max="6409" width="13.7109375" style="485" customWidth="1"/>
    <col min="6410" max="6410" width="11.5703125" style="485" customWidth="1"/>
    <col min="6411" max="6411" width="24.7109375" style="485" customWidth="1"/>
    <col min="6412" max="6412" width="17.42578125" style="485" customWidth="1"/>
    <col min="6413" max="6413" width="20.85546875" style="485" customWidth="1"/>
    <col min="6414" max="6414" width="26.85546875" style="485" customWidth="1"/>
    <col min="6415" max="6415" width="8" style="485" customWidth="1"/>
    <col min="6416" max="6416" width="25" style="485" customWidth="1"/>
    <col min="6417" max="6417" width="12.7109375" style="485" customWidth="1"/>
    <col min="6418" max="6418" width="16.42578125" style="485" customWidth="1"/>
    <col min="6419" max="6419" width="23.5703125" style="485" customWidth="1"/>
    <col min="6420" max="6420" width="33.7109375" style="485" customWidth="1"/>
    <col min="6421" max="6421" width="31.140625" style="485" customWidth="1"/>
    <col min="6422" max="6422" width="19.28515625" style="485" customWidth="1"/>
    <col min="6423" max="6423" width="11.7109375" style="485" customWidth="1"/>
    <col min="6424" max="6424" width="15.42578125" style="485" customWidth="1"/>
    <col min="6425" max="6425" width="5.5703125" style="485" customWidth="1"/>
    <col min="6426" max="6426" width="4.7109375" style="485" customWidth="1"/>
    <col min="6427" max="6428" width="7.28515625" style="485" customWidth="1"/>
    <col min="6429" max="6429" width="8.42578125" style="485" customWidth="1"/>
    <col min="6430" max="6430" width="9.5703125" style="485" customWidth="1"/>
    <col min="6431" max="6431" width="6.28515625" style="485" customWidth="1"/>
    <col min="6432" max="6432" width="5.85546875" style="485" customWidth="1"/>
    <col min="6433" max="6434" width="4.42578125" style="485" customWidth="1"/>
    <col min="6435" max="6435" width="5" style="485" customWidth="1"/>
    <col min="6436" max="6436" width="5.85546875" style="485" customWidth="1"/>
    <col min="6437" max="6437" width="6.140625" style="485" customWidth="1"/>
    <col min="6438" max="6438" width="6.28515625" style="485" customWidth="1"/>
    <col min="6439" max="6439" width="4.85546875" style="485" customWidth="1"/>
    <col min="6440" max="6440" width="8.140625" style="485" customWidth="1"/>
    <col min="6441" max="6441" width="11.5703125" style="485" customWidth="1"/>
    <col min="6442" max="6442" width="13.7109375" style="485" customWidth="1"/>
    <col min="6443" max="6443" width="20.85546875" style="485" customWidth="1"/>
    <col min="6444" max="6656" width="11.42578125" style="485"/>
    <col min="6657" max="6657" width="13.140625" style="485" customWidth="1"/>
    <col min="6658" max="6658" width="4" style="485" customWidth="1"/>
    <col min="6659" max="6659" width="12.85546875" style="485" customWidth="1"/>
    <col min="6660" max="6660" width="14.7109375" style="485" customWidth="1"/>
    <col min="6661" max="6661" width="10" style="485" customWidth="1"/>
    <col min="6662" max="6662" width="6.28515625" style="485" customWidth="1"/>
    <col min="6663" max="6663" width="12.28515625" style="485" customWidth="1"/>
    <col min="6664" max="6664" width="8.5703125" style="485" customWidth="1"/>
    <col min="6665" max="6665" width="13.7109375" style="485" customWidth="1"/>
    <col min="6666" max="6666" width="11.5703125" style="485" customWidth="1"/>
    <col min="6667" max="6667" width="24.7109375" style="485" customWidth="1"/>
    <col min="6668" max="6668" width="17.42578125" style="485" customWidth="1"/>
    <col min="6669" max="6669" width="20.85546875" style="485" customWidth="1"/>
    <col min="6670" max="6670" width="26.85546875" style="485" customWidth="1"/>
    <col min="6671" max="6671" width="8" style="485" customWidth="1"/>
    <col min="6672" max="6672" width="25" style="485" customWidth="1"/>
    <col min="6673" max="6673" width="12.7109375" style="485" customWidth="1"/>
    <col min="6674" max="6674" width="16.42578125" style="485" customWidth="1"/>
    <col min="6675" max="6675" width="23.5703125" style="485" customWidth="1"/>
    <col min="6676" max="6676" width="33.7109375" style="485" customWidth="1"/>
    <col min="6677" max="6677" width="31.140625" style="485" customWidth="1"/>
    <col min="6678" max="6678" width="19.28515625" style="485" customWidth="1"/>
    <col min="6679" max="6679" width="11.7109375" style="485" customWidth="1"/>
    <col min="6680" max="6680" width="15.42578125" style="485" customWidth="1"/>
    <col min="6681" max="6681" width="5.5703125" style="485" customWidth="1"/>
    <col min="6682" max="6682" width="4.7109375" style="485" customWidth="1"/>
    <col min="6683" max="6684" width="7.28515625" style="485" customWidth="1"/>
    <col min="6685" max="6685" width="8.42578125" style="485" customWidth="1"/>
    <col min="6686" max="6686" width="9.5703125" style="485" customWidth="1"/>
    <col min="6687" max="6687" width="6.28515625" style="485" customWidth="1"/>
    <col min="6688" max="6688" width="5.85546875" style="485" customWidth="1"/>
    <col min="6689" max="6690" width="4.42578125" style="485" customWidth="1"/>
    <col min="6691" max="6691" width="5" style="485" customWidth="1"/>
    <col min="6692" max="6692" width="5.85546875" style="485" customWidth="1"/>
    <col min="6693" max="6693" width="6.140625" style="485" customWidth="1"/>
    <col min="6694" max="6694" width="6.28515625" style="485" customWidth="1"/>
    <col min="6695" max="6695" width="4.85546875" style="485" customWidth="1"/>
    <col min="6696" max="6696" width="8.140625" style="485" customWidth="1"/>
    <col min="6697" max="6697" width="11.5703125" style="485" customWidth="1"/>
    <col min="6698" max="6698" width="13.7109375" style="485" customWidth="1"/>
    <col min="6699" max="6699" width="20.85546875" style="485" customWidth="1"/>
    <col min="6700" max="6912" width="11.42578125" style="485"/>
    <col min="6913" max="6913" width="13.140625" style="485" customWidth="1"/>
    <col min="6914" max="6914" width="4" style="485" customWidth="1"/>
    <col min="6915" max="6915" width="12.85546875" style="485" customWidth="1"/>
    <col min="6916" max="6916" width="14.7109375" style="485" customWidth="1"/>
    <col min="6917" max="6917" width="10" style="485" customWidth="1"/>
    <col min="6918" max="6918" width="6.28515625" style="485" customWidth="1"/>
    <col min="6919" max="6919" width="12.28515625" style="485" customWidth="1"/>
    <col min="6920" max="6920" width="8.5703125" style="485" customWidth="1"/>
    <col min="6921" max="6921" width="13.7109375" style="485" customWidth="1"/>
    <col min="6922" max="6922" width="11.5703125" style="485" customWidth="1"/>
    <col min="6923" max="6923" width="24.7109375" style="485" customWidth="1"/>
    <col min="6924" max="6924" width="17.42578125" style="485" customWidth="1"/>
    <col min="6925" max="6925" width="20.85546875" style="485" customWidth="1"/>
    <col min="6926" max="6926" width="26.85546875" style="485" customWidth="1"/>
    <col min="6927" max="6927" width="8" style="485" customWidth="1"/>
    <col min="6928" max="6928" width="25" style="485" customWidth="1"/>
    <col min="6929" max="6929" width="12.7109375" style="485" customWidth="1"/>
    <col min="6930" max="6930" width="16.42578125" style="485" customWidth="1"/>
    <col min="6931" max="6931" width="23.5703125" style="485" customWidth="1"/>
    <col min="6932" max="6932" width="33.7109375" style="485" customWidth="1"/>
    <col min="6933" max="6933" width="31.140625" style="485" customWidth="1"/>
    <col min="6934" max="6934" width="19.28515625" style="485" customWidth="1"/>
    <col min="6935" max="6935" width="11.7109375" style="485" customWidth="1"/>
    <col min="6936" max="6936" width="15.42578125" style="485" customWidth="1"/>
    <col min="6937" max="6937" width="5.5703125" style="485" customWidth="1"/>
    <col min="6938" max="6938" width="4.7109375" style="485" customWidth="1"/>
    <col min="6939" max="6940" width="7.28515625" style="485" customWidth="1"/>
    <col min="6941" max="6941" width="8.42578125" style="485" customWidth="1"/>
    <col min="6942" max="6942" width="9.5703125" style="485" customWidth="1"/>
    <col min="6943" max="6943" width="6.28515625" style="485" customWidth="1"/>
    <col min="6944" max="6944" width="5.85546875" style="485" customWidth="1"/>
    <col min="6945" max="6946" width="4.42578125" style="485" customWidth="1"/>
    <col min="6947" max="6947" width="5" style="485" customWidth="1"/>
    <col min="6948" max="6948" width="5.85546875" style="485" customWidth="1"/>
    <col min="6949" max="6949" width="6.140625" style="485" customWidth="1"/>
    <col min="6950" max="6950" width="6.28515625" style="485" customWidth="1"/>
    <col min="6951" max="6951" width="4.85546875" style="485" customWidth="1"/>
    <col min="6952" max="6952" width="8.140625" style="485" customWidth="1"/>
    <col min="6953" max="6953" width="11.5703125" style="485" customWidth="1"/>
    <col min="6954" max="6954" width="13.7109375" style="485" customWidth="1"/>
    <col min="6955" max="6955" width="20.85546875" style="485" customWidth="1"/>
    <col min="6956" max="7168" width="11.42578125" style="485"/>
    <col min="7169" max="7169" width="13.140625" style="485" customWidth="1"/>
    <col min="7170" max="7170" width="4" style="485" customWidth="1"/>
    <col min="7171" max="7171" width="12.85546875" style="485" customWidth="1"/>
    <col min="7172" max="7172" width="14.7109375" style="485" customWidth="1"/>
    <col min="7173" max="7173" width="10" style="485" customWidth="1"/>
    <col min="7174" max="7174" width="6.28515625" style="485" customWidth="1"/>
    <col min="7175" max="7175" width="12.28515625" style="485" customWidth="1"/>
    <col min="7176" max="7176" width="8.5703125" style="485" customWidth="1"/>
    <col min="7177" max="7177" width="13.7109375" style="485" customWidth="1"/>
    <col min="7178" max="7178" width="11.5703125" style="485" customWidth="1"/>
    <col min="7179" max="7179" width="24.7109375" style="485" customWidth="1"/>
    <col min="7180" max="7180" width="17.42578125" style="485" customWidth="1"/>
    <col min="7181" max="7181" width="20.85546875" style="485" customWidth="1"/>
    <col min="7182" max="7182" width="26.85546875" style="485" customWidth="1"/>
    <col min="7183" max="7183" width="8" style="485" customWidth="1"/>
    <col min="7184" max="7184" width="25" style="485" customWidth="1"/>
    <col min="7185" max="7185" width="12.7109375" style="485" customWidth="1"/>
    <col min="7186" max="7186" width="16.42578125" style="485" customWidth="1"/>
    <col min="7187" max="7187" width="23.5703125" style="485" customWidth="1"/>
    <col min="7188" max="7188" width="33.7109375" style="485" customWidth="1"/>
    <col min="7189" max="7189" width="31.140625" style="485" customWidth="1"/>
    <col min="7190" max="7190" width="19.28515625" style="485" customWidth="1"/>
    <col min="7191" max="7191" width="11.7109375" style="485" customWidth="1"/>
    <col min="7192" max="7192" width="15.42578125" style="485" customWidth="1"/>
    <col min="7193" max="7193" width="5.5703125" style="485" customWidth="1"/>
    <col min="7194" max="7194" width="4.7109375" style="485" customWidth="1"/>
    <col min="7195" max="7196" width="7.28515625" style="485" customWidth="1"/>
    <col min="7197" max="7197" width="8.42578125" style="485" customWidth="1"/>
    <col min="7198" max="7198" width="9.5703125" style="485" customWidth="1"/>
    <col min="7199" max="7199" width="6.28515625" style="485" customWidth="1"/>
    <col min="7200" max="7200" width="5.85546875" style="485" customWidth="1"/>
    <col min="7201" max="7202" width="4.42578125" style="485" customWidth="1"/>
    <col min="7203" max="7203" width="5" style="485" customWidth="1"/>
    <col min="7204" max="7204" width="5.85546875" style="485" customWidth="1"/>
    <col min="7205" max="7205" width="6.140625" style="485" customWidth="1"/>
    <col min="7206" max="7206" width="6.28515625" style="485" customWidth="1"/>
    <col min="7207" max="7207" width="4.85546875" style="485" customWidth="1"/>
    <col min="7208" max="7208" width="8.140625" style="485" customWidth="1"/>
    <col min="7209" max="7209" width="11.5703125" style="485" customWidth="1"/>
    <col min="7210" max="7210" width="13.7109375" style="485" customWidth="1"/>
    <col min="7211" max="7211" width="20.85546875" style="485" customWidth="1"/>
    <col min="7212" max="7424" width="11.42578125" style="485"/>
    <col min="7425" max="7425" width="13.140625" style="485" customWidth="1"/>
    <col min="7426" max="7426" width="4" style="485" customWidth="1"/>
    <col min="7427" max="7427" width="12.85546875" style="485" customWidth="1"/>
    <col min="7428" max="7428" width="14.7109375" style="485" customWidth="1"/>
    <col min="7429" max="7429" width="10" style="485" customWidth="1"/>
    <col min="7430" max="7430" width="6.28515625" style="485" customWidth="1"/>
    <col min="7431" max="7431" width="12.28515625" style="485" customWidth="1"/>
    <col min="7432" max="7432" width="8.5703125" style="485" customWidth="1"/>
    <col min="7433" max="7433" width="13.7109375" style="485" customWidth="1"/>
    <col min="7434" max="7434" width="11.5703125" style="485" customWidth="1"/>
    <col min="7435" max="7435" width="24.7109375" style="485" customWidth="1"/>
    <col min="7436" max="7436" width="17.42578125" style="485" customWidth="1"/>
    <col min="7437" max="7437" width="20.85546875" style="485" customWidth="1"/>
    <col min="7438" max="7438" width="26.85546875" style="485" customWidth="1"/>
    <col min="7439" max="7439" width="8" style="485" customWidth="1"/>
    <col min="7440" max="7440" width="25" style="485" customWidth="1"/>
    <col min="7441" max="7441" width="12.7109375" style="485" customWidth="1"/>
    <col min="7442" max="7442" width="16.42578125" style="485" customWidth="1"/>
    <col min="7443" max="7443" width="23.5703125" style="485" customWidth="1"/>
    <col min="7444" max="7444" width="33.7109375" style="485" customWidth="1"/>
    <col min="7445" max="7445" width="31.140625" style="485" customWidth="1"/>
    <col min="7446" max="7446" width="19.28515625" style="485" customWidth="1"/>
    <col min="7447" max="7447" width="11.7109375" style="485" customWidth="1"/>
    <col min="7448" max="7448" width="15.42578125" style="485" customWidth="1"/>
    <col min="7449" max="7449" width="5.5703125" style="485" customWidth="1"/>
    <col min="7450" max="7450" width="4.7109375" style="485" customWidth="1"/>
    <col min="7451" max="7452" width="7.28515625" style="485" customWidth="1"/>
    <col min="7453" max="7453" width="8.42578125" style="485" customWidth="1"/>
    <col min="7454" max="7454" width="9.5703125" style="485" customWidth="1"/>
    <col min="7455" max="7455" width="6.28515625" style="485" customWidth="1"/>
    <col min="7456" max="7456" width="5.85546875" style="485" customWidth="1"/>
    <col min="7457" max="7458" width="4.42578125" style="485" customWidth="1"/>
    <col min="7459" max="7459" width="5" style="485" customWidth="1"/>
    <col min="7460" max="7460" width="5.85546875" style="485" customWidth="1"/>
    <col min="7461" max="7461" width="6.140625" style="485" customWidth="1"/>
    <col min="7462" max="7462" width="6.28515625" style="485" customWidth="1"/>
    <col min="7463" max="7463" width="4.85546875" style="485" customWidth="1"/>
    <col min="7464" max="7464" width="8.140625" style="485" customWidth="1"/>
    <col min="7465" max="7465" width="11.5703125" style="485" customWidth="1"/>
    <col min="7466" max="7466" width="13.7109375" style="485" customWidth="1"/>
    <col min="7467" max="7467" width="20.85546875" style="485" customWidth="1"/>
    <col min="7468" max="7680" width="11.42578125" style="485"/>
    <col min="7681" max="7681" width="13.140625" style="485" customWidth="1"/>
    <col min="7682" max="7682" width="4" style="485" customWidth="1"/>
    <col min="7683" max="7683" width="12.85546875" style="485" customWidth="1"/>
    <col min="7684" max="7684" width="14.7109375" style="485" customWidth="1"/>
    <col min="7685" max="7685" width="10" style="485" customWidth="1"/>
    <col min="7686" max="7686" width="6.28515625" style="485" customWidth="1"/>
    <col min="7687" max="7687" width="12.28515625" style="485" customWidth="1"/>
    <col min="7688" max="7688" width="8.5703125" style="485" customWidth="1"/>
    <col min="7689" max="7689" width="13.7109375" style="485" customWidth="1"/>
    <col min="7690" max="7690" width="11.5703125" style="485" customWidth="1"/>
    <col min="7691" max="7691" width="24.7109375" style="485" customWidth="1"/>
    <col min="7692" max="7692" width="17.42578125" style="485" customWidth="1"/>
    <col min="7693" max="7693" width="20.85546875" style="485" customWidth="1"/>
    <col min="7694" max="7694" width="26.85546875" style="485" customWidth="1"/>
    <col min="7695" max="7695" width="8" style="485" customWidth="1"/>
    <col min="7696" max="7696" width="25" style="485" customWidth="1"/>
    <col min="7697" max="7697" width="12.7109375" style="485" customWidth="1"/>
    <col min="7698" max="7698" width="16.42578125" style="485" customWidth="1"/>
    <col min="7699" max="7699" width="23.5703125" style="485" customWidth="1"/>
    <col min="7700" max="7700" width="33.7109375" style="485" customWidth="1"/>
    <col min="7701" max="7701" width="31.140625" style="485" customWidth="1"/>
    <col min="7702" max="7702" width="19.28515625" style="485" customWidth="1"/>
    <col min="7703" max="7703" width="11.7109375" style="485" customWidth="1"/>
    <col min="7704" max="7704" width="15.42578125" style="485" customWidth="1"/>
    <col min="7705" max="7705" width="5.5703125" style="485" customWidth="1"/>
    <col min="7706" max="7706" width="4.7109375" style="485" customWidth="1"/>
    <col min="7707" max="7708" width="7.28515625" style="485" customWidth="1"/>
    <col min="7709" max="7709" width="8.42578125" style="485" customWidth="1"/>
    <col min="7710" max="7710" width="9.5703125" style="485" customWidth="1"/>
    <col min="7711" max="7711" width="6.28515625" style="485" customWidth="1"/>
    <col min="7712" max="7712" width="5.85546875" style="485" customWidth="1"/>
    <col min="7713" max="7714" width="4.42578125" style="485" customWidth="1"/>
    <col min="7715" max="7715" width="5" style="485" customWidth="1"/>
    <col min="7716" max="7716" width="5.85546875" style="485" customWidth="1"/>
    <col min="7717" max="7717" width="6.140625" style="485" customWidth="1"/>
    <col min="7718" max="7718" width="6.28515625" style="485" customWidth="1"/>
    <col min="7719" max="7719" width="4.85546875" style="485" customWidth="1"/>
    <col min="7720" max="7720" width="8.140625" style="485" customWidth="1"/>
    <col min="7721" max="7721" width="11.5703125" style="485" customWidth="1"/>
    <col min="7722" max="7722" width="13.7109375" style="485" customWidth="1"/>
    <col min="7723" max="7723" width="20.85546875" style="485" customWidth="1"/>
    <col min="7724" max="7936" width="11.42578125" style="485"/>
    <col min="7937" max="7937" width="13.140625" style="485" customWidth="1"/>
    <col min="7938" max="7938" width="4" style="485" customWidth="1"/>
    <col min="7939" max="7939" width="12.85546875" style="485" customWidth="1"/>
    <col min="7940" max="7940" width="14.7109375" style="485" customWidth="1"/>
    <col min="7941" max="7941" width="10" style="485" customWidth="1"/>
    <col min="7942" max="7942" width="6.28515625" style="485" customWidth="1"/>
    <col min="7943" max="7943" width="12.28515625" style="485" customWidth="1"/>
    <col min="7944" max="7944" width="8.5703125" style="485" customWidth="1"/>
    <col min="7945" max="7945" width="13.7109375" style="485" customWidth="1"/>
    <col min="7946" max="7946" width="11.5703125" style="485" customWidth="1"/>
    <col min="7947" max="7947" width="24.7109375" style="485" customWidth="1"/>
    <col min="7948" max="7948" width="17.42578125" style="485" customWidth="1"/>
    <col min="7949" max="7949" width="20.85546875" style="485" customWidth="1"/>
    <col min="7950" max="7950" width="26.85546875" style="485" customWidth="1"/>
    <col min="7951" max="7951" width="8" style="485" customWidth="1"/>
    <col min="7952" max="7952" width="25" style="485" customWidth="1"/>
    <col min="7953" max="7953" width="12.7109375" style="485" customWidth="1"/>
    <col min="7954" max="7954" width="16.42578125" style="485" customWidth="1"/>
    <col min="7955" max="7955" width="23.5703125" style="485" customWidth="1"/>
    <col min="7956" max="7956" width="33.7109375" style="485" customWidth="1"/>
    <col min="7957" max="7957" width="31.140625" style="485" customWidth="1"/>
    <col min="7958" max="7958" width="19.28515625" style="485" customWidth="1"/>
    <col min="7959" max="7959" width="11.7109375" style="485" customWidth="1"/>
    <col min="7960" max="7960" width="15.42578125" style="485" customWidth="1"/>
    <col min="7961" max="7961" width="5.5703125" style="485" customWidth="1"/>
    <col min="7962" max="7962" width="4.7109375" style="485" customWidth="1"/>
    <col min="7963" max="7964" width="7.28515625" style="485" customWidth="1"/>
    <col min="7965" max="7965" width="8.42578125" style="485" customWidth="1"/>
    <col min="7966" max="7966" width="9.5703125" style="485" customWidth="1"/>
    <col min="7967" max="7967" width="6.28515625" style="485" customWidth="1"/>
    <col min="7968" max="7968" width="5.85546875" style="485" customWidth="1"/>
    <col min="7969" max="7970" width="4.42578125" style="485" customWidth="1"/>
    <col min="7971" max="7971" width="5" style="485" customWidth="1"/>
    <col min="7972" max="7972" width="5.85546875" style="485" customWidth="1"/>
    <col min="7973" max="7973" width="6.140625" style="485" customWidth="1"/>
    <col min="7974" max="7974" width="6.28515625" style="485" customWidth="1"/>
    <col min="7975" max="7975" width="4.85546875" style="485" customWidth="1"/>
    <col min="7976" max="7976" width="8.140625" style="485" customWidth="1"/>
    <col min="7977" max="7977" width="11.5703125" style="485" customWidth="1"/>
    <col min="7978" max="7978" width="13.7109375" style="485" customWidth="1"/>
    <col min="7979" max="7979" width="20.85546875" style="485" customWidth="1"/>
    <col min="7980" max="8192" width="11.42578125" style="485"/>
    <col min="8193" max="8193" width="13.140625" style="485" customWidth="1"/>
    <col min="8194" max="8194" width="4" style="485" customWidth="1"/>
    <col min="8195" max="8195" width="12.85546875" style="485" customWidth="1"/>
    <col min="8196" max="8196" width="14.7109375" style="485" customWidth="1"/>
    <col min="8197" max="8197" width="10" style="485" customWidth="1"/>
    <col min="8198" max="8198" width="6.28515625" style="485" customWidth="1"/>
    <col min="8199" max="8199" width="12.28515625" style="485" customWidth="1"/>
    <col min="8200" max="8200" width="8.5703125" style="485" customWidth="1"/>
    <col min="8201" max="8201" width="13.7109375" style="485" customWidth="1"/>
    <col min="8202" max="8202" width="11.5703125" style="485" customWidth="1"/>
    <col min="8203" max="8203" width="24.7109375" style="485" customWidth="1"/>
    <col min="8204" max="8204" width="17.42578125" style="485" customWidth="1"/>
    <col min="8205" max="8205" width="20.85546875" style="485" customWidth="1"/>
    <col min="8206" max="8206" width="26.85546875" style="485" customWidth="1"/>
    <col min="8207" max="8207" width="8" style="485" customWidth="1"/>
    <col min="8208" max="8208" width="25" style="485" customWidth="1"/>
    <col min="8209" max="8209" width="12.7109375" style="485" customWidth="1"/>
    <col min="8210" max="8210" width="16.42578125" style="485" customWidth="1"/>
    <col min="8211" max="8211" width="23.5703125" style="485" customWidth="1"/>
    <col min="8212" max="8212" width="33.7109375" style="485" customWidth="1"/>
    <col min="8213" max="8213" width="31.140625" style="485" customWidth="1"/>
    <col min="8214" max="8214" width="19.28515625" style="485" customWidth="1"/>
    <col min="8215" max="8215" width="11.7109375" style="485" customWidth="1"/>
    <col min="8216" max="8216" width="15.42578125" style="485" customWidth="1"/>
    <col min="8217" max="8217" width="5.5703125" style="485" customWidth="1"/>
    <col min="8218" max="8218" width="4.7109375" style="485" customWidth="1"/>
    <col min="8219" max="8220" width="7.28515625" style="485" customWidth="1"/>
    <col min="8221" max="8221" width="8.42578125" style="485" customWidth="1"/>
    <col min="8222" max="8222" width="9.5703125" style="485" customWidth="1"/>
    <col min="8223" max="8223" width="6.28515625" style="485" customWidth="1"/>
    <col min="8224" max="8224" width="5.85546875" style="485" customWidth="1"/>
    <col min="8225" max="8226" width="4.42578125" style="485" customWidth="1"/>
    <col min="8227" max="8227" width="5" style="485" customWidth="1"/>
    <col min="8228" max="8228" width="5.85546875" style="485" customWidth="1"/>
    <col min="8229" max="8229" width="6.140625" style="485" customWidth="1"/>
    <col min="8230" max="8230" width="6.28515625" style="485" customWidth="1"/>
    <col min="8231" max="8231" width="4.85546875" style="485" customWidth="1"/>
    <col min="8232" max="8232" width="8.140625" style="485" customWidth="1"/>
    <col min="8233" max="8233" width="11.5703125" style="485" customWidth="1"/>
    <col min="8234" max="8234" width="13.7109375" style="485" customWidth="1"/>
    <col min="8235" max="8235" width="20.85546875" style="485" customWidth="1"/>
    <col min="8236" max="8448" width="11.42578125" style="485"/>
    <col min="8449" max="8449" width="13.140625" style="485" customWidth="1"/>
    <col min="8450" max="8450" width="4" style="485" customWidth="1"/>
    <col min="8451" max="8451" width="12.85546875" style="485" customWidth="1"/>
    <col min="8452" max="8452" width="14.7109375" style="485" customWidth="1"/>
    <col min="8453" max="8453" width="10" style="485" customWidth="1"/>
    <col min="8454" max="8454" width="6.28515625" style="485" customWidth="1"/>
    <col min="8455" max="8455" width="12.28515625" style="485" customWidth="1"/>
    <col min="8456" max="8456" width="8.5703125" style="485" customWidth="1"/>
    <col min="8457" max="8457" width="13.7109375" style="485" customWidth="1"/>
    <col min="8458" max="8458" width="11.5703125" style="485" customWidth="1"/>
    <col min="8459" max="8459" width="24.7109375" style="485" customWidth="1"/>
    <col min="8460" max="8460" width="17.42578125" style="485" customWidth="1"/>
    <col min="8461" max="8461" width="20.85546875" style="485" customWidth="1"/>
    <col min="8462" max="8462" width="26.85546875" style="485" customWidth="1"/>
    <col min="8463" max="8463" width="8" style="485" customWidth="1"/>
    <col min="8464" max="8464" width="25" style="485" customWidth="1"/>
    <col min="8465" max="8465" width="12.7109375" style="485" customWidth="1"/>
    <col min="8466" max="8466" width="16.42578125" style="485" customWidth="1"/>
    <col min="8467" max="8467" width="23.5703125" style="485" customWidth="1"/>
    <col min="8468" max="8468" width="33.7109375" style="485" customWidth="1"/>
    <col min="8469" max="8469" width="31.140625" style="485" customWidth="1"/>
    <col min="8470" max="8470" width="19.28515625" style="485" customWidth="1"/>
    <col min="8471" max="8471" width="11.7109375" style="485" customWidth="1"/>
    <col min="8472" max="8472" width="15.42578125" style="485" customWidth="1"/>
    <col min="8473" max="8473" width="5.5703125" style="485" customWidth="1"/>
    <col min="8474" max="8474" width="4.7109375" style="485" customWidth="1"/>
    <col min="8475" max="8476" width="7.28515625" style="485" customWidth="1"/>
    <col min="8477" max="8477" width="8.42578125" style="485" customWidth="1"/>
    <col min="8478" max="8478" width="9.5703125" style="485" customWidth="1"/>
    <col min="8479" max="8479" width="6.28515625" style="485" customWidth="1"/>
    <col min="8480" max="8480" width="5.85546875" style="485" customWidth="1"/>
    <col min="8481" max="8482" width="4.42578125" style="485" customWidth="1"/>
    <col min="8483" max="8483" width="5" style="485" customWidth="1"/>
    <col min="8484" max="8484" width="5.85546875" style="485" customWidth="1"/>
    <col min="8485" max="8485" width="6.140625" style="485" customWidth="1"/>
    <col min="8486" max="8486" width="6.28515625" style="485" customWidth="1"/>
    <col min="8487" max="8487" width="4.85546875" style="485" customWidth="1"/>
    <col min="8488" max="8488" width="8.140625" style="485" customWidth="1"/>
    <col min="8489" max="8489" width="11.5703125" style="485" customWidth="1"/>
    <col min="8490" max="8490" width="13.7109375" style="485" customWidth="1"/>
    <col min="8491" max="8491" width="20.85546875" style="485" customWidth="1"/>
    <col min="8492" max="8704" width="11.42578125" style="485"/>
    <col min="8705" max="8705" width="13.140625" style="485" customWidth="1"/>
    <col min="8706" max="8706" width="4" style="485" customWidth="1"/>
    <col min="8707" max="8707" width="12.85546875" style="485" customWidth="1"/>
    <col min="8708" max="8708" width="14.7109375" style="485" customWidth="1"/>
    <col min="8709" max="8709" width="10" style="485" customWidth="1"/>
    <col min="8710" max="8710" width="6.28515625" style="485" customWidth="1"/>
    <col min="8711" max="8711" width="12.28515625" style="485" customWidth="1"/>
    <col min="8712" max="8712" width="8.5703125" style="485" customWidth="1"/>
    <col min="8713" max="8713" width="13.7109375" style="485" customWidth="1"/>
    <col min="8714" max="8714" width="11.5703125" style="485" customWidth="1"/>
    <col min="8715" max="8715" width="24.7109375" style="485" customWidth="1"/>
    <col min="8716" max="8716" width="17.42578125" style="485" customWidth="1"/>
    <col min="8717" max="8717" width="20.85546875" style="485" customWidth="1"/>
    <col min="8718" max="8718" width="26.85546875" style="485" customWidth="1"/>
    <col min="8719" max="8719" width="8" style="485" customWidth="1"/>
    <col min="8720" max="8720" width="25" style="485" customWidth="1"/>
    <col min="8721" max="8721" width="12.7109375" style="485" customWidth="1"/>
    <col min="8722" max="8722" width="16.42578125" style="485" customWidth="1"/>
    <col min="8723" max="8723" width="23.5703125" style="485" customWidth="1"/>
    <col min="8724" max="8724" width="33.7109375" style="485" customWidth="1"/>
    <col min="8725" max="8725" width="31.140625" style="485" customWidth="1"/>
    <col min="8726" max="8726" width="19.28515625" style="485" customWidth="1"/>
    <col min="8727" max="8727" width="11.7109375" style="485" customWidth="1"/>
    <col min="8728" max="8728" width="15.42578125" style="485" customWidth="1"/>
    <col min="8729" max="8729" width="5.5703125" style="485" customWidth="1"/>
    <col min="8730" max="8730" width="4.7109375" style="485" customWidth="1"/>
    <col min="8731" max="8732" width="7.28515625" style="485" customWidth="1"/>
    <col min="8733" max="8733" width="8.42578125" style="485" customWidth="1"/>
    <col min="8734" max="8734" width="9.5703125" style="485" customWidth="1"/>
    <col min="8735" max="8735" width="6.28515625" style="485" customWidth="1"/>
    <col min="8736" max="8736" width="5.85546875" style="485" customWidth="1"/>
    <col min="8737" max="8738" width="4.42578125" style="485" customWidth="1"/>
    <col min="8739" max="8739" width="5" style="485" customWidth="1"/>
    <col min="8740" max="8740" width="5.85546875" style="485" customWidth="1"/>
    <col min="8741" max="8741" width="6.140625" style="485" customWidth="1"/>
    <col min="8742" max="8742" width="6.28515625" style="485" customWidth="1"/>
    <col min="8743" max="8743" width="4.85546875" style="485" customWidth="1"/>
    <col min="8744" max="8744" width="8.140625" style="485" customWidth="1"/>
    <col min="8745" max="8745" width="11.5703125" style="485" customWidth="1"/>
    <col min="8746" max="8746" width="13.7109375" style="485" customWidth="1"/>
    <col min="8747" max="8747" width="20.85546875" style="485" customWidth="1"/>
    <col min="8748" max="8960" width="11.42578125" style="485"/>
    <col min="8961" max="8961" width="13.140625" style="485" customWidth="1"/>
    <col min="8962" max="8962" width="4" style="485" customWidth="1"/>
    <col min="8963" max="8963" width="12.85546875" style="485" customWidth="1"/>
    <col min="8964" max="8964" width="14.7109375" style="485" customWidth="1"/>
    <col min="8965" max="8965" width="10" style="485" customWidth="1"/>
    <col min="8966" max="8966" width="6.28515625" style="485" customWidth="1"/>
    <col min="8967" max="8967" width="12.28515625" style="485" customWidth="1"/>
    <col min="8968" max="8968" width="8.5703125" style="485" customWidth="1"/>
    <col min="8969" max="8969" width="13.7109375" style="485" customWidth="1"/>
    <col min="8970" max="8970" width="11.5703125" style="485" customWidth="1"/>
    <col min="8971" max="8971" width="24.7109375" style="485" customWidth="1"/>
    <col min="8972" max="8972" width="17.42578125" style="485" customWidth="1"/>
    <col min="8973" max="8973" width="20.85546875" style="485" customWidth="1"/>
    <col min="8974" max="8974" width="26.85546875" style="485" customWidth="1"/>
    <col min="8975" max="8975" width="8" style="485" customWidth="1"/>
    <col min="8976" max="8976" width="25" style="485" customWidth="1"/>
    <col min="8977" max="8977" width="12.7109375" style="485" customWidth="1"/>
    <col min="8978" max="8978" width="16.42578125" style="485" customWidth="1"/>
    <col min="8979" max="8979" width="23.5703125" style="485" customWidth="1"/>
    <col min="8980" max="8980" width="33.7109375" style="485" customWidth="1"/>
    <col min="8981" max="8981" width="31.140625" style="485" customWidth="1"/>
    <col min="8982" max="8982" width="19.28515625" style="485" customWidth="1"/>
    <col min="8983" max="8983" width="11.7109375" style="485" customWidth="1"/>
    <col min="8984" max="8984" width="15.42578125" style="485" customWidth="1"/>
    <col min="8985" max="8985" width="5.5703125" style="485" customWidth="1"/>
    <col min="8986" max="8986" width="4.7109375" style="485" customWidth="1"/>
    <col min="8987" max="8988" width="7.28515625" style="485" customWidth="1"/>
    <col min="8989" max="8989" width="8.42578125" style="485" customWidth="1"/>
    <col min="8990" max="8990" width="9.5703125" style="485" customWidth="1"/>
    <col min="8991" max="8991" width="6.28515625" style="485" customWidth="1"/>
    <col min="8992" max="8992" width="5.85546875" style="485" customWidth="1"/>
    <col min="8993" max="8994" width="4.42578125" style="485" customWidth="1"/>
    <col min="8995" max="8995" width="5" style="485" customWidth="1"/>
    <col min="8996" max="8996" width="5.85546875" style="485" customWidth="1"/>
    <col min="8997" max="8997" width="6.140625" style="485" customWidth="1"/>
    <col min="8998" max="8998" width="6.28515625" style="485" customWidth="1"/>
    <col min="8999" max="8999" width="4.85546875" style="485" customWidth="1"/>
    <col min="9000" max="9000" width="8.140625" style="485" customWidth="1"/>
    <col min="9001" max="9001" width="11.5703125" style="485" customWidth="1"/>
    <col min="9002" max="9002" width="13.7109375" style="485" customWidth="1"/>
    <col min="9003" max="9003" width="20.85546875" style="485" customWidth="1"/>
    <col min="9004" max="9216" width="11.42578125" style="485"/>
    <col min="9217" max="9217" width="13.140625" style="485" customWidth="1"/>
    <col min="9218" max="9218" width="4" style="485" customWidth="1"/>
    <col min="9219" max="9219" width="12.85546875" style="485" customWidth="1"/>
    <col min="9220" max="9220" width="14.7109375" style="485" customWidth="1"/>
    <col min="9221" max="9221" width="10" style="485" customWidth="1"/>
    <col min="9222" max="9222" width="6.28515625" style="485" customWidth="1"/>
    <col min="9223" max="9223" width="12.28515625" style="485" customWidth="1"/>
    <col min="9224" max="9224" width="8.5703125" style="485" customWidth="1"/>
    <col min="9225" max="9225" width="13.7109375" style="485" customWidth="1"/>
    <col min="9226" max="9226" width="11.5703125" style="485" customWidth="1"/>
    <col min="9227" max="9227" width="24.7109375" style="485" customWidth="1"/>
    <col min="9228" max="9228" width="17.42578125" style="485" customWidth="1"/>
    <col min="9229" max="9229" width="20.85546875" style="485" customWidth="1"/>
    <col min="9230" max="9230" width="26.85546875" style="485" customWidth="1"/>
    <col min="9231" max="9231" width="8" style="485" customWidth="1"/>
    <col min="9232" max="9232" width="25" style="485" customWidth="1"/>
    <col min="9233" max="9233" width="12.7109375" style="485" customWidth="1"/>
    <col min="9234" max="9234" width="16.42578125" style="485" customWidth="1"/>
    <col min="9235" max="9235" width="23.5703125" style="485" customWidth="1"/>
    <col min="9236" max="9236" width="33.7109375" style="485" customWidth="1"/>
    <col min="9237" max="9237" width="31.140625" style="485" customWidth="1"/>
    <col min="9238" max="9238" width="19.28515625" style="485" customWidth="1"/>
    <col min="9239" max="9239" width="11.7109375" style="485" customWidth="1"/>
    <col min="9240" max="9240" width="15.42578125" style="485" customWidth="1"/>
    <col min="9241" max="9241" width="5.5703125" style="485" customWidth="1"/>
    <col min="9242" max="9242" width="4.7109375" style="485" customWidth="1"/>
    <col min="9243" max="9244" width="7.28515625" style="485" customWidth="1"/>
    <col min="9245" max="9245" width="8.42578125" style="485" customWidth="1"/>
    <col min="9246" max="9246" width="9.5703125" style="485" customWidth="1"/>
    <col min="9247" max="9247" width="6.28515625" style="485" customWidth="1"/>
    <col min="9248" max="9248" width="5.85546875" style="485" customWidth="1"/>
    <col min="9249" max="9250" width="4.42578125" style="485" customWidth="1"/>
    <col min="9251" max="9251" width="5" style="485" customWidth="1"/>
    <col min="9252" max="9252" width="5.85546875" style="485" customWidth="1"/>
    <col min="9253" max="9253" width="6.140625" style="485" customWidth="1"/>
    <col min="9254" max="9254" width="6.28515625" style="485" customWidth="1"/>
    <col min="9255" max="9255" width="4.85546875" style="485" customWidth="1"/>
    <col min="9256" max="9256" width="8.140625" style="485" customWidth="1"/>
    <col min="9257" max="9257" width="11.5703125" style="485" customWidth="1"/>
    <col min="9258" max="9258" width="13.7109375" style="485" customWidth="1"/>
    <col min="9259" max="9259" width="20.85546875" style="485" customWidth="1"/>
    <col min="9260" max="9472" width="11.42578125" style="485"/>
    <col min="9473" max="9473" width="13.140625" style="485" customWidth="1"/>
    <col min="9474" max="9474" width="4" style="485" customWidth="1"/>
    <col min="9475" max="9475" width="12.85546875" style="485" customWidth="1"/>
    <col min="9476" max="9476" width="14.7109375" style="485" customWidth="1"/>
    <col min="9477" max="9477" width="10" style="485" customWidth="1"/>
    <col min="9478" max="9478" width="6.28515625" style="485" customWidth="1"/>
    <col min="9479" max="9479" width="12.28515625" style="485" customWidth="1"/>
    <col min="9480" max="9480" width="8.5703125" style="485" customWidth="1"/>
    <col min="9481" max="9481" width="13.7109375" style="485" customWidth="1"/>
    <col min="9482" max="9482" width="11.5703125" style="485" customWidth="1"/>
    <col min="9483" max="9483" width="24.7109375" style="485" customWidth="1"/>
    <col min="9484" max="9484" width="17.42578125" style="485" customWidth="1"/>
    <col min="9485" max="9485" width="20.85546875" style="485" customWidth="1"/>
    <col min="9486" max="9486" width="26.85546875" style="485" customWidth="1"/>
    <col min="9487" max="9487" width="8" style="485" customWidth="1"/>
    <col min="9488" max="9488" width="25" style="485" customWidth="1"/>
    <col min="9489" max="9489" width="12.7109375" style="485" customWidth="1"/>
    <col min="9490" max="9490" width="16.42578125" style="485" customWidth="1"/>
    <col min="9491" max="9491" width="23.5703125" style="485" customWidth="1"/>
    <col min="9492" max="9492" width="33.7109375" style="485" customWidth="1"/>
    <col min="9493" max="9493" width="31.140625" style="485" customWidth="1"/>
    <col min="9494" max="9494" width="19.28515625" style="485" customWidth="1"/>
    <col min="9495" max="9495" width="11.7109375" style="485" customWidth="1"/>
    <col min="9496" max="9496" width="15.42578125" style="485" customWidth="1"/>
    <col min="9497" max="9497" width="5.5703125" style="485" customWidth="1"/>
    <col min="9498" max="9498" width="4.7109375" style="485" customWidth="1"/>
    <col min="9499" max="9500" width="7.28515625" style="485" customWidth="1"/>
    <col min="9501" max="9501" width="8.42578125" style="485" customWidth="1"/>
    <col min="9502" max="9502" width="9.5703125" style="485" customWidth="1"/>
    <col min="9503" max="9503" width="6.28515625" style="485" customWidth="1"/>
    <col min="9504" max="9504" width="5.85546875" style="485" customWidth="1"/>
    <col min="9505" max="9506" width="4.42578125" style="485" customWidth="1"/>
    <col min="9507" max="9507" width="5" style="485" customWidth="1"/>
    <col min="9508" max="9508" width="5.85546875" style="485" customWidth="1"/>
    <col min="9509" max="9509" width="6.140625" style="485" customWidth="1"/>
    <col min="9510" max="9510" width="6.28515625" style="485" customWidth="1"/>
    <col min="9511" max="9511" width="4.85546875" style="485" customWidth="1"/>
    <col min="9512" max="9512" width="8.140625" style="485" customWidth="1"/>
    <col min="9513" max="9513" width="11.5703125" style="485" customWidth="1"/>
    <col min="9514" max="9514" width="13.7109375" style="485" customWidth="1"/>
    <col min="9515" max="9515" width="20.85546875" style="485" customWidth="1"/>
    <col min="9516" max="9728" width="11.42578125" style="485"/>
    <col min="9729" max="9729" width="13.140625" style="485" customWidth="1"/>
    <col min="9730" max="9730" width="4" style="485" customWidth="1"/>
    <col min="9731" max="9731" width="12.85546875" style="485" customWidth="1"/>
    <col min="9732" max="9732" width="14.7109375" style="485" customWidth="1"/>
    <col min="9733" max="9733" width="10" style="485" customWidth="1"/>
    <col min="9734" max="9734" width="6.28515625" style="485" customWidth="1"/>
    <col min="9735" max="9735" width="12.28515625" style="485" customWidth="1"/>
    <col min="9736" max="9736" width="8.5703125" style="485" customWidth="1"/>
    <col min="9737" max="9737" width="13.7109375" style="485" customWidth="1"/>
    <col min="9738" max="9738" width="11.5703125" style="485" customWidth="1"/>
    <col min="9739" max="9739" width="24.7109375" style="485" customWidth="1"/>
    <col min="9740" max="9740" width="17.42578125" style="485" customWidth="1"/>
    <col min="9741" max="9741" width="20.85546875" style="485" customWidth="1"/>
    <col min="9742" max="9742" width="26.85546875" style="485" customWidth="1"/>
    <col min="9743" max="9743" width="8" style="485" customWidth="1"/>
    <col min="9744" max="9744" width="25" style="485" customWidth="1"/>
    <col min="9745" max="9745" width="12.7109375" style="485" customWidth="1"/>
    <col min="9746" max="9746" width="16.42578125" style="485" customWidth="1"/>
    <col min="9747" max="9747" width="23.5703125" style="485" customWidth="1"/>
    <col min="9748" max="9748" width="33.7109375" style="485" customWidth="1"/>
    <col min="9749" max="9749" width="31.140625" style="485" customWidth="1"/>
    <col min="9750" max="9750" width="19.28515625" style="485" customWidth="1"/>
    <col min="9751" max="9751" width="11.7109375" style="485" customWidth="1"/>
    <col min="9752" max="9752" width="15.42578125" style="485" customWidth="1"/>
    <col min="9753" max="9753" width="5.5703125" style="485" customWidth="1"/>
    <col min="9754" max="9754" width="4.7109375" style="485" customWidth="1"/>
    <col min="9755" max="9756" width="7.28515625" style="485" customWidth="1"/>
    <col min="9757" max="9757" width="8.42578125" style="485" customWidth="1"/>
    <col min="9758" max="9758" width="9.5703125" style="485" customWidth="1"/>
    <col min="9759" max="9759" width="6.28515625" style="485" customWidth="1"/>
    <col min="9760" max="9760" width="5.85546875" style="485" customWidth="1"/>
    <col min="9761" max="9762" width="4.42578125" style="485" customWidth="1"/>
    <col min="9763" max="9763" width="5" style="485" customWidth="1"/>
    <col min="9764" max="9764" width="5.85546875" style="485" customWidth="1"/>
    <col min="9765" max="9765" width="6.140625" style="485" customWidth="1"/>
    <col min="9766" max="9766" width="6.28515625" style="485" customWidth="1"/>
    <col min="9767" max="9767" width="4.85546875" style="485" customWidth="1"/>
    <col min="9768" max="9768" width="8.140625" style="485" customWidth="1"/>
    <col min="9769" max="9769" width="11.5703125" style="485" customWidth="1"/>
    <col min="9770" max="9770" width="13.7109375" style="485" customWidth="1"/>
    <col min="9771" max="9771" width="20.85546875" style="485" customWidth="1"/>
    <col min="9772" max="9984" width="11.42578125" style="485"/>
    <col min="9985" max="9985" width="13.140625" style="485" customWidth="1"/>
    <col min="9986" max="9986" width="4" style="485" customWidth="1"/>
    <col min="9987" max="9987" width="12.85546875" style="485" customWidth="1"/>
    <col min="9988" max="9988" width="14.7109375" style="485" customWidth="1"/>
    <col min="9989" max="9989" width="10" style="485" customWidth="1"/>
    <col min="9990" max="9990" width="6.28515625" style="485" customWidth="1"/>
    <col min="9991" max="9991" width="12.28515625" style="485" customWidth="1"/>
    <col min="9992" max="9992" width="8.5703125" style="485" customWidth="1"/>
    <col min="9993" max="9993" width="13.7109375" style="485" customWidth="1"/>
    <col min="9994" max="9994" width="11.5703125" style="485" customWidth="1"/>
    <col min="9995" max="9995" width="24.7109375" style="485" customWidth="1"/>
    <col min="9996" max="9996" width="17.42578125" style="485" customWidth="1"/>
    <col min="9997" max="9997" width="20.85546875" style="485" customWidth="1"/>
    <col min="9998" max="9998" width="26.85546875" style="485" customWidth="1"/>
    <col min="9999" max="9999" width="8" style="485" customWidth="1"/>
    <col min="10000" max="10000" width="25" style="485" customWidth="1"/>
    <col min="10001" max="10001" width="12.7109375" style="485" customWidth="1"/>
    <col min="10002" max="10002" width="16.42578125" style="485" customWidth="1"/>
    <col min="10003" max="10003" width="23.5703125" style="485" customWidth="1"/>
    <col min="10004" max="10004" width="33.7109375" style="485" customWidth="1"/>
    <col min="10005" max="10005" width="31.140625" style="485" customWidth="1"/>
    <col min="10006" max="10006" width="19.28515625" style="485" customWidth="1"/>
    <col min="10007" max="10007" width="11.7109375" style="485" customWidth="1"/>
    <col min="10008" max="10008" width="15.42578125" style="485" customWidth="1"/>
    <col min="10009" max="10009" width="5.5703125" style="485" customWidth="1"/>
    <col min="10010" max="10010" width="4.7109375" style="485" customWidth="1"/>
    <col min="10011" max="10012" width="7.28515625" style="485" customWidth="1"/>
    <col min="10013" max="10013" width="8.42578125" style="485" customWidth="1"/>
    <col min="10014" max="10014" width="9.5703125" style="485" customWidth="1"/>
    <col min="10015" max="10015" width="6.28515625" style="485" customWidth="1"/>
    <col min="10016" max="10016" width="5.85546875" style="485" customWidth="1"/>
    <col min="10017" max="10018" width="4.42578125" style="485" customWidth="1"/>
    <col min="10019" max="10019" width="5" style="485" customWidth="1"/>
    <col min="10020" max="10020" width="5.85546875" style="485" customWidth="1"/>
    <col min="10021" max="10021" width="6.140625" style="485" customWidth="1"/>
    <col min="10022" max="10022" width="6.28515625" style="485" customWidth="1"/>
    <col min="10023" max="10023" width="4.85546875" style="485" customWidth="1"/>
    <col min="10024" max="10024" width="8.140625" style="485" customWidth="1"/>
    <col min="10025" max="10025" width="11.5703125" style="485" customWidth="1"/>
    <col min="10026" max="10026" width="13.7109375" style="485" customWidth="1"/>
    <col min="10027" max="10027" width="20.85546875" style="485" customWidth="1"/>
    <col min="10028" max="10240" width="11.42578125" style="485"/>
    <col min="10241" max="10241" width="13.140625" style="485" customWidth="1"/>
    <col min="10242" max="10242" width="4" style="485" customWidth="1"/>
    <col min="10243" max="10243" width="12.85546875" style="485" customWidth="1"/>
    <col min="10244" max="10244" width="14.7109375" style="485" customWidth="1"/>
    <col min="10245" max="10245" width="10" style="485" customWidth="1"/>
    <col min="10246" max="10246" width="6.28515625" style="485" customWidth="1"/>
    <col min="10247" max="10247" width="12.28515625" style="485" customWidth="1"/>
    <col min="10248" max="10248" width="8.5703125" style="485" customWidth="1"/>
    <col min="10249" max="10249" width="13.7109375" style="485" customWidth="1"/>
    <col min="10250" max="10250" width="11.5703125" style="485" customWidth="1"/>
    <col min="10251" max="10251" width="24.7109375" style="485" customWidth="1"/>
    <col min="10252" max="10252" width="17.42578125" style="485" customWidth="1"/>
    <col min="10253" max="10253" width="20.85546875" style="485" customWidth="1"/>
    <col min="10254" max="10254" width="26.85546875" style="485" customWidth="1"/>
    <col min="10255" max="10255" width="8" style="485" customWidth="1"/>
    <col min="10256" max="10256" width="25" style="485" customWidth="1"/>
    <col min="10257" max="10257" width="12.7109375" style="485" customWidth="1"/>
    <col min="10258" max="10258" width="16.42578125" style="485" customWidth="1"/>
    <col min="10259" max="10259" width="23.5703125" style="485" customWidth="1"/>
    <col min="10260" max="10260" width="33.7109375" style="485" customWidth="1"/>
    <col min="10261" max="10261" width="31.140625" style="485" customWidth="1"/>
    <col min="10262" max="10262" width="19.28515625" style="485" customWidth="1"/>
    <col min="10263" max="10263" width="11.7109375" style="485" customWidth="1"/>
    <col min="10264" max="10264" width="15.42578125" style="485" customWidth="1"/>
    <col min="10265" max="10265" width="5.5703125" style="485" customWidth="1"/>
    <col min="10266" max="10266" width="4.7109375" style="485" customWidth="1"/>
    <col min="10267" max="10268" width="7.28515625" style="485" customWidth="1"/>
    <col min="10269" max="10269" width="8.42578125" style="485" customWidth="1"/>
    <col min="10270" max="10270" width="9.5703125" style="485" customWidth="1"/>
    <col min="10271" max="10271" width="6.28515625" style="485" customWidth="1"/>
    <col min="10272" max="10272" width="5.85546875" style="485" customWidth="1"/>
    <col min="10273" max="10274" width="4.42578125" style="485" customWidth="1"/>
    <col min="10275" max="10275" width="5" style="485" customWidth="1"/>
    <col min="10276" max="10276" width="5.85546875" style="485" customWidth="1"/>
    <col min="10277" max="10277" width="6.140625" style="485" customWidth="1"/>
    <col min="10278" max="10278" width="6.28515625" style="485" customWidth="1"/>
    <col min="10279" max="10279" width="4.85546875" style="485" customWidth="1"/>
    <col min="10280" max="10280" width="8.140625" style="485" customWidth="1"/>
    <col min="10281" max="10281" width="11.5703125" style="485" customWidth="1"/>
    <col min="10282" max="10282" width="13.7109375" style="485" customWidth="1"/>
    <col min="10283" max="10283" width="20.85546875" style="485" customWidth="1"/>
    <col min="10284" max="10496" width="11.42578125" style="485"/>
    <col min="10497" max="10497" width="13.140625" style="485" customWidth="1"/>
    <col min="10498" max="10498" width="4" style="485" customWidth="1"/>
    <col min="10499" max="10499" width="12.85546875" style="485" customWidth="1"/>
    <col min="10500" max="10500" width="14.7109375" style="485" customWidth="1"/>
    <col min="10501" max="10501" width="10" style="485" customWidth="1"/>
    <col min="10502" max="10502" width="6.28515625" style="485" customWidth="1"/>
    <col min="10503" max="10503" width="12.28515625" style="485" customWidth="1"/>
    <col min="10504" max="10504" width="8.5703125" style="485" customWidth="1"/>
    <col min="10505" max="10505" width="13.7109375" style="485" customWidth="1"/>
    <col min="10506" max="10506" width="11.5703125" style="485" customWidth="1"/>
    <col min="10507" max="10507" width="24.7109375" style="485" customWidth="1"/>
    <col min="10508" max="10508" width="17.42578125" style="485" customWidth="1"/>
    <col min="10509" max="10509" width="20.85546875" style="485" customWidth="1"/>
    <col min="10510" max="10510" width="26.85546875" style="485" customWidth="1"/>
    <col min="10511" max="10511" width="8" style="485" customWidth="1"/>
    <col min="10512" max="10512" width="25" style="485" customWidth="1"/>
    <col min="10513" max="10513" width="12.7109375" style="485" customWidth="1"/>
    <col min="10514" max="10514" width="16.42578125" style="485" customWidth="1"/>
    <col min="10515" max="10515" width="23.5703125" style="485" customWidth="1"/>
    <col min="10516" max="10516" width="33.7109375" style="485" customWidth="1"/>
    <col min="10517" max="10517" width="31.140625" style="485" customWidth="1"/>
    <col min="10518" max="10518" width="19.28515625" style="485" customWidth="1"/>
    <col min="10519" max="10519" width="11.7109375" style="485" customWidth="1"/>
    <col min="10520" max="10520" width="15.42578125" style="485" customWidth="1"/>
    <col min="10521" max="10521" width="5.5703125" style="485" customWidth="1"/>
    <col min="10522" max="10522" width="4.7109375" style="485" customWidth="1"/>
    <col min="10523" max="10524" width="7.28515625" style="485" customWidth="1"/>
    <col min="10525" max="10525" width="8.42578125" style="485" customWidth="1"/>
    <col min="10526" max="10526" width="9.5703125" style="485" customWidth="1"/>
    <col min="10527" max="10527" width="6.28515625" style="485" customWidth="1"/>
    <col min="10528" max="10528" width="5.85546875" style="485" customWidth="1"/>
    <col min="10529" max="10530" width="4.42578125" style="485" customWidth="1"/>
    <col min="10531" max="10531" width="5" style="485" customWidth="1"/>
    <col min="10532" max="10532" width="5.85546875" style="485" customWidth="1"/>
    <col min="10533" max="10533" width="6.140625" style="485" customWidth="1"/>
    <col min="10534" max="10534" width="6.28515625" style="485" customWidth="1"/>
    <col min="10535" max="10535" width="4.85546875" style="485" customWidth="1"/>
    <col min="10536" max="10536" width="8.140625" style="485" customWidth="1"/>
    <col min="10537" max="10537" width="11.5703125" style="485" customWidth="1"/>
    <col min="10538" max="10538" width="13.7109375" style="485" customWidth="1"/>
    <col min="10539" max="10539" width="20.85546875" style="485" customWidth="1"/>
    <col min="10540" max="10752" width="11.42578125" style="485"/>
    <col min="10753" max="10753" width="13.140625" style="485" customWidth="1"/>
    <col min="10754" max="10754" width="4" style="485" customWidth="1"/>
    <col min="10755" max="10755" width="12.85546875" style="485" customWidth="1"/>
    <col min="10756" max="10756" width="14.7109375" style="485" customWidth="1"/>
    <col min="10757" max="10757" width="10" style="485" customWidth="1"/>
    <col min="10758" max="10758" width="6.28515625" style="485" customWidth="1"/>
    <col min="10759" max="10759" width="12.28515625" style="485" customWidth="1"/>
    <col min="10760" max="10760" width="8.5703125" style="485" customWidth="1"/>
    <col min="10761" max="10761" width="13.7109375" style="485" customWidth="1"/>
    <col min="10762" max="10762" width="11.5703125" style="485" customWidth="1"/>
    <col min="10763" max="10763" width="24.7109375" style="485" customWidth="1"/>
    <col min="10764" max="10764" width="17.42578125" style="485" customWidth="1"/>
    <col min="10765" max="10765" width="20.85546875" style="485" customWidth="1"/>
    <col min="10766" max="10766" width="26.85546875" style="485" customWidth="1"/>
    <col min="10767" max="10767" width="8" style="485" customWidth="1"/>
    <col min="10768" max="10768" width="25" style="485" customWidth="1"/>
    <col min="10769" max="10769" width="12.7109375" style="485" customWidth="1"/>
    <col min="10770" max="10770" width="16.42578125" style="485" customWidth="1"/>
    <col min="10771" max="10771" width="23.5703125" style="485" customWidth="1"/>
    <col min="10772" max="10772" width="33.7109375" style="485" customWidth="1"/>
    <col min="10773" max="10773" width="31.140625" style="485" customWidth="1"/>
    <col min="10774" max="10774" width="19.28515625" style="485" customWidth="1"/>
    <col min="10775" max="10775" width="11.7109375" style="485" customWidth="1"/>
    <col min="10776" max="10776" width="15.42578125" style="485" customWidth="1"/>
    <col min="10777" max="10777" width="5.5703125" style="485" customWidth="1"/>
    <col min="10778" max="10778" width="4.7109375" style="485" customWidth="1"/>
    <col min="10779" max="10780" width="7.28515625" style="485" customWidth="1"/>
    <col min="10781" max="10781" width="8.42578125" style="485" customWidth="1"/>
    <col min="10782" max="10782" width="9.5703125" style="485" customWidth="1"/>
    <col min="10783" max="10783" width="6.28515625" style="485" customWidth="1"/>
    <col min="10784" max="10784" width="5.85546875" style="485" customWidth="1"/>
    <col min="10785" max="10786" width="4.42578125" style="485" customWidth="1"/>
    <col min="10787" max="10787" width="5" style="485" customWidth="1"/>
    <col min="10788" max="10788" width="5.85546875" style="485" customWidth="1"/>
    <col min="10789" max="10789" width="6.140625" style="485" customWidth="1"/>
    <col min="10790" max="10790" width="6.28515625" style="485" customWidth="1"/>
    <col min="10791" max="10791" width="4.85546875" style="485" customWidth="1"/>
    <col min="10792" max="10792" width="8.140625" style="485" customWidth="1"/>
    <col min="10793" max="10793" width="11.5703125" style="485" customWidth="1"/>
    <col min="10794" max="10794" width="13.7109375" style="485" customWidth="1"/>
    <col min="10795" max="10795" width="20.85546875" style="485" customWidth="1"/>
    <col min="10796" max="11008" width="11.42578125" style="485"/>
    <col min="11009" max="11009" width="13.140625" style="485" customWidth="1"/>
    <col min="11010" max="11010" width="4" style="485" customWidth="1"/>
    <col min="11011" max="11011" width="12.85546875" style="485" customWidth="1"/>
    <col min="11012" max="11012" width="14.7109375" style="485" customWidth="1"/>
    <col min="11013" max="11013" width="10" style="485" customWidth="1"/>
    <col min="11014" max="11014" width="6.28515625" style="485" customWidth="1"/>
    <col min="11015" max="11015" width="12.28515625" style="485" customWidth="1"/>
    <col min="11016" max="11016" width="8.5703125" style="485" customWidth="1"/>
    <col min="11017" max="11017" width="13.7109375" style="485" customWidth="1"/>
    <col min="11018" max="11018" width="11.5703125" style="485" customWidth="1"/>
    <col min="11019" max="11019" width="24.7109375" style="485" customWidth="1"/>
    <col min="11020" max="11020" width="17.42578125" style="485" customWidth="1"/>
    <col min="11021" max="11021" width="20.85546875" style="485" customWidth="1"/>
    <col min="11022" max="11022" width="26.85546875" style="485" customWidth="1"/>
    <col min="11023" max="11023" width="8" style="485" customWidth="1"/>
    <col min="11024" max="11024" width="25" style="485" customWidth="1"/>
    <col min="11025" max="11025" width="12.7109375" style="485" customWidth="1"/>
    <col min="11026" max="11026" width="16.42578125" style="485" customWidth="1"/>
    <col min="11027" max="11027" width="23.5703125" style="485" customWidth="1"/>
    <col min="11028" max="11028" width="33.7109375" style="485" customWidth="1"/>
    <col min="11029" max="11029" width="31.140625" style="485" customWidth="1"/>
    <col min="11030" max="11030" width="19.28515625" style="485" customWidth="1"/>
    <col min="11031" max="11031" width="11.7109375" style="485" customWidth="1"/>
    <col min="11032" max="11032" width="15.42578125" style="485" customWidth="1"/>
    <col min="11033" max="11033" width="5.5703125" style="485" customWidth="1"/>
    <col min="11034" max="11034" width="4.7109375" style="485" customWidth="1"/>
    <col min="11035" max="11036" width="7.28515625" style="485" customWidth="1"/>
    <col min="11037" max="11037" width="8.42578125" style="485" customWidth="1"/>
    <col min="11038" max="11038" width="9.5703125" style="485" customWidth="1"/>
    <col min="11039" max="11039" width="6.28515625" style="485" customWidth="1"/>
    <col min="11040" max="11040" width="5.85546875" style="485" customWidth="1"/>
    <col min="11041" max="11042" width="4.42578125" style="485" customWidth="1"/>
    <col min="11043" max="11043" width="5" style="485" customWidth="1"/>
    <col min="11044" max="11044" width="5.85546875" style="485" customWidth="1"/>
    <col min="11045" max="11045" width="6.140625" style="485" customWidth="1"/>
    <col min="11046" max="11046" width="6.28515625" style="485" customWidth="1"/>
    <col min="11047" max="11047" width="4.85546875" style="485" customWidth="1"/>
    <col min="11048" max="11048" width="8.140625" style="485" customWidth="1"/>
    <col min="11049" max="11049" width="11.5703125" style="485" customWidth="1"/>
    <col min="11050" max="11050" width="13.7109375" style="485" customWidth="1"/>
    <col min="11051" max="11051" width="20.85546875" style="485" customWidth="1"/>
    <col min="11052" max="11264" width="11.42578125" style="485"/>
    <col min="11265" max="11265" width="13.140625" style="485" customWidth="1"/>
    <col min="11266" max="11266" width="4" style="485" customWidth="1"/>
    <col min="11267" max="11267" width="12.85546875" style="485" customWidth="1"/>
    <col min="11268" max="11268" width="14.7109375" style="485" customWidth="1"/>
    <col min="11269" max="11269" width="10" style="485" customWidth="1"/>
    <col min="11270" max="11270" width="6.28515625" style="485" customWidth="1"/>
    <col min="11271" max="11271" width="12.28515625" style="485" customWidth="1"/>
    <col min="11272" max="11272" width="8.5703125" style="485" customWidth="1"/>
    <col min="11273" max="11273" width="13.7109375" style="485" customWidth="1"/>
    <col min="11274" max="11274" width="11.5703125" style="485" customWidth="1"/>
    <col min="11275" max="11275" width="24.7109375" style="485" customWidth="1"/>
    <col min="11276" max="11276" width="17.42578125" style="485" customWidth="1"/>
    <col min="11277" max="11277" width="20.85546875" style="485" customWidth="1"/>
    <col min="11278" max="11278" width="26.85546875" style="485" customWidth="1"/>
    <col min="11279" max="11279" width="8" style="485" customWidth="1"/>
    <col min="11280" max="11280" width="25" style="485" customWidth="1"/>
    <col min="11281" max="11281" width="12.7109375" style="485" customWidth="1"/>
    <col min="11282" max="11282" width="16.42578125" style="485" customWidth="1"/>
    <col min="11283" max="11283" width="23.5703125" style="485" customWidth="1"/>
    <col min="11284" max="11284" width="33.7109375" style="485" customWidth="1"/>
    <col min="11285" max="11285" width="31.140625" style="485" customWidth="1"/>
    <col min="11286" max="11286" width="19.28515625" style="485" customWidth="1"/>
    <col min="11287" max="11287" width="11.7109375" style="485" customWidth="1"/>
    <col min="11288" max="11288" width="15.42578125" style="485" customWidth="1"/>
    <col min="11289" max="11289" width="5.5703125" style="485" customWidth="1"/>
    <col min="11290" max="11290" width="4.7109375" style="485" customWidth="1"/>
    <col min="11291" max="11292" width="7.28515625" style="485" customWidth="1"/>
    <col min="11293" max="11293" width="8.42578125" style="485" customWidth="1"/>
    <col min="11294" max="11294" width="9.5703125" style="485" customWidth="1"/>
    <col min="11295" max="11295" width="6.28515625" style="485" customWidth="1"/>
    <col min="11296" max="11296" width="5.85546875" style="485" customWidth="1"/>
    <col min="11297" max="11298" width="4.42578125" style="485" customWidth="1"/>
    <col min="11299" max="11299" width="5" style="485" customWidth="1"/>
    <col min="11300" max="11300" width="5.85546875" style="485" customWidth="1"/>
    <col min="11301" max="11301" width="6.140625" style="485" customWidth="1"/>
    <col min="11302" max="11302" width="6.28515625" style="485" customWidth="1"/>
    <col min="11303" max="11303" width="4.85546875" style="485" customWidth="1"/>
    <col min="11304" max="11304" width="8.140625" style="485" customWidth="1"/>
    <col min="11305" max="11305" width="11.5703125" style="485" customWidth="1"/>
    <col min="11306" max="11306" width="13.7109375" style="485" customWidth="1"/>
    <col min="11307" max="11307" width="20.85546875" style="485" customWidth="1"/>
    <col min="11308" max="11520" width="11.42578125" style="485"/>
    <col min="11521" max="11521" width="13.140625" style="485" customWidth="1"/>
    <col min="11522" max="11522" width="4" style="485" customWidth="1"/>
    <col min="11523" max="11523" width="12.85546875" style="485" customWidth="1"/>
    <col min="11524" max="11524" width="14.7109375" style="485" customWidth="1"/>
    <col min="11525" max="11525" width="10" style="485" customWidth="1"/>
    <col min="11526" max="11526" width="6.28515625" style="485" customWidth="1"/>
    <col min="11527" max="11527" width="12.28515625" style="485" customWidth="1"/>
    <col min="11528" max="11528" width="8.5703125" style="485" customWidth="1"/>
    <col min="11529" max="11529" width="13.7109375" style="485" customWidth="1"/>
    <col min="11530" max="11530" width="11.5703125" style="485" customWidth="1"/>
    <col min="11531" max="11531" width="24.7109375" style="485" customWidth="1"/>
    <col min="11532" max="11532" width="17.42578125" style="485" customWidth="1"/>
    <col min="11533" max="11533" width="20.85546875" style="485" customWidth="1"/>
    <col min="11534" max="11534" width="26.85546875" style="485" customWidth="1"/>
    <col min="11535" max="11535" width="8" style="485" customWidth="1"/>
    <col min="11536" max="11536" width="25" style="485" customWidth="1"/>
    <col min="11537" max="11537" width="12.7109375" style="485" customWidth="1"/>
    <col min="11538" max="11538" width="16.42578125" style="485" customWidth="1"/>
    <col min="11539" max="11539" width="23.5703125" style="485" customWidth="1"/>
    <col min="11540" max="11540" width="33.7109375" style="485" customWidth="1"/>
    <col min="11541" max="11541" width="31.140625" style="485" customWidth="1"/>
    <col min="11542" max="11542" width="19.28515625" style="485" customWidth="1"/>
    <col min="11543" max="11543" width="11.7109375" style="485" customWidth="1"/>
    <col min="11544" max="11544" width="15.42578125" style="485" customWidth="1"/>
    <col min="11545" max="11545" width="5.5703125" style="485" customWidth="1"/>
    <col min="11546" max="11546" width="4.7109375" style="485" customWidth="1"/>
    <col min="11547" max="11548" width="7.28515625" style="485" customWidth="1"/>
    <col min="11549" max="11549" width="8.42578125" style="485" customWidth="1"/>
    <col min="11550" max="11550" width="9.5703125" style="485" customWidth="1"/>
    <col min="11551" max="11551" width="6.28515625" style="485" customWidth="1"/>
    <col min="11552" max="11552" width="5.85546875" style="485" customWidth="1"/>
    <col min="11553" max="11554" width="4.42578125" style="485" customWidth="1"/>
    <col min="11555" max="11555" width="5" style="485" customWidth="1"/>
    <col min="11556" max="11556" width="5.85546875" style="485" customWidth="1"/>
    <col min="11557" max="11557" width="6.140625" style="485" customWidth="1"/>
    <col min="11558" max="11558" width="6.28515625" style="485" customWidth="1"/>
    <col min="11559" max="11559" width="4.85546875" style="485" customWidth="1"/>
    <col min="11560" max="11560" width="8.140625" style="485" customWidth="1"/>
    <col min="11561" max="11561" width="11.5703125" style="485" customWidth="1"/>
    <col min="11562" max="11562" width="13.7109375" style="485" customWidth="1"/>
    <col min="11563" max="11563" width="20.85546875" style="485" customWidth="1"/>
    <col min="11564" max="11776" width="11.42578125" style="485"/>
    <col min="11777" max="11777" width="13.140625" style="485" customWidth="1"/>
    <col min="11778" max="11778" width="4" style="485" customWidth="1"/>
    <col min="11779" max="11779" width="12.85546875" style="485" customWidth="1"/>
    <col min="11780" max="11780" width="14.7109375" style="485" customWidth="1"/>
    <col min="11781" max="11781" width="10" style="485" customWidth="1"/>
    <col min="11782" max="11782" width="6.28515625" style="485" customWidth="1"/>
    <col min="11783" max="11783" width="12.28515625" style="485" customWidth="1"/>
    <col min="11784" max="11784" width="8.5703125" style="485" customWidth="1"/>
    <col min="11785" max="11785" width="13.7109375" style="485" customWidth="1"/>
    <col min="11786" max="11786" width="11.5703125" style="485" customWidth="1"/>
    <col min="11787" max="11787" width="24.7109375" style="485" customWidth="1"/>
    <col min="11788" max="11788" width="17.42578125" style="485" customWidth="1"/>
    <col min="11789" max="11789" width="20.85546875" style="485" customWidth="1"/>
    <col min="11790" max="11790" width="26.85546875" style="485" customWidth="1"/>
    <col min="11791" max="11791" width="8" style="485" customWidth="1"/>
    <col min="11792" max="11792" width="25" style="485" customWidth="1"/>
    <col min="11793" max="11793" width="12.7109375" style="485" customWidth="1"/>
    <col min="11794" max="11794" width="16.42578125" style="485" customWidth="1"/>
    <col min="11795" max="11795" width="23.5703125" style="485" customWidth="1"/>
    <col min="11796" max="11796" width="33.7109375" style="485" customWidth="1"/>
    <col min="11797" max="11797" width="31.140625" style="485" customWidth="1"/>
    <col min="11798" max="11798" width="19.28515625" style="485" customWidth="1"/>
    <col min="11799" max="11799" width="11.7109375" style="485" customWidth="1"/>
    <col min="11800" max="11800" width="15.42578125" style="485" customWidth="1"/>
    <col min="11801" max="11801" width="5.5703125" style="485" customWidth="1"/>
    <col min="11802" max="11802" width="4.7109375" style="485" customWidth="1"/>
    <col min="11803" max="11804" width="7.28515625" style="485" customWidth="1"/>
    <col min="11805" max="11805" width="8.42578125" style="485" customWidth="1"/>
    <col min="11806" max="11806" width="9.5703125" style="485" customWidth="1"/>
    <col min="11807" max="11807" width="6.28515625" style="485" customWidth="1"/>
    <col min="11808" max="11808" width="5.85546875" style="485" customWidth="1"/>
    <col min="11809" max="11810" width="4.42578125" style="485" customWidth="1"/>
    <col min="11811" max="11811" width="5" style="485" customWidth="1"/>
    <col min="11812" max="11812" width="5.85546875" style="485" customWidth="1"/>
    <col min="11813" max="11813" width="6.140625" style="485" customWidth="1"/>
    <col min="11814" max="11814" width="6.28515625" style="485" customWidth="1"/>
    <col min="11815" max="11815" width="4.85546875" style="485" customWidth="1"/>
    <col min="11816" max="11816" width="8.140625" style="485" customWidth="1"/>
    <col min="11817" max="11817" width="11.5703125" style="485" customWidth="1"/>
    <col min="11818" max="11818" width="13.7109375" style="485" customWidth="1"/>
    <col min="11819" max="11819" width="20.85546875" style="485" customWidth="1"/>
    <col min="11820" max="12032" width="11.42578125" style="485"/>
    <col min="12033" max="12033" width="13.140625" style="485" customWidth="1"/>
    <col min="12034" max="12034" width="4" style="485" customWidth="1"/>
    <col min="12035" max="12035" width="12.85546875" style="485" customWidth="1"/>
    <col min="12036" max="12036" width="14.7109375" style="485" customWidth="1"/>
    <col min="12037" max="12037" width="10" style="485" customWidth="1"/>
    <col min="12038" max="12038" width="6.28515625" style="485" customWidth="1"/>
    <col min="12039" max="12039" width="12.28515625" style="485" customWidth="1"/>
    <col min="12040" max="12040" width="8.5703125" style="485" customWidth="1"/>
    <col min="12041" max="12041" width="13.7109375" style="485" customWidth="1"/>
    <col min="12042" max="12042" width="11.5703125" style="485" customWidth="1"/>
    <col min="12043" max="12043" width="24.7109375" style="485" customWidth="1"/>
    <col min="12044" max="12044" width="17.42578125" style="485" customWidth="1"/>
    <col min="12045" max="12045" width="20.85546875" style="485" customWidth="1"/>
    <col min="12046" max="12046" width="26.85546875" style="485" customWidth="1"/>
    <col min="12047" max="12047" width="8" style="485" customWidth="1"/>
    <col min="12048" max="12048" width="25" style="485" customWidth="1"/>
    <col min="12049" max="12049" width="12.7109375" style="485" customWidth="1"/>
    <col min="12050" max="12050" width="16.42578125" style="485" customWidth="1"/>
    <col min="12051" max="12051" width="23.5703125" style="485" customWidth="1"/>
    <col min="12052" max="12052" width="33.7109375" style="485" customWidth="1"/>
    <col min="12053" max="12053" width="31.140625" style="485" customWidth="1"/>
    <col min="12054" max="12054" width="19.28515625" style="485" customWidth="1"/>
    <col min="12055" max="12055" width="11.7109375" style="485" customWidth="1"/>
    <col min="12056" max="12056" width="15.42578125" style="485" customWidth="1"/>
    <col min="12057" max="12057" width="5.5703125" style="485" customWidth="1"/>
    <col min="12058" max="12058" width="4.7109375" style="485" customWidth="1"/>
    <col min="12059" max="12060" width="7.28515625" style="485" customWidth="1"/>
    <col min="12061" max="12061" width="8.42578125" style="485" customWidth="1"/>
    <col min="12062" max="12062" width="9.5703125" style="485" customWidth="1"/>
    <col min="12063" max="12063" width="6.28515625" style="485" customWidth="1"/>
    <col min="12064" max="12064" width="5.85546875" style="485" customWidth="1"/>
    <col min="12065" max="12066" width="4.42578125" style="485" customWidth="1"/>
    <col min="12067" max="12067" width="5" style="485" customWidth="1"/>
    <col min="12068" max="12068" width="5.85546875" style="485" customWidth="1"/>
    <col min="12069" max="12069" width="6.140625" style="485" customWidth="1"/>
    <col min="12070" max="12070" width="6.28515625" style="485" customWidth="1"/>
    <col min="12071" max="12071" width="4.85546875" style="485" customWidth="1"/>
    <col min="12072" max="12072" width="8.140625" style="485" customWidth="1"/>
    <col min="12073" max="12073" width="11.5703125" style="485" customWidth="1"/>
    <col min="12074" max="12074" width="13.7109375" style="485" customWidth="1"/>
    <col min="12075" max="12075" width="20.85546875" style="485" customWidth="1"/>
    <col min="12076" max="12288" width="11.42578125" style="485"/>
    <col min="12289" max="12289" width="13.140625" style="485" customWidth="1"/>
    <col min="12290" max="12290" width="4" style="485" customWidth="1"/>
    <col min="12291" max="12291" width="12.85546875" style="485" customWidth="1"/>
    <col min="12292" max="12292" width="14.7109375" style="485" customWidth="1"/>
    <col min="12293" max="12293" width="10" style="485" customWidth="1"/>
    <col min="12294" max="12294" width="6.28515625" style="485" customWidth="1"/>
    <col min="12295" max="12295" width="12.28515625" style="485" customWidth="1"/>
    <col min="12296" max="12296" width="8.5703125" style="485" customWidth="1"/>
    <col min="12297" max="12297" width="13.7109375" style="485" customWidth="1"/>
    <col min="12298" max="12298" width="11.5703125" style="485" customWidth="1"/>
    <col min="12299" max="12299" width="24.7109375" style="485" customWidth="1"/>
    <col min="12300" max="12300" width="17.42578125" style="485" customWidth="1"/>
    <col min="12301" max="12301" width="20.85546875" style="485" customWidth="1"/>
    <col min="12302" max="12302" width="26.85546875" style="485" customWidth="1"/>
    <col min="12303" max="12303" width="8" style="485" customWidth="1"/>
    <col min="12304" max="12304" width="25" style="485" customWidth="1"/>
    <col min="12305" max="12305" width="12.7109375" style="485" customWidth="1"/>
    <col min="12306" max="12306" width="16.42578125" style="485" customWidth="1"/>
    <col min="12307" max="12307" width="23.5703125" style="485" customWidth="1"/>
    <col min="12308" max="12308" width="33.7109375" style="485" customWidth="1"/>
    <col min="12309" max="12309" width="31.140625" style="485" customWidth="1"/>
    <col min="12310" max="12310" width="19.28515625" style="485" customWidth="1"/>
    <col min="12311" max="12311" width="11.7109375" style="485" customWidth="1"/>
    <col min="12312" max="12312" width="15.42578125" style="485" customWidth="1"/>
    <col min="12313" max="12313" width="5.5703125" style="485" customWidth="1"/>
    <col min="12314" max="12314" width="4.7109375" style="485" customWidth="1"/>
    <col min="12315" max="12316" width="7.28515625" style="485" customWidth="1"/>
    <col min="12317" max="12317" width="8.42578125" style="485" customWidth="1"/>
    <col min="12318" max="12318" width="9.5703125" style="485" customWidth="1"/>
    <col min="12319" max="12319" width="6.28515625" style="485" customWidth="1"/>
    <col min="12320" max="12320" width="5.85546875" style="485" customWidth="1"/>
    <col min="12321" max="12322" width="4.42578125" style="485" customWidth="1"/>
    <col min="12323" max="12323" width="5" style="485" customWidth="1"/>
    <col min="12324" max="12324" width="5.85546875" style="485" customWidth="1"/>
    <col min="12325" max="12325" width="6.140625" style="485" customWidth="1"/>
    <col min="12326" max="12326" width="6.28515625" style="485" customWidth="1"/>
    <col min="12327" max="12327" width="4.85546875" style="485" customWidth="1"/>
    <col min="12328" max="12328" width="8.140625" style="485" customWidth="1"/>
    <col min="12329" max="12329" width="11.5703125" style="485" customWidth="1"/>
    <col min="12330" max="12330" width="13.7109375" style="485" customWidth="1"/>
    <col min="12331" max="12331" width="20.85546875" style="485" customWidth="1"/>
    <col min="12332" max="12544" width="11.42578125" style="485"/>
    <col min="12545" max="12545" width="13.140625" style="485" customWidth="1"/>
    <col min="12546" max="12546" width="4" style="485" customWidth="1"/>
    <col min="12547" max="12547" width="12.85546875" style="485" customWidth="1"/>
    <col min="12548" max="12548" width="14.7109375" style="485" customWidth="1"/>
    <col min="12549" max="12549" width="10" style="485" customWidth="1"/>
    <col min="12550" max="12550" width="6.28515625" style="485" customWidth="1"/>
    <col min="12551" max="12551" width="12.28515625" style="485" customWidth="1"/>
    <col min="12552" max="12552" width="8.5703125" style="485" customWidth="1"/>
    <col min="12553" max="12553" width="13.7109375" style="485" customWidth="1"/>
    <col min="12554" max="12554" width="11.5703125" style="485" customWidth="1"/>
    <col min="12555" max="12555" width="24.7109375" style="485" customWidth="1"/>
    <col min="12556" max="12556" width="17.42578125" style="485" customWidth="1"/>
    <col min="12557" max="12557" width="20.85546875" style="485" customWidth="1"/>
    <col min="12558" max="12558" width="26.85546875" style="485" customWidth="1"/>
    <col min="12559" max="12559" width="8" style="485" customWidth="1"/>
    <col min="12560" max="12560" width="25" style="485" customWidth="1"/>
    <col min="12561" max="12561" width="12.7109375" style="485" customWidth="1"/>
    <col min="12562" max="12562" width="16.42578125" style="485" customWidth="1"/>
    <col min="12563" max="12563" width="23.5703125" style="485" customWidth="1"/>
    <col min="12564" max="12564" width="33.7109375" style="485" customWidth="1"/>
    <col min="12565" max="12565" width="31.140625" style="485" customWidth="1"/>
    <col min="12566" max="12566" width="19.28515625" style="485" customWidth="1"/>
    <col min="12567" max="12567" width="11.7109375" style="485" customWidth="1"/>
    <col min="12568" max="12568" width="15.42578125" style="485" customWidth="1"/>
    <col min="12569" max="12569" width="5.5703125" style="485" customWidth="1"/>
    <col min="12570" max="12570" width="4.7109375" style="485" customWidth="1"/>
    <col min="12571" max="12572" width="7.28515625" style="485" customWidth="1"/>
    <col min="12573" max="12573" width="8.42578125" style="485" customWidth="1"/>
    <col min="12574" max="12574" width="9.5703125" style="485" customWidth="1"/>
    <col min="12575" max="12575" width="6.28515625" style="485" customWidth="1"/>
    <col min="12576" max="12576" width="5.85546875" style="485" customWidth="1"/>
    <col min="12577" max="12578" width="4.42578125" style="485" customWidth="1"/>
    <col min="12579" max="12579" width="5" style="485" customWidth="1"/>
    <col min="12580" max="12580" width="5.85546875" style="485" customWidth="1"/>
    <col min="12581" max="12581" width="6.140625" style="485" customWidth="1"/>
    <col min="12582" max="12582" width="6.28515625" style="485" customWidth="1"/>
    <col min="12583" max="12583" width="4.85546875" style="485" customWidth="1"/>
    <col min="12584" max="12584" width="8.140625" style="485" customWidth="1"/>
    <col min="12585" max="12585" width="11.5703125" style="485" customWidth="1"/>
    <col min="12586" max="12586" width="13.7109375" style="485" customWidth="1"/>
    <col min="12587" max="12587" width="20.85546875" style="485" customWidth="1"/>
    <col min="12588" max="12800" width="11.42578125" style="485"/>
    <col min="12801" max="12801" width="13.140625" style="485" customWidth="1"/>
    <col min="12802" max="12802" width="4" style="485" customWidth="1"/>
    <col min="12803" max="12803" width="12.85546875" style="485" customWidth="1"/>
    <col min="12804" max="12804" width="14.7109375" style="485" customWidth="1"/>
    <col min="12805" max="12805" width="10" style="485" customWidth="1"/>
    <col min="12806" max="12806" width="6.28515625" style="485" customWidth="1"/>
    <col min="12807" max="12807" width="12.28515625" style="485" customWidth="1"/>
    <col min="12808" max="12808" width="8.5703125" style="485" customWidth="1"/>
    <col min="12809" max="12809" width="13.7109375" style="485" customWidth="1"/>
    <col min="12810" max="12810" width="11.5703125" style="485" customWidth="1"/>
    <col min="12811" max="12811" width="24.7109375" style="485" customWidth="1"/>
    <col min="12812" max="12812" width="17.42578125" style="485" customWidth="1"/>
    <col min="12813" max="12813" width="20.85546875" style="485" customWidth="1"/>
    <col min="12814" max="12814" width="26.85546875" style="485" customWidth="1"/>
    <col min="12815" max="12815" width="8" style="485" customWidth="1"/>
    <col min="12816" max="12816" width="25" style="485" customWidth="1"/>
    <col min="12817" max="12817" width="12.7109375" style="485" customWidth="1"/>
    <col min="12818" max="12818" width="16.42578125" style="485" customWidth="1"/>
    <col min="12819" max="12819" width="23.5703125" style="485" customWidth="1"/>
    <col min="12820" max="12820" width="33.7109375" style="485" customWidth="1"/>
    <col min="12821" max="12821" width="31.140625" style="485" customWidth="1"/>
    <col min="12822" max="12822" width="19.28515625" style="485" customWidth="1"/>
    <col min="12823" max="12823" width="11.7109375" style="485" customWidth="1"/>
    <col min="12824" max="12824" width="15.42578125" style="485" customWidth="1"/>
    <col min="12825" max="12825" width="5.5703125" style="485" customWidth="1"/>
    <col min="12826" max="12826" width="4.7109375" style="485" customWidth="1"/>
    <col min="12827" max="12828" width="7.28515625" style="485" customWidth="1"/>
    <col min="12829" max="12829" width="8.42578125" style="485" customWidth="1"/>
    <col min="12830" max="12830" width="9.5703125" style="485" customWidth="1"/>
    <col min="12831" max="12831" width="6.28515625" style="485" customWidth="1"/>
    <col min="12832" max="12832" width="5.85546875" style="485" customWidth="1"/>
    <col min="12833" max="12834" width="4.42578125" style="485" customWidth="1"/>
    <col min="12835" max="12835" width="5" style="485" customWidth="1"/>
    <col min="12836" max="12836" width="5.85546875" style="485" customWidth="1"/>
    <col min="12837" max="12837" width="6.140625" style="485" customWidth="1"/>
    <col min="12838" max="12838" width="6.28515625" style="485" customWidth="1"/>
    <col min="12839" max="12839" width="4.85546875" style="485" customWidth="1"/>
    <col min="12840" max="12840" width="8.140625" style="485" customWidth="1"/>
    <col min="12841" max="12841" width="11.5703125" style="485" customWidth="1"/>
    <col min="12842" max="12842" width="13.7109375" style="485" customWidth="1"/>
    <col min="12843" max="12843" width="20.85546875" style="485" customWidth="1"/>
    <col min="12844" max="13056" width="11.42578125" style="485"/>
    <col min="13057" max="13057" width="13.140625" style="485" customWidth="1"/>
    <col min="13058" max="13058" width="4" style="485" customWidth="1"/>
    <col min="13059" max="13059" width="12.85546875" style="485" customWidth="1"/>
    <col min="13060" max="13060" width="14.7109375" style="485" customWidth="1"/>
    <col min="13061" max="13061" width="10" style="485" customWidth="1"/>
    <col min="13062" max="13062" width="6.28515625" style="485" customWidth="1"/>
    <col min="13063" max="13063" width="12.28515625" style="485" customWidth="1"/>
    <col min="13064" max="13064" width="8.5703125" style="485" customWidth="1"/>
    <col min="13065" max="13065" width="13.7109375" style="485" customWidth="1"/>
    <col min="13066" max="13066" width="11.5703125" style="485" customWidth="1"/>
    <col min="13067" max="13067" width="24.7109375" style="485" customWidth="1"/>
    <col min="13068" max="13068" width="17.42578125" style="485" customWidth="1"/>
    <col min="13069" max="13069" width="20.85546875" style="485" customWidth="1"/>
    <col min="13070" max="13070" width="26.85546875" style="485" customWidth="1"/>
    <col min="13071" max="13071" width="8" style="485" customWidth="1"/>
    <col min="13072" max="13072" width="25" style="485" customWidth="1"/>
    <col min="13073" max="13073" width="12.7109375" style="485" customWidth="1"/>
    <col min="13074" max="13074" width="16.42578125" style="485" customWidth="1"/>
    <col min="13075" max="13075" width="23.5703125" style="485" customWidth="1"/>
    <col min="13076" max="13076" width="33.7109375" style="485" customWidth="1"/>
    <col min="13077" max="13077" width="31.140625" style="485" customWidth="1"/>
    <col min="13078" max="13078" width="19.28515625" style="485" customWidth="1"/>
    <col min="13079" max="13079" width="11.7109375" style="485" customWidth="1"/>
    <col min="13080" max="13080" width="15.42578125" style="485" customWidth="1"/>
    <col min="13081" max="13081" width="5.5703125" style="485" customWidth="1"/>
    <col min="13082" max="13082" width="4.7109375" style="485" customWidth="1"/>
    <col min="13083" max="13084" width="7.28515625" style="485" customWidth="1"/>
    <col min="13085" max="13085" width="8.42578125" style="485" customWidth="1"/>
    <col min="13086" max="13086" width="9.5703125" style="485" customWidth="1"/>
    <col min="13087" max="13087" width="6.28515625" style="485" customWidth="1"/>
    <col min="13088" max="13088" width="5.85546875" style="485" customWidth="1"/>
    <col min="13089" max="13090" width="4.42578125" style="485" customWidth="1"/>
    <col min="13091" max="13091" width="5" style="485" customWidth="1"/>
    <col min="13092" max="13092" width="5.85546875" style="485" customWidth="1"/>
    <col min="13093" max="13093" width="6.140625" style="485" customWidth="1"/>
    <col min="13094" max="13094" width="6.28515625" style="485" customWidth="1"/>
    <col min="13095" max="13095" width="4.85546875" style="485" customWidth="1"/>
    <col min="13096" max="13096" width="8.140625" style="485" customWidth="1"/>
    <col min="13097" max="13097" width="11.5703125" style="485" customWidth="1"/>
    <col min="13098" max="13098" width="13.7109375" style="485" customWidth="1"/>
    <col min="13099" max="13099" width="20.85546875" style="485" customWidth="1"/>
    <col min="13100" max="13312" width="11.42578125" style="485"/>
    <col min="13313" max="13313" width="13.140625" style="485" customWidth="1"/>
    <col min="13314" max="13314" width="4" style="485" customWidth="1"/>
    <col min="13315" max="13315" width="12.85546875" style="485" customWidth="1"/>
    <col min="13316" max="13316" width="14.7109375" style="485" customWidth="1"/>
    <col min="13317" max="13317" width="10" style="485" customWidth="1"/>
    <col min="13318" max="13318" width="6.28515625" style="485" customWidth="1"/>
    <col min="13319" max="13319" width="12.28515625" style="485" customWidth="1"/>
    <col min="13320" max="13320" width="8.5703125" style="485" customWidth="1"/>
    <col min="13321" max="13321" width="13.7109375" style="485" customWidth="1"/>
    <col min="13322" max="13322" width="11.5703125" style="485" customWidth="1"/>
    <col min="13323" max="13323" width="24.7109375" style="485" customWidth="1"/>
    <col min="13324" max="13324" width="17.42578125" style="485" customWidth="1"/>
    <col min="13325" max="13325" width="20.85546875" style="485" customWidth="1"/>
    <col min="13326" max="13326" width="26.85546875" style="485" customWidth="1"/>
    <col min="13327" max="13327" width="8" style="485" customWidth="1"/>
    <col min="13328" max="13328" width="25" style="485" customWidth="1"/>
    <col min="13329" max="13329" width="12.7109375" style="485" customWidth="1"/>
    <col min="13330" max="13330" width="16.42578125" style="485" customWidth="1"/>
    <col min="13331" max="13331" width="23.5703125" style="485" customWidth="1"/>
    <col min="13332" max="13332" width="33.7109375" style="485" customWidth="1"/>
    <col min="13333" max="13333" width="31.140625" style="485" customWidth="1"/>
    <col min="13334" max="13334" width="19.28515625" style="485" customWidth="1"/>
    <col min="13335" max="13335" width="11.7109375" style="485" customWidth="1"/>
    <col min="13336" max="13336" width="15.42578125" style="485" customWidth="1"/>
    <col min="13337" max="13337" width="5.5703125" style="485" customWidth="1"/>
    <col min="13338" max="13338" width="4.7109375" style="485" customWidth="1"/>
    <col min="13339" max="13340" width="7.28515625" style="485" customWidth="1"/>
    <col min="13341" max="13341" width="8.42578125" style="485" customWidth="1"/>
    <col min="13342" max="13342" width="9.5703125" style="485" customWidth="1"/>
    <col min="13343" max="13343" width="6.28515625" style="485" customWidth="1"/>
    <col min="13344" max="13344" width="5.85546875" style="485" customWidth="1"/>
    <col min="13345" max="13346" width="4.42578125" style="485" customWidth="1"/>
    <col min="13347" max="13347" width="5" style="485" customWidth="1"/>
    <col min="13348" max="13348" width="5.85546875" style="485" customWidth="1"/>
    <col min="13349" max="13349" width="6.140625" style="485" customWidth="1"/>
    <col min="13350" max="13350" width="6.28515625" style="485" customWidth="1"/>
    <col min="13351" max="13351" width="4.85546875" style="485" customWidth="1"/>
    <col min="13352" max="13352" width="8.140625" style="485" customWidth="1"/>
    <col min="13353" max="13353" width="11.5703125" style="485" customWidth="1"/>
    <col min="13354" max="13354" width="13.7109375" style="485" customWidth="1"/>
    <col min="13355" max="13355" width="20.85546875" style="485" customWidth="1"/>
    <col min="13356" max="13568" width="11.42578125" style="485"/>
    <col min="13569" max="13569" width="13.140625" style="485" customWidth="1"/>
    <col min="13570" max="13570" width="4" style="485" customWidth="1"/>
    <col min="13571" max="13571" width="12.85546875" style="485" customWidth="1"/>
    <col min="13572" max="13572" width="14.7109375" style="485" customWidth="1"/>
    <col min="13573" max="13573" width="10" style="485" customWidth="1"/>
    <col min="13574" max="13574" width="6.28515625" style="485" customWidth="1"/>
    <col min="13575" max="13575" width="12.28515625" style="485" customWidth="1"/>
    <col min="13576" max="13576" width="8.5703125" style="485" customWidth="1"/>
    <col min="13577" max="13577" width="13.7109375" style="485" customWidth="1"/>
    <col min="13578" max="13578" width="11.5703125" style="485" customWidth="1"/>
    <col min="13579" max="13579" width="24.7109375" style="485" customWidth="1"/>
    <col min="13580" max="13580" width="17.42578125" style="485" customWidth="1"/>
    <col min="13581" max="13581" width="20.85546875" style="485" customWidth="1"/>
    <col min="13582" max="13582" width="26.85546875" style="485" customWidth="1"/>
    <col min="13583" max="13583" width="8" style="485" customWidth="1"/>
    <col min="13584" max="13584" width="25" style="485" customWidth="1"/>
    <col min="13585" max="13585" width="12.7109375" style="485" customWidth="1"/>
    <col min="13586" max="13586" width="16.42578125" style="485" customWidth="1"/>
    <col min="13587" max="13587" width="23.5703125" style="485" customWidth="1"/>
    <col min="13588" max="13588" width="33.7109375" style="485" customWidth="1"/>
    <col min="13589" max="13589" width="31.140625" style="485" customWidth="1"/>
    <col min="13590" max="13590" width="19.28515625" style="485" customWidth="1"/>
    <col min="13591" max="13591" width="11.7109375" style="485" customWidth="1"/>
    <col min="13592" max="13592" width="15.42578125" style="485" customWidth="1"/>
    <col min="13593" max="13593" width="5.5703125" style="485" customWidth="1"/>
    <col min="13594" max="13594" width="4.7109375" style="485" customWidth="1"/>
    <col min="13595" max="13596" width="7.28515625" style="485" customWidth="1"/>
    <col min="13597" max="13597" width="8.42578125" style="485" customWidth="1"/>
    <col min="13598" max="13598" width="9.5703125" style="485" customWidth="1"/>
    <col min="13599" max="13599" width="6.28515625" style="485" customWidth="1"/>
    <col min="13600" max="13600" width="5.85546875" style="485" customWidth="1"/>
    <col min="13601" max="13602" width="4.42578125" style="485" customWidth="1"/>
    <col min="13603" max="13603" width="5" style="485" customWidth="1"/>
    <col min="13604" max="13604" width="5.85546875" style="485" customWidth="1"/>
    <col min="13605" max="13605" width="6.140625" style="485" customWidth="1"/>
    <col min="13606" max="13606" width="6.28515625" style="485" customWidth="1"/>
    <col min="13607" max="13607" width="4.85546875" style="485" customWidth="1"/>
    <col min="13608" max="13608" width="8.140625" style="485" customWidth="1"/>
    <col min="13609" max="13609" width="11.5703125" style="485" customWidth="1"/>
    <col min="13610" max="13610" width="13.7109375" style="485" customWidth="1"/>
    <col min="13611" max="13611" width="20.85546875" style="485" customWidth="1"/>
    <col min="13612" max="13824" width="11.42578125" style="485"/>
    <col min="13825" max="13825" width="13.140625" style="485" customWidth="1"/>
    <col min="13826" max="13826" width="4" style="485" customWidth="1"/>
    <col min="13827" max="13827" width="12.85546875" style="485" customWidth="1"/>
    <col min="13828" max="13828" width="14.7109375" style="485" customWidth="1"/>
    <col min="13829" max="13829" width="10" style="485" customWidth="1"/>
    <col min="13830" max="13830" width="6.28515625" style="485" customWidth="1"/>
    <col min="13831" max="13831" width="12.28515625" style="485" customWidth="1"/>
    <col min="13832" max="13832" width="8.5703125" style="485" customWidth="1"/>
    <col min="13833" max="13833" width="13.7109375" style="485" customWidth="1"/>
    <col min="13834" max="13834" width="11.5703125" style="485" customWidth="1"/>
    <col min="13835" max="13835" width="24.7109375" style="485" customWidth="1"/>
    <col min="13836" max="13836" width="17.42578125" style="485" customWidth="1"/>
    <col min="13837" max="13837" width="20.85546875" style="485" customWidth="1"/>
    <col min="13838" max="13838" width="26.85546875" style="485" customWidth="1"/>
    <col min="13839" max="13839" width="8" style="485" customWidth="1"/>
    <col min="13840" max="13840" width="25" style="485" customWidth="1"/>
    <col min="13841" max="13841" width="12.7109375" style="485" customWidth="1"/>
    <col min="13842" max="13842" width="16.42578125" style="485" customWidth="1"/>
    <col min="13843" max="13843" width="23.5703125" style="485" customWidth="1"/>
    <col min="13844" max="13844" width="33.7109375" style="485" customWidth="1"/>
    <col min="13845" max="13845" width="31.140625" style="485" customWidth="1"/>
    <col min="13846" max="13846" width="19.28515625" style="485" customWidth="1"/>
    <col min="13847" max="13847" width="11.7109375" style="485" customWidth="1"/>
    <col min="13848" max="13848" width="15.42578125" style="485" customWidth="1"/>
    <col min="13849" max="13849" width="5.5703125" style="485" customWidth="1"/>
    <col min="13850" max="13850" width="4.7109375" style="485" customWidth="1"/>
    <col min="13851" max="13852" width="7.28515625" style="485" customWidth="1"/>
    <col min="13853" max="13853" width="8.42578125" style="485" customWidth="1"/>
    <col min="13854" max="13854" width="9.5703125" style="485" customWidth="1"/>
    <col min="13855" max="13855" width="6.28515625" style="485" customWidth="1"/>
    <col min="13856" max="13856" width="5.85546875" style="485" customWidth="1"/>
    <col min="13857" max="13858" width="4.42578125" style="485" customWidth="1"/>
    <col min="13859" max="13859" width="5" style="485" customWidth="1"/>
    <col min="13860" max="13860" width="5.85546875" style="485" customWidth="1"/>
    <col min="13861" max="13861" width="6.140625" style="485" customWidth="1"/>
    <col min="13862" max="13862" width="6.28515625" style="485" customWidth="1"/>
    <col min="13863" max="13863" width="4.85546875" style="485" customWidth="1"/>
    <col min="13864" max="13864" width="8.140625" style="485" customWidth="1"/>
    <col min="13865" max="13865" width="11.5703125" style="485" customWidth="1"/>
    <col min="13866" max="13866" width="13.7109375" style="485" customWidth="1"/>
    <col min="13867" max="13867" width="20.85546875" style="485" customWidth="1"/>
    <col min="13868" max="14080" width="11.42578125" style="485"/>
    <col min="14081" max="14081" width="13.140625" style="485" customWidth="1"/>
    <col min="14082" max="14082" width="4" style="485" customWidth="1"/>
    <col min="14083" max="14083" width="12.85546875" style="485" customWidth="1"/>
    <col min="14084" max="14084" width="14.7109375" style="485" customWidth="1"/>
    <col min="14085" max="14085" width="10" style="485" customWidth="1"/>
    <col min="14086" max="14086" width="6.28515625" style="485" customWidth="1"/>
    <col min="14087" max="14087" width="12.28515625" style="485" customWidth="1"/>
    <col min="14088" max="14088" width="8.5703125" style="485" customWidth="1"/>
    <col min="14089" max="14089" width="13.7109375" style="485" customWidth="1"/>
    <col min="14090" max="14090" width="11.5703125" style="485" customWidth="1"/>
    <col min="14091" max="14091" width="24.7109375" style="485" customWidth="1"/>
    <col min="14092" max="14092" width="17.42578125" style="485" customWidth="1"/>
    <col min="14093" max="14093" width="20.85546875" style="485" customWidth="1"/>
    <col min="14094" max="14094" width="26.85546875" style="485" customWidth="1"/>
    <col min="14095" max="14095" width="8" style="485" customWidth="1"/>
    <col min="14096" max="14096" width="25" style="485" customWidth="1"/>
    <col min="14097" max="14097" width="12.7109375" style="485" customWidth="1"/>
    <col min="14098" max="14098" width="16.42578125" style="485" customWidth="1"/>
    <col min="14099" max="14099" width="23.5703125" style="485" customWidth="1"/>
    <col min="14100" max="14100" width="33.7109375" style="485" customWidth="1"/>
    <col min="14101" max="14101" width="31.140625" style="485" customWidth="1"/>
    <col min="14102" max="14102" width="19.28515625" style="485" customWidth="1"/>
    <col min="14103" max="14103" width="11.7109375" style="485" customWidth="1"/>
    <col min="14104" max="14104" width="15.42578125" style="485" customWidth="1"/>
    <col min="14105" max="14105" width="5.5703125" style="485" customWidth="1"/>
    <col min="14106" max="14106" width="4.7109375" style="485" customWidth="1"/>
    <col min="14107" max="14108" width="7.28515625" style="485" customWidth="1"/>
    <col min="14109" max="14109" width="8.42578125" style="485" customWidth="1"/>
    <col min="14110" max="14110" width="9.5703125" style="485" customWidth="1"/>
    <col min="14111" max="14111" width="6.28515625" style="485" customWidth="1"/>
    <col min="14112" max="14112" width="5.85546875" style="485" customWidth="1"/>
    <col min="14113" max="14114" width="4.42578125" style="485" customWidth="1"/>
    <col min="14115" max="14115" width="5" style="485" customWidth="1"/>
    <col min="14116" max="14116" width="5.85546875" style="485" customWidth="1"/>
    <col min="14117" max="14117" width="6.140625" style="485" customWidth="1"/>
    <col min="14118" max="14118" width="6.28515625" style="485" customWidth="1"/>
    <col min="14119" max="14119" width="4.85546875" style="485" customWidth="1"/>
    <col min="14120" max="14120" width="8.140625" style="485" customWidth="1"/>
    <col min="14121" max="14121" width="11.5703125" style="485" customWidth="1"/>
    <col min="14122" max="14122" width="13.7109375" style="485" customWidth="1"/>
    <col min="14123" max="14123" width="20.85546875" style="485" customWidth="1"/>
    <col min="14124" max="14336" width="11.42578125" style="485"/>
    <col min="14337" max="14337" width="13.140625" style="485" customWidth="1"/>
    <col min="14338" max="14338" width="4" style="485" customWidth="1"/>
    <col min="14339" max="14339" width="12.85546875" style="485" customWidth="1"/>
    <col min="14340" max="14340" width="14.7109375" style="485" customWidth="1"/>
    <col min="14341" max="14341" width="10" style="485" customWidth="1"/>
    <col min="14342" max="14342" width="6.28515625" style="485" customWidth="1"/>
    <col min="14343" max="14343" width="12.28515625" style="485" customWidth="1"/>
    <col min="14344" max="14344" width="8.5703125" style="485" customWidth="1"/>
    <col min="14345" max="14345" width="13.7109375" style="485" customWidth="1"/>
    <col min="14346" max="14346" width="11.5703125" style="485" customWidth="1"/>
    <col min="14347" max="14347" width="24.7109375" style="485" customWidth="1"/>
    <col min="14348" max="14348" width="17.42578125" style="485" customWidth="1"/>
    <col min="14349" max="14349" width="20.85546875" style="485" customWidth="1"/>
    <col min="14350" max="14350" width="26.85546875" style="485" customWidth="1"/>
    <col min="14351" max="14351" width="8" style="485" customWidth="1"/>
    <col min="14352" max="14352" width="25" style="485" customWidth="1"/>
    <col min="14353" max="14353" width="12.7109375" style="485" customWidth="1"/>
    <col min="14354" max="14354" width="16.42578125" style="485" customWidth="1"/>
    <col min="14355" max="14355" width="23.5703125" style="485" customWidth="1"/>
    <col min="14356" max="14356" width="33.7109375" style="485" customWidth="1"/>
    <col min="14357" max="14357" width="31.140625" style="485" customWidth="1"/>
    <col min="14358" max="14358" width="19.28515625" style="485" customWidth="1"/>
    <col min="14359" max="14359" width="11.7109375" style="485" customWidth="1"/>
    <col min="14360" max="14360" width="15.42578125" style="485" customWidth="1"/>
    <col min="14361" max="14361" width="5.5703125" style="485" customWidth="1"/>
    <col min="14362" max="14362" width="4.7109375" style="485" customWidth="1"/>
    <col min="14363" max="14364" width="7.28515625" style="485" customWidth="1"/>
    <col min="14365" max="14365" width="8.42578125" style="485" customWidth="1"/>
    <col min="14366" max="14366" width="9.5703125" style="485" customWidth="1"/>
    <col min="14367" max="14367" width="6.28515625" style="485" customWidth="1"/>
    <col min="14368" max="14368" width="5.85546875" style="485" customWidth="1"/>
    <col min="14369" max="14370" width="4.42578125" style="485" customWidth="1"/>
    <col min="14371" max="14371" width="5" style="485" customWidth="1"/>
    <col min="14372" max="14372" width="5.85546875" style="485" customWidth="1"/>
    <col min="14373" max="14373" width="6.140625" style="485" customWidth="1"/>
    <col min="14374" max="14374" width="6.28515625" style="485" customWidth="1"/>
    <col min="14375" max="14375" width="4.85546875" style="485" customWidth="1"/>
    <col min="14376" max="14376" width="8.140625" style="485" customWidth="1"/>
    <col min="14377" max="14377" width="11.5703125" style="485" customWidth="1"/>
    <col min="14378" max="14378" width="13.7109375" style="485" customWidth="1"/>
    <col min="14379" max="14379" width="20.85546875" style="485" customWidth="1"/>
    <col min="14380" max="14592" width="11.42578125" style="485"/>
    <col min="14593" max="14593" width="13.140625" style="485" customWidth="1"/>
    <col min="14594" max="14594" width="4" style="485" customWidth="1"/>
    <col min="14595" max="14595" width="12.85546875" style="485" customWidth="1"/>
    <col min="14596" max="14596" width="14.7109375" style="485" customWidth="1"/>
    <col min="14597" max="14597" width="10" style="485" customWidth="1"/>
    <col min="14598" max="14598" width="6.28515625" style="485" customWidth="1"/>
    <col min="14599" max="14599" width="12.28515625" style="485" customWidth="1"/>
    <col min="14600" max="14600" width="8.5703125" style="485" customWidth="1"/>
    <col min="14601" max="14601" width="13.7109375" style="485" customWidth="1"/>
    <col min="14602" max="14602" width="11.5703125" style="485" customWidth="1"/>
    <col min="14603" max="14603" width="24.7109375" style="485" customWidth="1"/>
    <col min="14604" max="14604" width="17.42578125" style="485" customWidth="1"/>
    <col min="14605" max="14605" width="20.85546875" style="485" customWidth="1"/>
    <col min="14606" max="14606" width="26.85546875" style="485" customWidth="1"/>
    <col min="14607" max="14607" width="8" style="485" customWidth="1"/>
    <col min="14608" max="14608" width="25" style="485" customWidth="1"/>
    <col min="14609" max="14609" width="12.7109375" style="485" customWidth="1"/>
    <col min="14610" max="14610" width="16.42578125" style="485" customWidth="1"/>
    <col min="14611" max="14611" width="23.5703125" style="485" customWidth="1"/>
    <col min="14612" max="14612" width="33.7109375" style="485" customWidth="1"/>
    <col min="14613" max="14613" width="31.140625" style="485" customWidth="1"/>
    <col min="14614" max="14614" width="19.28515625" style="485" customWidth="1"/>
    <col min="14615" max="14615" width="11.7109375" style="485" customWidth="1"/>
    <col min="14616" max="14616" width="15.42578125" style="485" customWidth="1"/>
    <col min="14617" max="14617" width="5.5703125" style="485" customWidth="1"/>
    <col min="14618" max="14618" width="4.7109375" style="485" customWidth="1"/>
    <col min="14619" max="14620" width="7.28515625" style="485" customWidth="1"/>
    <col min="14621" max="14621" width="8.42578125" style="485" customWidth="1"/>
    <col min="14622" max="14622" width="9.5703125" style="485" customWidth="1"/>
    <col min="14623" max="14623" width="6.28515625" style="485" customWidth="1"/>
    <col min="14624" max="14624" width="5.85546875" style="485" customWidth="1"/>
    <col min="14625" max="14626" width="4.42578125" style="485" customWidth="1"/>
    <col min="14627" max="14627" width="5" style="485" customWidth="1"/>
    <col min="14628" max="14628" width="5.85546875" style="485" customWidth="1"/>
    <col min="14629" max="14629" width="6.140625" style="485" customWidth="1"/>
    <col min="14630" max="14630" width="6.28515625" style="485" customWidth="1"/>
    <col min="14631" max="14631" width="4.85546875" style="485" customWidth="1"/>
    <col min="14632" max="14632" width="8.140625" style="485" customWidth="1"/>
    <col min="14633" max="14633" width="11.5703125" style="485" customWidth="1"/>
    <col min="14634" max="14634" width="13.7109375" style="485" customWidth="1"/>
    <col min="14635" max="14635" width="20.85546875" style="485" customWidth="1"/>
    <col min="14636" max="14848" width="11.42578125" style="485"/>
    <col min="14849" max="14849" width="13.140625" style="485" customWidth="1"/>
    <col min="14850" max="14850" width="4" style="485" customWidth="1"/>
    <col min="14851" max="14851" width="12.85546875" style="485" customWidth="1"/>
    <col min="14852" max="14852" width="14.7109375" style="485" customWidth="1"/>
    <col min="14853" max="14853" width="10" style="485" customWidth="1"/>
    <col min="14854" max="14854" width="6.28515625" style="485" customWidth="1"/>
    <col min="14855" max="14855" width="12.28515625" style="485" customWidth="1"/>
    <col min="14856" max="14856" width="8.5703125" style="485" customWidth="1"/>
    <col min="14857" max="14857" width="13.7109375" style="485" customWidth="1"/>
    <col min="14858" max="14858" width="11.5703125" style="485" customWidth="1"/>
    <col min="14859" max="14859" width="24.7109375" style="485" customWidth="1"/>
    <col min="14860" max="14860" width="17.42578125" style="485" customWidth="1"/>
    <col min="14861" max="14861" width="20.85546875" style="485" customWidth="1"/>
    <col min="14862" max="14862" width="26.85546875" style="485" customWidth="1"/>
    <col min="14863" max="14863" width="8" style="485" customWidth="1"/>
    <col min="14864" max="14864" width="25" style="485" customWidth="1"/>
    <col min="14865" max="14865" width="12.7109375" style="485" customWidth="1"/>
    <col min="14866" max="14866" width="16.42578125" style="485" customWidth="1"/>
    <col min="14867" max="14867" width="23.5703125" style="485" customWidth="1"/>
    <col min="14868" max="14868" width="33.7109375" style="485" customWidth="1"/>
    <col min="14869" max="14869" width="31.140625" style="485" customWidth="1"/>
    <col min="14870" max="14870" width="19.28515625" style="485" customWidth="1"/>
    <col min="14871" max="14871" width="11.7109375" style="485" customWidth="1"/>
    <col min="14872" max="14872" width="15.42578125" style="485" customWidth="1"/>
    <col min="14873" max="14873" width="5.5703125" style="485" customWidth="1"/>
    <col min="14874" max="14874" width="4.7109375" style="485" customWidth="1"/>
    <col min="14875" max="14876" width="7.28515625" style="485" customWidth="1"/>
    <col min="14877" max="14877" width="8.42578125" style="485" customWidth="1"/>
    <col min="14878" max="14878" width="9.5703125" style="485" customWidth="1"/>
    <col min="14879" max="14879" width="6.28515625" style="485" customWidth="1"/>
    <col min="14880" max="14880" width="5.85546875" style="485" customWidth="1"/>
    <col min="14881" max="14882" width="4.42578125" style="485" customWidth="1"/>
    <col min="14883" max="14883" width="5" style="485" customWidth="1"/>
    <col min="14884" max="14884" width="5.85546875" style="485" customWidth="1"/>
    <col min="14885" max="14885" width="6.140625" style="485" customWidth="1"/>
    <col min="14886" max="14886" width="6.28515625" style="485" customWidth="1"/>
    <col min="14887" max="14887" width="4.85546875" style="485" customWidth="1"/>
    <col min="14888" max="14888" width="8.140625" style="485" customWidth="1"/>
    <col min="14889" max="14889" width="11.5703125" style="485" customWidth="1"/>
    <col min="14890" max="14890" width="13.7109375" style="485" customWidth="1"/>
    <col min="14891" max="14891" width="20.85546875" style="485" customWidth="1"/>
    <col min="14892" max="15104" width="11.42578125" style="485"/>
    <col min="15105" max="15105" width="13.140625" style="485" customWidth="1"/>
    <col min="15106" max="15106" width="4" style="485" customWidth="1"/>
    <col min="15107" max="15107" width="12.85546875" style="485" customWidth="1"/>
    <col min="15108" max="15108" width="14.7109375" style="485" customWidth="1"/>
    <col min="15109" max="15109" width="10" style="485" customWidth="1"/>
    <col min="15110" max="15110" width="6.28515625" style="485" customWidth="1"/>
    <col min="15111" max="15111" width="12.28515625" style="485" customWidth="1"/>
    <col min="15112" max="15112" width="8.5703125" style="485" customWidth="1"/>
    <col min="15113" max="15113" width="13.7109375" style="485" customWidth="1"/>
    <col min="15114" max="15114" width="11.5703125" style="485" customWidth="1"/>
    <col min="15115" max="15115" width="24.7109375" style="485" customWidth="1"/>
    <col min="15116" max="15116" width="17.42578125" style="485" customWidth="1"/>
    <col min="15117" max="15117" width="20.85546875" style="485" customWidth="1"/>
    <col min="15118" max="15118" width="26.85546875" style="485" customWidth="1"/>
    <col min="15119" max="15119" width="8" style="485" customWidth="1"/>
    <col min="15120" max="15120" width="25" style="485" customWidth="1"/>
    <col min="15121" max="15121" width="12.7109375" style="485" customWidth="1"/>
    <col min="15122" max="15122" width="16.42578125" style="485" customWidth="1"/>
    <col min="15123" max="15123" width="23.5703125" style="485" customWidth="1"/>
    <col min="15124" max="15124" width="33.7109375" style="485" customWidth="1"/>
    <col min="15125" max="15125" width="31.140625" style="485" customWidth="1"/>
    <col min="15126" max="15126" width="19.28515625" style="485" customWidth="1"/>
    <col min="15127" max="15127" width="11.7109375" style="485" customWidth="1"/>
    <col min="15128" max="15128" width="15.42578125" style="485" customWidth="1"/>
    <col min="15129" max="15129" width="5.5703125" style="485" customWidth="1"/>
    <col min="15130" max="15130" width="4.7109375" style="485" customWidth="1"/>
    <col min="15131" max="15132" width="7.28515625" style="485" customWidth="1"/>
    <col min="15133" max="15133" width="8.42578125" style="485" customWidth="1"/>
    <col min="15134" max="15134" width="9.5703125" style="485" customWidth="1"/>
    <col min="15135" max="15135" width="6.28515625" style="485" customWidth="1"/>
    <col min="15136" max="15136" width="5.85546875" style="485" customWidth="1"/>
    <col min="15137" max="15138" width="4.42578125" style="485" customWidth="1"/>
    <col min="15139" max="15139" width="5" style="485" customWidth="1"/>
    <col min="15140" max="15140" width="5.85546875" style="485" customWidth="1"/>
    <col min="15141" max="15141" width="6.140625" style="485" customWidth="1"/>
    <col min="15142" max="15142" width="6.28515625" style="485" customWidth="1"/>
    <col min="15143" max="15143" width="4.85546875" style="485" customWidth="1"/>
    <col min="15144" max="15144" width="8.140625" style="485" customWidth="1"/>
    <col min="15145" max="15145" width="11.5703125" style="485" customWidth="1"/>
    <col min="15146" max="15146" width="13.7109375" style="485" customWidth="1"/>
    <col min="15147" max="15147" width="20.85546875" style="485" customWidth="1"/>
    <col min="15148" max="15360" width="11.42578125" style="485"/>
    <col min="15361" max="15361" width="13.140625" style="485" customWidth="1"/>
    <col min="15362" max="15362" width="4" style="485" customWidth="1"/>
    <col min="15363" max="15363" width="12.85546875" style="485" customWidth="1"/>
    <col min="15364" max="15364" width="14.7109375" style="485" customWidth="1"/>
    <col min="15365" max="15365" width="10" style="485" customWidth="1"/>
    <col min="15366" max="15366" width="6.28515625" style="485" customWidth="1"/>
    <col min="15367" max="15367" width="12.28515625" style="485" customWidth="1"/>
    <col min="15368" max="15368" width="8.5703125" style="485" customWidth="1"/>
    <col min="15369" max="15369" width="13.7109375" style="485" customWidth="1"/>
    <col min="15370" max="15370" width="11.5703125" style="485" customWidth="1"/>
    <col min="15371" max="15371" width="24.7109375" style="485" customWidth="1"/>
    <col min="15372" max="15372" width="17.42578125" style="485" customWidth="1"/>
    <col min="15373" max="15373" width="20.85546875" style="485" customWidth="1"/>
    <col min="15374" max="15374" width="26.85546875" style="485" customWidth="1"/>
    <col min="15375" max="15375" width="8" style="485" customWidth="1"/>
    <col min="15376" max="15376" width="25" style="485" customWidth="1"/>
    <col min="15377" max="15377" width="12.7109375" style="485" customWidth="1"/>
    <col min="15378" max="15378" width="16.42578125" style="485" customWidth="1"/>
    <col min="15379" max="15379" width="23.5703125" style="485" customWidth="1"/>
    <col min="15380" max="15380" width="33.7109375" style="485" customWidth="1"/>
    <col min="15381" max="15381" width="31.140625" style="485" customWidth="1"/>
    <col min="15382" max="15382" width="19.28515625" style="485" customWidth="1"/>
    <col min="15383" max="15383" width="11.7109375" style="485" customWidth="1"/>
    <col min="15384" max="15384" width="15.42578125" style="485" customWidth="1"/>
    <col min="15385" max="15385" width="5.5703125" style="485" customWidth="1"/>
    <col min="15386" max="15386" width="4.7109375" style="485" customWidth="1"/>
    <col min="15387" max="15388" width="7.28515625" style="485" customWidth="1"/>
    <col min="15389" max="15389" width="8.42578125" style="485" customWidth="1"/>
    <col min="15390" max="15390" width="9.5703125" style="485" customWidth="1"/>
    <col min="15391" max="15391" width="6.28515625" style="485" customWidth="1"/>
    <col min="15392" max="15392" width="5.85546875" style="485" customWidth="1"/>
    <col min="15393" max="15394" width="4.42578125" style="485" customWidth="1"/>
    <col min="15395" max="15395" width="5" style="485" customWidth="1"/>
    <col min="15396" max="15396" width="5.85546875" style="485" customWidth="1"/>
    <col min="15397" max="15397" width="6.140625" style="485" customWidth="1"/>
    <col min="15398" max="15398" width="6.28515625" style="485" customWidth="1"/>
    <col min="15399" max="15399" width="4.85546875" style="485" customWidth="1"/>
    <col min="15400" max="15400" width="8.140625" style="485" customWidth="1"/>
    <col min="15401" max="15401" width="11.5703125" style="485" customWidth="1"/>
    <col min="15402" max="15402" width="13.7109375" style="485" customWidth="1"/>
    <col min="15403" max="15403" width="20.85546875" style="485" customWidth="1"/>
    <col min="15404" max="15616" width="11.42578125" style="485"/>
    <col min="15617" max="15617" width="13.140625" style="485" customWidth="1"/>
    <col min="15618" max="15618" width="4" style="485" customWidth="1"/>
    <col min="15619" max="15619" width="12.85546875" style="485" customWidth="1"/>
    <col min="15620" max="15620" width="14.7109375" style="485" customWidth="1"/>
    <col min="15621" max="15621" width="10" style="485" customWidth="1"/>
    <col min="15622" max="15622" width="6.28515625" style="485" customWidth="1"/>
    <col min="15623" max="15623" width="12.28515625" style="485" customWidth="1"/>
    <col min="15624" max="15624" width="8.5703125" style="485" customWidth="1"/>
    <col min="15625" max="15625" width="13.7109375" style="485" customWidth="1"/>
    <col min="15626" max="15626" width="11.5703125" style="485" customWidth="1"/>
    <col min="15627" max="15627" width="24.7109375" style="485" customWidth="1"/>
    <col min="15628" max="15628" width="17.42578125" style="485" customWidth="1"/>
    <col min="15629" max="15629" width="20.85546875" style="485" customWidth="1"/>
    <col min="15630" max="15630" width="26.85546875" style="485" customWidth="1"/>
    <col min="15631" max="15631" width="8" style="485" customWidth="1"/>
    <col min="15632" max="15632" width="25" style="485" customWidth="1"/>
    <col min="15633" max="15633" width="12.7109375" style="485" customWidth="1"/>
    <col min="15634" max="15634" width="16.42578125" style="485" customWidth="1"/>
    <col min="15635" max="15635" width="23.5703125" style="485" customWidth="1"/>
    <col min="15636" max="15636" width="33.7109375" style="485" customWidth="1"/>
    <col min="15637" max="15637" width="31.140625" style="485" customWidth="1"/>
    <col min="15638" max="15638" width="19.28515625" style="485" customWidth="1"/>
    <col min="15639" max="15639" width="11.7109375" style="485" customWidth="1"/>
    <col min="15640" max="15640" width="15.42578125" style="485" customWidth="1"/>
    <col min="15641" max="15641" width="5.5703125" style="485" customWidth="1"/>
    <col min="15642" max="15642" width="4.7109375" style="485" customWidth="1"/>
    <col min="15643" max="15644" width="7.28515625" style="485" customWidth="1"/>
    <col min="15645" max="15645" width="8.42578125" style="485" customWidth="1"/>
    <col min="15646" max="15646" width="9.5703125" style="485" customWidth="1"/>
    <col min="15647" max="15647" width="6.28515625" style="485" customWidth="1"/>
    <col min="15648" max="15648" width="5.85546875" style="485" customWidth="1"/>
    <col min="15649" max="15650" width="4.42578125" style="485" customWidth="1"/>
    <col min="15651" max="15651" width="5" style="485" customWidth="1"/>
    <col min="15652" max="15652" width="5.85546875" style="485" customWidth="1"/>
    <col min="15653" max="15653" width="6.140625" style="485" customWidth="1"/>
    <col min="15654" max="15654" width="6.28515625" style="485" customWidth="1"/>
    <col min="15655" max="15655" width="4.85546875" style="485" customWidth="1"/>
    <col min="15656" max="15656" width="8.140625" style="485" customWidth="1"/>
    <col min="15657" max="15657" width="11.5703125" style="485" customWidth="1"/>
    <col min="15658" max="15658" width="13.7109375" style="485" customWidth="1"/>
    <col min="15659" max="15659" width="20.85546875" style="485" customWidth="1"/>
    <col min="15660" max="15872" width="11.42578125" style="485"/>
    <col min="15873" max="15873" width="13.140625" style="485" customWidth="1"/>
    <col min="15874" max="15874" width="4" style="485" customWidth="1"/>
    <col min="15875" max="15875" width="12.85546875" style="485" customWidth="1"/>
    <col min="15876" max="15876" width="14.7109375" style="485" customWidth="1"/>
    <col min="15877" max="15877" width="10" style="485" customWidth="1"/>
    <col min="15878" max="15878" width="6.28515625" style="485" customWidth="1"/>
    <col min="15879" max="15879" width="12.28515625" style="485" customWidth="1"/>
    <col min="15880" max="15880" width="8.5703125" style="485" customWidth="1"/>
    <col min="15881" max="15881" width="13.7109375" style="485" customWidth="1"/>
    <col min="15882" max="15882" width="11.5703125" style="485" customWidth="1"/>
    <col min="15883" max="15883" width="24.7109375" style="485" customWidth="1"/>
    <col min="15884" max="15884" width="17.42578125" style="485" customWidth="1"/>
    <col min="15885" max="15885" width="20.85546875" style="485" customWidth="1"/>
    <col min="15886" max="15886" width="26.85546875" style="485" customWidth="1"/>
    <col min="15887" max="15887" width="8" style="485" customWidth="1"/>
    <col min="15888" max="15888" width="25" style="485" customWidth="1"/>
    <col min="15889" max="15889" width="12.7109375" style="485" customWidth="1"/>
    <col min="15890" max="15890" width="16.42578125" style="485" customWidth="1"/>
    <col min="15891" max="15891" width="23.5703125" style="485" customWidth="1"/>
    <col min="15892" max="15892" width="33.7109375" style="485" customWidth="1"/>
    <col min="15893" max="15893" width="31.140625" style="485" customWidth="1"/>
    <col min="15894" max="15894" width="19.28515625" style="485" customWidth="1"/>
    <col min="15895" max="15895" width="11.7109375" style="485" customWidth="1"/>
    <col min="15896" max="15896" width="15.42578125" style="485" customWidth="1"/>
    <col min="15897" max="15897" width="5.5703125" style="485" customWidth="1"/>
    <col min="15898" max="15898" width="4.7109375" style="485" customWidth="1"/>
    <col min="15899" max="15900" width="7.28515625" style="485" customWidth="1"/>
    <col min="15901" max="15901" width="8.42578125" style="485" customWidth="1"/>
    <col min="15902" max="15902" width="9.5703125" style="485" customWidth="1"/>
    <col min="15903" max="15903" width="6.28515625" style="485" customWidth="1"/>
    <col min="15904" max="15904" width="5.85546875" style="485" customWidth="1"/>
    <col min="15905" max="15906" width="4.42578125" style="485" customWidth="1"/>
    <col min="15907" max="15907" width="5" style="485" customWidth="1"/>
    <col min="15908" max="15908" width="5.85546875" style="485" customWidth="1"/>
    <col min="15909" max="15909" width="6.140625" style="485" customWidth="1"/>
    <col min="15910" max="15910" width="6.28515625" style="485" customWidth="1"/>
    <col min="15911" max="15911" width="4.85546875" style="485" customWidth="1"/>
    <col min="15912" max="15912" width="8.140625" style="485" customWidth="1"/>
    <col min="15913" max="15913" width="11.5703125" style="485" customWidth="1"/>
    <col min="15914" max="15914" width="13.7109375" style="485" customWidth="1"/>
    <col min="15915" max="15915" width="20.85546875" style="485" customWidth="1"/>
    <col min="15916" max="16128" width="11.42578125" style="485"/>
    <col min="16129" max="16129" width="13.140625" style="485" customWidth="1"/>
    <col min="16130" max="16130" width="4" style="485" customWidth="1"/>
    <col min="16131" max="16131" width="12.85546875" style="485" customWidth="1"/>
    <col min="16132" max="16132" width="14.7109375" style="485" customWidth="1"/>
    <col min="16133" max="16133" width="10" style="485" customWidth="1"/>
    <col min="16134" max="16134" width="6.28515625" style="485" customWidth="1"/>
    <col min="16135" max="16135" width="12.28515625" style="485" customWidth="1"/>
    <col min="16136" max="16136" width="8.5703125" style="485" customWidth="1"/>
    <col min="16137" max="16137" width="13.7109375" style="485" customWidth="1"/>
    <col min="16138" max="16138" width="11.5703125" style="485" customWidth="1"/>
    <col min="16139" max="16139" width="24.7109375" style="485" customWidth="1"/>
    <col min="16140" max="16140" width="17.42578125" style="485" customWidth="1"/>
    <col min="16141" max="16141" width="20.85546875" style="485" customWidth="1"/>
    <col min="16142" max="16142" width="26.85546875" style="485" customWidth="1"/>
    <col min="16143" max="16143" width="8" style="485" customWidth="1"/>
    <col min="16144" max="16144" width="25" style="485" customWidth="1"/>
    <col min="16145" max="16145" width="12.7109375" style="485" customWidth="1"/>
    <col min="16146" max="16146" width="16.42578125" style="485" customWidth="1"/>
    <col min="16147" max="16147" width="23.5703125" style="485" customWidth="1"/>
    <col min="16148" max="16148" width="33.7109375" style="485" customWidth="1"/>
    <col min="16149" max="16149" width="31.140625" style="485" customWidth="1"/>
    <col min="16150" max="16150" width="19.28515625" style="485" customWidth="1"/>
    <col min="16151" max="16151" width="11.7109375" style="485" customWidth="1"/>
    <col min="16152" max="16152" width="15.42578125" style="485" customWidth="1"/>
    <col min="16153" max="16153" width="5.5703125" style="485" customWidth="1"/>
    <col min="16154" max="16154" width="4.7109375" style="485" customWidth="1"/>
    <col min="16155" max="16156" width="7.28515625" style="485" customWidth="1"/>
    <col min="16157" max="16157" width="8.42578125" style="485" customWidth="1"/>
    <col min="16158" max="16158" width="9.5703125" style="485" customWidth="1"/>
    <col min="16159" max="16159" width="6.28515625" style="485" customWidth="1"/>
    <col min="16160" max="16160" width="5.85546875" style="485" customWidth="1"/>
    <col min="16161" max="16162" width="4.42578125" style="485" customWidth="1"/>
    <col min="16163" max="16163" width="5" style="485" customWidth="1"/>
    <col min="16164" max="16164" width="5.85546875" style="485" customWidth="1"/>
    <col min="16165" max="16165" width="6.140625" style="485" customWidth="1"/>
    <col min="16166" max="16166" width="6.28515625" style="485" customWidth="1"/>
    <col min="16167" max="16167" width="4.85546875" style="485" customWidth="1"/>
    <col min="16168" max="16168" width="8.140625" style="485" customWidth="1"/>
    <col min="16169" max="16169" width="11.5703125" style="485" customWidth="1"/>
    <col min="16170" max="16170" width="13.7109375" style="485" customWidth="1"/>
    <col min="16171" max="16171" width="20.85546875" style="485" customWidth="1"/>
    <col min="16172" max="16384" width="11.42578125" style="485"/>
  </cols>
  <sheetData>
    <row r="1" spans="1:63" ht="16.5" customHeight="1" x14ac:dyDescent="0.2">
      <c r="A1" s="2153" t="s">
        <v>1179</v>
      </c>
      <c r="B1" s="2154"/>
      <c r="C1" s="2154"/>
      <c r="D1" s="2154"/>
      <c r="E1" s="2154"/>
      <c r="F1" s="2154"/>
      <c r="G1" s="2154"/>
      <c r="H1" s="2154"/>
      <c r="I1" s="2154"/>
      <c r="J1" s="2154"/>
      <c r="K1" s="2154"/>
      <c r="L1" s="2154"/>
      <c r="M1" s="2154"/>
      <c r="N1" s="2154"/>
      <c r="O1" s="2154"/>
      <c r="P1" s="2154"/>
      <c r="Q1" s="2154"/>
      <c r="R1" s="2154"/>
      <c r="S1" s="2154"/>
      <c r="T1" s="2154"/>
      <c r="U1" s="2154"/>
      <c r="V1" s="2154"/>
      <c r="W1" s="2154"/>
      <c r="X1" s="2154"/>
      <c r="Y1" s="2154"/>
      <c r="Z1" s="2154"/>
      <c r="AA1" s="2154"/>
      <c r="AB1" s="2154"/>
      <c r="AC1" s="2154"/>
      <c r="AD1" s="2154"/>
      <c r="AE1" s="2154"/>
      <c r="AF1" s="2154"/>
      <c r="AG1" s="2154"/>
      <c r="AH1" s="2154"/>
      <c r="AI1" s="2154"/>
      <c r="AJ1" s="2154"/>
      <c r="AK1" s="2154"/>
      <c r="AL1" s="2154"/>
      <c r="AM1" s="2154"/>
      <c r="AN1" s="2154"/>
      <c r="AO1" s="2155"/>
      <c r="AP1" s="738" t="s">
        <v>0</v>
      </c>
      <c r="AQ1" s="739" t="s">
        <v>1</v>
      </c>
      <c r="AR1" s="467"/>
      <c r="AS1" s="467"/>
      <c r="AT1" s="467"/>
      <c r="AU1" s="467"/>
      <c r="AV1" s="467"/>
      <c r="AW1" s="467"/>
      <c r="AX1" s="467"/>
      <c r="AY1" s="467"/>
      <c r="AZ1" s="467"/>
      <c r="BA1" s="467"/>
      <c r="BB1" s="467"/>
      <c r="BC1" s="467"/>
      <c r="BD1" s="467"/>
      <c r="BE1" s="467"/>
      <c r="BF1" s="467"/>
      <c r="BG1" s="467"/>
      <c r="BH1" s="467"/>
      <c r="BI1" s="467"/>
      <c r="BJ1" s="467"/>
      <c r="BK1" s="467"/>
    </row>
    <row r="2" spans="1:63" ht="16.5" customHeight="1" x14ac:dyDescent="0.2">
      <c r="A2" s="2156"/>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c r="AC2" s="2124"/>
      <c r="AD2" s="2124"/>
      <c r="AE2" s="2124"/>
      <c r="AF2" s="2124"/>
      <c r="AG2" s="2124"/>
      <c r="AH2" s="2124"/>
      <c r="AI2" s="2124"/>
      <c r="AJ2" s="2124"/>
      <c r="AK2" s="2124"/>
      <c r="AL2" s="2124"/>
      <c r="AM2" s="2124"/>
      <c r="AN2" s="2124"/>
      <c r="AO2" s="2125"/>
      <c r="AP2" s="364" t="s">
        <v>2</v>
      </c>
      <c r="AQ2" s="740" t="s">
        <v>3</v>
      </c>
      <c r="AR2" s="467"/>
      <c r="AS2" s="467"/>
      <c r="AT2" s="467"/>
      <c r="AU2" s="467"/>
      <c r="AV2" s="467"/>
      <c r="AW2" s="467"/>
      <c r="AX2" s="467"/>
      <c r="AY2" s="467"/>
      <c r="AZ2" s="467"/>
      <c r="BA2" s="467"/>
      <c r="BB2" s="467"/>
      <c r="BC2" s="467"/>
      <c r="BD2" s="467"/>
      <c r="BE2" s="467"/>
      <c r="BF2" s="467"/>
      <c r="BG2" s="467"/>
      <c r="BH2" s="467"/>
      <c r="BI2" s="467"/>
      <c r="BJ2" s="467"/>
      <c r="BK2" s="467"/>
    </row>
    <row r="3" spans="1:63" ht="16.5" customHeight="1" x14ac:dyDescent="0.2">
      <c r="A3" s="2156"/>
      <c r="B3" s="2124"/>
      <c r="C3" s="2124"/>
      <c r="D3" s="2124"/>
      <c r="E3" s="2124"/>
      <c r="F3" s="2124"/>
      <c r="G3" s="2124"/>
      <c r="H3" s="2124"/>
      <c r="I3" s="2124"/>
      <c r="J3" s="2124"/>
      <c r="K3" s="2124"/>
      <c r="L3" s="2124"/>
      <c r="M3" s="2124"/>
      <c r="N3" s="2124"/>
      <c r="O3" s="2124"/>
      <c r="P3" s="2124"/>
      <c r="Q3" s="2124"/>
      <c r="R3" s="2124"/>
      <c r="S3" s="2124"/>
      <c r="T3" s="2124"/>
      <c r="U3" s="2124"/>
      <c r="V3" s="2124"/>
      <c r="W3" s="2124"/>
      <c r="X3" s="2124"/>
      <c r="Y3" s="2124"/>
      <c r="Z3" s="2124"/>
      <c r="AA3" s="2124"/>
      <c r="AB3" s="2124"/>
      <c r="AC3" s="2124"/>
      <c r="AD3" s="2124"/>
      <c r="AE3" s="2124"/>
      <c r="AF3" s="2124"/>
      <c r="AG3" s="2124"/>
      <c r="AH3" s="2124"/>
      <c r="AI3" s="2124"/>
      <c r="AJ3" s="2124"/>
      <c r="AK3" s="2124"/>
      <c r="AL3" s="2124"/>
      <c r="AM3" s="2124"/>
      <c r="AN3" s="2124"/>
      <c r="AO3" s="2125"/>
      <c r="AP3" s="362" t="s">
        <v>4</v>
      </c>
      <c r="AQ3" s="741" t="s">
        <v>5</v>
      </c>
      <c r="AR3" s="467"/>
      <c r="AS3" s="467"/>
      <c r="AT3" s="467"/>
      <c r="AU3" s="467"/>
      <c r="AV3" s="467"/>
      <c r="AW3" s="467"/>
      <c r="AX3" s="467"/>
      <c r="AY3" s="467"/>
      <c r="AZ3" s="467"/>
      <c r="BA3" s="467"/>
      <c r="BB3" s="467"/>
      <c r="BC3" s="467"/>
      <c r="BD3" s="467"/>
      <c r="BE3" s="467"/>
      <c r="BF3" s="467"/>
      <c r="BG3" s="467"/>
      <c r="BH3" s="467"/>
      <c r="BI3" s="467"/>
      <c r="BJ3" s="467"/>
      <c r="BK3" s="467"/>
    </row>
    <row r="4" spans="1:63" ht="16.5" customHeight="1" x14ac:dyDescent="0.2">
      <c r="A4" s="2157"/>
      <c r="B4" s="2126"/>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7"/>
      <c r="AP4" s="362" t="s">
        <v>6</v>
      </c>
      <c r="AQ4" s="742" t="s">
        <v>7</v>
      </c>
      <c r="AR4" s="467"/>
      <c r="AS4" s="467"/>
      <c r="AT4" s="467"/>
      <c r="AU4" s="467"/>
      <c r="AV4" s="467"/>
      <c r="AW4" s="467"/>
      <c r="AX4" s="467"/>
      <c r="AY4" s="467"/>
      <c r="AZ4" s="467"/>
      <c r="BA4" s="467"/>
      <c r="BB4" s="467"/>
      <c r="BC4" s="467"/>
      <c r="BD4" s="467"/>
      <c r="BE4" s="467"/>
      <c r="BF4" s="467"/>
      <c r="BG4" s="467"/>
      <c r="BH4" s="467"/>
      <c r="BI4" s="467"/>
      <c r="BJ4" s="467"/>
      <c r="BK4" s="467"/>
    </row>
    <row r="5" spans="1:63" ht="22.5" customHeight="1" x14ac:dyDescent="0.2">
      <c r="A5" s="2254" t="s">
        <v>8</v>
      </c>
      <c r="B5" s="2128"/>
      <c r="C5" s="2128"/>
      <c r="D5" s="2128"/>
      <c r="E5" s="2128"/>
      <c r="F5" s="2128"/>
      <c r="G5" s="2128"/>
      <c r="H5" s="2128"/>
      <c r="I5" s="2128"/>
      <c r="J5" s="2128"/>
      <c r="K5" s="2128"/>
      <c r="L5" s="2128"/>
      <c r="M5" s="2128"/>
      <c r="N5" s="2130" t="s">
        <v>9</v>
      </c>
      <c r="O5" s="2130"/>
      <c r="P5" s="2130"/>
      <c r="Q5" s="2130"/>
      <c r="R5" s="2130"/>
      <c r="S5" s="2130"/>
      <c r="T5" s="2130"/>
      <c r="U5" s="2130"/>
      <c r="V5" s="2130"/>
      <c r="W5" s="2130"/>
      <c r="X5" s="2130"/>
      <c r="Y5" s="2130"/>
      <c r="Z5" s="2130"/>
      <c r="AA5" s="2130"/>
      <c r="AB5" s="2130"/>
      <c r="AC5" s="2130"/>
      <c r="AD5" s="2130"/>
      <c r="AE5" s="2130"/>
      <c r="AF5" s="2130"/>
      <c r="AG5" s="2130"/>
      <c r="AH5" s="2130"/>
      <c r="AI5" s="2130"/>
      <c r="AJ5" s="2130"/>
      <c r="AK5" s="2130"/>
      <c r="AL5" s="2130"/>
      <c r="AM5" s="2130"/>
      <c r="AN5" s="2130"/>
      <c r="AO5" s="2130"/>
      <c r="AP5" s="2130"/>
      <c r="AQ5" s="2162"/>
      <c r="AR5" s="467"/>
      <c r="AS5" s="467"/>
      <c r="AT5" s="467"/>
      <c r="AU5" s="467"/>
      <c r="AV5" s="467"/>
      <c r="AW5" s="467"/>
      <c r="AX5" s="467"/>
      <c r="AY5" s="467"/>
      <c r="AZ5" s="467"/>
      <c r="BA5" s="467"/>
      <c r="BB5" s="467"/>
      <c r="BC5" s="467"/>
      <c r="BD5" s="467"/>
      <c r="BE5" s="467"/>
      <c r="BF5" s="467"/>
      <c r="BG5" s="467"/>
      <c r="BH5" s="467"/>
      <c r="BI5" s="467"/>
      <c r="BJ5" s="467"/>
      <c r="BK5" s="467"/>
    </row>
    <row r="6" spans="1:63" ht="20.25" customHeight="1" x14ac:dyDescent="0.2">
      <c r="A6" s="2255"/>
      <c r="B6" s="2129"/>
      <c r="C6" s="2129"/>
      <c r="D6" s="2129"/>
      <c r="E6" s="2129"/>
      <c r="F6" s="2129"/>
      <c r="G6" s="2129"/>
      <c r="H6" s="2129"/>
      <c r="I6" s="2129"/>
      <c r="J6" s="2129"/>
      <c r="K6" s="2129"/>
      <c r="L6" s="2129"/>
      <c r="M6" s="2129"/>
      <c r="N6" s="653"/>
      <c r="O6" s="370"/>
      <c r="P6" s="368"/>
      <c r="Q6" s="370"/>
      <c r="R6" s="370"/>
      <c r="S6" s="368"/>
      <c r="T6" s="368"/>
      <c r="U6" s="368"/>
      <c r="V6" s="370"/>
      <c r="W6" s="370"/>
      <c r="X6" s="370"/>
      <c r="Y6" s="2131" t="s">
        <v>10</v>
      </c>
      <c r="Z6" s="2129"/>
      <c r="AA6" s="2129"/>
      <c r="AB6" s="2129"/>
      <c r="AC6" s="2129"/>
      <c r="AD6" s="2129"/>
      <c r="AE6" s="2129"/>
      <c r="AF6" s="2129"/>
      <c r="AG6" s="2129"/>
      <c r="AH6" s="2129"/>
      <c r="AI6" s="2129"/>
      <c r="AJ6" s="2129"/>
      <c r="AK6" s="2129"/>
      <c r="AL6" s="2129"/>
      <c r="AM6" s="2132"/>
      <c r="AN6" s="1076"/>
      <c r="AO6" s="370"/>
      <c r="AP6" s="370"/>
      <c r="AQ6" s="654"/>
      <c r="AR6" s="467"/>
      <c r="AS6" s="467"/>
      <c r="AT6" s="467"/>
      <c r="AU6" s="467"/>
      <c r="AV6" s="467"/>
      <c r="AW6" s="467"/>
      <c r="AX6" s="467"/>
      <c r="AY6" s="467"/>
      <c r="AZ6" s="467"/>
      <c r="BA6" s="467"/>
      <c r="BB6" s="467"/>
      <c r="BC6" s="467"/>
      <c r="BD6" s="467"/>
      <c r="BE6" s="467"/>
      <c r="BF6" s="467"/>
      <c r="BG6" s="467"/>
      <c r="BH6" s="467"/>
      <c r="BI6" s="467"/>
      <c r="BJ6" s="467"/>
      <c r="BK6" s="467"/>
    </row>
    <row r="7" spans="1:63" ht="51" customHeight="1" x14ac:dyDescent="0.2">
      <c r="A7" s="2256" t="s">
        <v>11</v>
      </c>
      <c r="B7" s="2136" t="s">
        <v>12</v>
      </c>
      <c r="C7" s="2137"/>
      <c r="D7" s="2137" t="s">
        <v>11</v>
      </c>
      <c r="E7" s="2136" t="s">
        <v>13</v>
      </c>
      <c r="F7" s="2137"/>
      <c r="G7" s="2137" t="s">
        <v>11</v>
      </c>
      <c r="H7" s="2136" t="s">
        <v>14</v>
      </c>
      <c r="I7" s="2137"/>
      <c r="J7" s="2137" t="s">
        <v>11</v>
      </c>
      <c r="K7" s="2763" t="s">
        <v>15</v>
      </c>
      <c r="L7" s="2119" t="s">
        <v>16</v>
      </c>
      <c r="M7" s="2119" t="s">
        <v>17</v>
      </c>
      <c r="N7" s="2119" t="s">
        <v>18</v>
      </c>
      <c r="O7" s="2119" t="s">
        <v>19</v>
      </c>
      <c r="P7" s="2119" t="s">
        <v>9</v>
      </c>
      <c r="Q7" s="2180" t="s">
        <v>20</v>
      </c>
      <c r="R7" s="2145" t="s">
        <v>21</v>
      </c>
      <c r="S7" s="2136" t="s">
        <v>22</v>
      </c>
      <c r="T7" s="2763" t="s">
        <v>23</v>
      </c>
      <c r="U7" s="2119" t="s">
        <v>24</v>
      </c>
      <c r="V7" s="2116" t="s">
        <v>21</v>
      </c>
      <c r="W7" s="373"/>
      <c r="X7" s="2119" t="s">
        <v>25</v>
      </c>
      <c r="Y7" s="2122" t="s">
        <v>26</v>
      </c>
      <c r="Z7" s="2122"/>
      <c r="AA7" s="2109" t="s">
        <v>27</v>
      </c>
      <c r="AB7" s="2109"/>
      <c r="AC7" s="2109"/>
      <c r="AD7" s="2109"/>
      <c r="AE7" s="2106" t="s">
        <v>28</v>
      </c>
      <c r="AF7" s="2107"/>
      <c r="AG7" s="2107"/>
      <c r="AH7" s="2107"/>
      <c r="AI7" s="2107"/>
      <c r="AJ7" s="2108"/>
      <c r="AK7" s="2109" t="s">
        <v>29</v>
      </c>
      <c r="AL7" s="2109"/>
      <c r="AM7" s="2109"/>
      <c r="AN7" s="2092" t="s">
        <v>30</v>
      </c>
      <c r="AO7" s="2095" t="s">
        <v>31</v>
      </c>
      <c r="AP7" s="2095" t="s">
        <v>32</v>
      </c>
      <c r="AQ7" s="2167" t="s">
        <v>33</v>
      </c>
      <c r="AR7" s="467"/>
      <c r="AS7" s="467"/>
      <c r="AT7" s="467"/>
      <c r="AU7" s="467"/>
      <c r="AV7" s="467"/>
      <c r="AW7" s="467"/>
      <c r="AX7" s="467"/>
      <c r="AY7" s="467"/>
      <c r="AZ7" s="467"/>
      <c r="BA7" s="467"/>
      <c r="BB7" s="467"/>
      <c r="BC7" s="467"/>
      <c r="BD7" s="467"/>
      <c r="BE7" s="467"/>
      <c r="BF7" s="467"/>
      <c r="BG7" s="467"/>
      <c r="BH7" s="467"/>
      <c r="BI7" s="467"/>
      <c r="BJ7" s="467"/>
      <c r="BK7" s="467"/>
    </row>
    <row r="8" spans="1:63" ht="131.25" customHeight="1" x14ac:dyDescent="0.2">
      <c r="A8" s="2257"/>
      <c r="B8" s="2138"/>
      <c r="C8" s="2139"/>
      <c r="D8" s="2139"/>
      <c r="E8" s="2138"/>
      <c r="F8" s="2139"/>
      <c r="G8" s="2139"/>
      <c r="H8" s="2138"/>
      <c r="I8" s="2139"/>
      <c r="J8" s="2139"/>
      <c r="K8" s="2764"/>
      <c r="L8" s="2120"/>
      <c r="M8" s="2120"/>
      <c r="N8" s="2120"/>
      <c r="O8" s="2120"/>
      <c r="P8" s="2120"/>
      <c r="Q8" s="2181"/>
      <c r="R8" s="2146"/>
      <c r="S8" s="2138"/>
      <c r="T8" s="2764"/>
      <c r="U8" s="2120"/>
      <c r="V8" s="2117"/>
      <c r="W8" s="1077" t="s">
        <v>11</v>
      </c>
      <c r="X8" s="2120"/>
      <c r="Y8" s="1074" t="s">
        <v>34</v>
      </c>
      <c r="Z8" s="1075" t="s">
        <v>35</v>
      </c>
      <c r="AA8" s="655" t="s">
        <v>36</v>
      </c>
      <c r="AB8" s="655" t="s">
        <v>37</v>
      </c>
      <c r="AC8" s="655" t="s">
        <v>38</v>
      </c>
      <c r="AD8" s="655" t="s">
        <v>39</v>
      </c>
      <c r="AE8" s="655" t="s">
        <v>40</v>
      </c>
      <c r="AF8" s="655" t="s">
        <v>41</v>
      </c>
      <c r="AG8" s="655" t="s">
        <v>42</v>
      </c>
      <c r="AH8" s="655" t="s">
        <v>43</v>
      </c>
      <c r="AI8" s="655" t="s">
        <v>44</v>
      </c>
      <c r="AJ8" s="655" t="s">
        <v>45</v>
      </c>
      <c r="AK8" s="655" t="s">
        <v>46</v>
      </c>
      <c r="AL8" s="655" t="s">
        <v>47</v>
      </c>
      <c r="AM8" s="655" t="s">
        <v>48</v>
      </c>
      <c r="AN8" s="2094"/>
      <c r="AO8" s="2096"/>
      <c r="AP8" s="2096"/>
      <c r="AQ8" s="2168"/>
      <c r="AR8" s="467"/>
      <c r="AS8" s="467"/>
      <c r="AT8" s="467"/>
      <c r="AU8" s="467"/>
      <c r="AV8" s="467"/>
      <c r="AW8" s="467"/>
      <c r="AX8" s="467"/>
      <c r="AY8" s="467"/>
      <c r="AZ8" s="467"/>
      <c r="BA8" s="467"/>
      <c r="BB8" s="467"/>
      <c r="BC8" s="467"/>
      <c r="BD8" s="467"/>
      <c r="BE8" s="467"/>
      <c r="BF8" s="467"/>
      <c r="BG8" s="467"/>
      <c r="BH8" s="467"/>
      <c r="BI8" s="467"/>
      <c r="BJ8" s="467"/>
      <c r="BK8" s="467"/>
    </row>
    <row r="9" spans="1:63" s="611" customFormat="1" ht="16.5" customHeight="1" x14ac:dyDescent="0.2">
      <c r="A9" s="1131">
        <v>2</v>
      </c>
      <c r="B9" s="378"/>
      <c r="C9" s="378" t="s">
        <v>1060</v>
      </c>
      <c r="D9" s="1078"/>
      <c r="E9" s="378"/>
      <c r="F9" s="378"/>
      <c r="G9" s="378"/>
      <c r="H9" s="378"/>
      <c r="I9" s="378"/>
      <c r="J9" s="378"/>
      <c r="K9" s="379"/>
      <c r="L9" s="379"/>
      <c r="M9" s="378"/>
      <c r="N9" s="378"/>
      <c r="O9" s="1132"/>
      <c r="P9" s="379"/>
      <c r="Q9" s="1133"/>
      <c r="R9" s="1134"/>
      <c r="S9" s="379"/>
      <c r="T9" s="379"/>
      <c r="U9" s="379"/>
      <c r="V9" s="382"/>
      <c r="W9" s="383"/>
      <c r="X9" s="384"/>
      <c r="Y9" s="378"/>
      <c r="Z9" s="378"/>
      <c r="AA9" s="378"/>
      <c r="AB9" s="378"/>
      <c r="AC9" s="378"/>
      <c r="AD9" s="378"/>
      <c r="AE9" s="378"/>
      <c r="AF9" s="378"/>
      <c r="AG9" s="378"/>
      <c r="AH9" s="378"/>
      <c r="AI9" s="378"/>
      <c r="AJ9" s="378"/>
      <c r="AK9" s="378"/>
      <c r="AL9" s="378"/>
      <c r="AM9" s="378"/>
      <c r="AN9" s="378"/>
      <c r="AO9" s="385"/>
      <c r="AP9" s="385"/>
      <c r="AQ9" s="1135"/>
      <c r="AR9" s="467"/>
      <c r="AS9" s="467"/>
      <c r="AT9" s="467"/>
      <c r="AU9" s="467"/>
      <c r="AV9" s="467"/>
      <c r="AW9" s="467"/>
      <c r="AX9" s="467"/>
      <c r="AY9" s="467"/>
      <c r="AZ9" s="467"/>
      <c r="BA9" s="467"/>
      <c r="BB9" s="467"/>
      <c r="BC9" s="467"/>
      <c r="BD9" s="467"/>
      <c r="BE9" s="467"/>
      <c r="BF9" s="467"/>
      <c r="BG9" s="467"/>
      <c r="BH9" s="467"/>
      <c r="BI9" s="467"/>
      <c r="BJ9" s="467"/>
      <c r="BK9" s="467"/>
    </row>
    <row r="10" spans="1:63" s="467" customFormat="1" ht="19.5" customHeight="1" x14ac:dyDescent="0.2">
      <c r="A10" s="2760"/>
      <c r="B10" s="2070"/>
      <c r="C10" s="2071"/>
      <c r="D10" s="1136">
        <v>2</v>
      </c>
      <c r="E10" s="1137" t="s">
        <v>1061</v>
      </c>
      <c r="F10" s="1137"/>
      <c r="G10" s="1137"/>
      <c r="H10" s="1137"/>
      <c r="I10" s="1137"/>
      <c r="J10" s="388"/>
      <c r="K10" s="389"/>
      <c r="L10" s="389"/>
      <c r="M10" s="388"/>
      <c r="N10" s="388"/>
      <c r="O10" s="1138"/>
      <c r="P10" s="389"/>
      <c r="Q10" s="1139"/>
      <c r="R10" s="1140"/>
      <c r="S10" s="389"/>
      <c r="T10" s="389"/>
      <c r="U10" s="389"/>
      <c r="V10" s="392"/>
      <c r="W10" s="393"/>
      <c r="X10" s="394"/>
      <c r="Y10" s="388"/>
      <c r="Z10" s="388"/>
      <c r="AA10" s="388"/>
      <c r="AB10" s="388"/>
      <c r="AC10" s="388"/>
      <c r="AD10" s="388"/>
      <c r="AE10" s="388"/>
      <c r="AF10" s="388"/>
      <c r="AG10" s="388"/>
      <c r="AH10" s="388"/>
      <c r="AI10" s="388"/>
      <c r="AJ10" s="388"/>
      <c r="AK10" s="388"/>
      <c r="AL10" s="388"/>
      <c r="AM10" s="388"/>
      <c r="AN10" s="388"/>
      <c r="AO10" s="395"/>
      <c r="AP10" s="395"/>
      <c r="AQ10" s="1141"/>
    </row>
    <row r="11" spans="1:63" s="467" customFormat="1" ht="18" customHeight="1" x14ac:dyDescent="0.2">
      <c r="A11" s="2761"/>
      <c r="B11" s="2073"/>
      <c r="C11" s="2074"/>
      <c r="D11" s="2076"/>
      <c r="E11" s="2076"/>
      <c r="F11" s="2077"/>
      <c r="G11" s="1142">
        <v>8</v>
      </c>
      <c r="H11" s="1143" t="s">
        <v>1062</v>
      </c>
      <c r="I11" s="1143"/>
      <c r="J11" s="399"/>
      <c r="K11" s="400"/>
      <c r="L11" s="400"/>
      <c r="M11" s="399"/>
      <c r="N11" s="754"/>
      <c r="O11" s="1144"/>
      <c r="P11" s="400"/>
      <c r="Q11" s="1145"/>
      <c r="R11" s="1146"/>
      <c r="S11" s="400"/>
      <c r="T11" s="400"/>
      <c r="U11" s="400"/>
      <c r="V11" s="403"/>
      <c r="W11" s="1147"/>
      <c r="X11" s="1035"/>
      <c r="Y11" s="399"/>
      <c r="Z11" s="399"/>
      <c r="AA11" s="399"/>
      <c r="AB11" s="399"/>
      <c r="AC11" s="399"/>
      <c r="AD11" s="399"/>
      <c r="AE11" s="399"/>
      <c r="AF11" s="399"/>
      <c r="AG11" s="399"/>
      <c r="AH11" s="399"/>
      <c r="AI11" s="399"/>
      <c r="AJ11" s="399"/>
      <c r="AK11" s="399"/>
      <c r="AL11" s="399"/>
      <c r="AM11" s="399"/>
      <c r="AN11" s="399"/>
      <c r="AO11" s="406"/>
      <c r="AP11" s="406"/>
      <c r="AQ11" s="1148"/>
    </row>
    <row r="12" spans="1:63" s="467" customFormat="1" ht="13.5" customHeight="1" x14ac:dyDescent="0.2">
      <c r="A12" s="2761"/>
      <c r="B12" s="2073"/>
      <c r="C12" s="2074"/>
      <c r="D12" s="2079"/>
      <c r="E12" s="2079"/>
      <c r="F12" s="2080"/>
      <c r="G12" s="2082"/>
      <c r="H12" s="2082"/>
      <c r="I12" s="2055"/>
      <c r="J12" s="2055">
        <v>38</v>
      </c>
      <c r="K12" s="2057" t="s">
        <v>1063</v>
      </c>
      <c r="L12" s="2057" t="s">
        <v>1064</v>
      </c>
      <c r="M12" s="2081">
        <v>4</v>
      </c>
      <c r="N12" s="2628" t="s">
        <v>1065</v>
      </c>
      <c r="O12" s="2055" t="s">
        <v>1066</v>
      </c>
      <c r="P12" s="2057" t="s">
        <v>1067</v>
      </c>
      <c r="Q12" s="2668">
        <f>(V12+V14)/R12</f>
        <v>0.18181818181818182</v>
      </c>
      <c r="R12" s="2102">
        <f>SUM(V12:V21)</f>
        <v>110000000</v>
      </c>
      <c r="S12" s="2057" t="s">
        <v>1068</v>
      </c>
      <c r="T12" s="2733" t="s">
        <v>1069</v>
      </c>
      <c r="U12" s="2056" t="s">
        <v>1070</v>
      </c>
      <c r="V12" s="2735">
        <v>3700000</v>
      </c>
      <c r="W12" s="2243" t="s">
        <v>1071</v>
      </c>
      <c r="X12" s="2628" t="s">
        <v>1072</v>
      </c>
      <c r="Y12" s="2661">
        <v>193964</v>
      </c>
      <c r="Z12" s="2661">
        <v>129308</v>
      </c>
      <c r="AA12" s="2719"/>
      <c r="AB12" s="2719"/>
      <c r="AC12" s="2626">
        <v>323272</v>
      </c>
      <c r="AD12" s="2719"/>
      <c r="AE12" s="2719"/>
      <c r="AF12" s="2719"/>
      <c r="AG12" s="2719"/>
      <c r="AH12" s="2719"/>
      <c r="AI12" s="2719"/>
      <c r="AJ12" s="2719"/>
      <c r="AK12" s="2719"/>
      <c r="AL12" s="2719"/>
      <c r="AM12" s="2719"/>
      <c r="AN12" s="2721">
        <f>+Y12+Z12</f>
        <v>323272</v>
      </c>
      <c r="AO12" s="2719"/>
      <c r="AP12" s="2719"/>
      <c r="AQ12" s="2725" t="s">
        <v>1073</v>
      </c>
    </row>
    <row r="13" spans="1:63" s="467" customFormat="1" ht="43.5" customHeight="1" x14ac:dyDescent="0.2">
      <c r="A13" s="2761"/>
      <c r="B13" s="2073"/>
      <c r="C13" s="2074"/>
      <c r="D13" s="2079"/>
      <c r="E13" s="2079"/>
      <c r="F13" s="2080"/>
      <c r="G13" s="2084"/>
      <c r="H13" s="2084"/>
      <c r="I13" s="2085"/>
      <c r="J13" s="2085"/>
      <c r="K13" s="2630"/>
      <c r="L13" s="2630"/>
      <c r="M13" s="2083"/>
      <c r="N13" s="2629"/>
      <c r="O13" s="2085"/>
      <c r="P13" s="2630"/>
      <c r="Q13" s="2669"/>
      <c r="R13" s="2744"/>
      <c r="S13" s="2630"/>
      <c r="T13" s="2734"/>
      <c r="U13" s="2056"/>
      <c r="V13" s="2736"/>
      <c r="W13" s="2729"/>
      <c r="X13" s="2629"/>
      <c r="Y13" s="2662"/>
      <c r="Z13" s="2662"/>
      <c r="AA13" s="2720"/>
      <c r="AB13" s="2720"/>
      <c r="AC13" s="2627"/>
      <c r="AD13" s="2720"/>
      <c r="AE13" s="2720"/>
      <c r="AF13" s="2720"/>
      <c r="AG13" s="2720"/>
      <c r="AH13" s="2720"/>
      <c r="AI13" s="2720"/>
      <c r="AJ13" s="2720"/>
      <c r="AK13" s="2720"/>
      <c r="AL13" s="2720"/>
      <c r="AM13" s="2720"/>
      <c r="AN13" s="2722"/>
      <c r="AO13" s="2720"/>
      <c r="AP13" s="2720"/>
      <c r="AQ13" s="2726"/>
    </row>
    <row r="14" spans="1:63" s="467" customFormat="1" ht="27.75" customHeight="1" x14ac:dyDescent="0.2">
      <c r="A14" s="2761"/>
      <c r="B14" s="2073"/>
      <c r="C14" s="2074"/>
      <c r="D14" s="2079"/>
      <c r="E14" s="2079"/>
      <c r="F14" s="2080"/>
      <c r="G14" s="2084"/>
      <c r="H14" s="2084"/>
      <c r="I14" s="2085"/>
      <c r="J14" s="2085"/>
      <c r="K14" s="2630"/>
      <c r="L14" s="2630"/>
      <c r="M14" s="2083"/>
      <c r="N14" s="2629"/>
      <c r="O14" s="2085"/>
      <c r="P14" s="2630"/>
      <c r="Q14" s="2669"/>
      <c r="R14" s="2744"/>
      <c r="S14" s="2630"/>
      <c r="T14" s="2734"/>
      <c r="U14" s="2056" t="s">
        <v>1074</v>
      </c>
      <c r="V14" s="2735">
        <v>16300000</v>
      </c>
      <c r="W14" s="2729"/>
      <c r="X14" s="2629"/>
      <c r="Y14" s="2662"/>
      <c r="Z14" s="2662"/>
      <c r="AA14" s="2720"/>
      <c r="AB14" s="2720"/>
      <c r="AC14" s="2627"/>
      <c r="AD14" s="2720"/>
      <c r="AE14" s="2720"/>
      <c r="AF14" s="2720"/>
      <c r="AG14" s="2720"/>
      <c r="AH14" s="2720"/>
      <c r="AI14" s="2720"/>
      <c r="AJ14" s="2720"/>
      <c r="AK14" s="2720"/>
      <c r="AL14" s="2720"/>
      <c r="AM14" s="2720"/>
      <c r="AN14" s="2722"/>
      <c r="AO14" s="2720"/>
      <c r="AP14" s="2720"/>
      <c r="AQ14" s="2726"/>
    </row>
    <row r="15" spans="1:63" s="467" customFormat="1" ht="19.5" customHeight="1" x14ac:dyDescent="0.2">
      <c r="A15" s="2761"/>
      <c r="B15" s="2073"/>
      <c r="C15" s="2074"/>
      <c r="D15" s="2079"/>
      <c r="E15" s="2079"/>
      <c r="F15" s="2080"/>
      <c r="G15" s="2084"/>
      <c r="H15" s="2084"/>
      <c r="I15" s="2085"/>
      <c r="J15" s="2085"/>
      <c r="K15" s="2630"/>
      <c r="L15" s="2630"/>
      <c r="M15" s="2083"/>
      <c r="N15" s="2629"/>
      <c r="O15" s="2085"/>
      <c r="P15" s="2630"/>
      <c r="Q15" s="2669"/>
      <c r="R15" s="2744"/>
      <c r="S15" s="2630"/>
      <c r="T15" s="2734"/>
      <c r="U15" s="2056"/>
      <c r="V15" s="2736"/>
      <c r="W15" s="2729"/>
      <c r="X15" s="2629"/>
      <c r="Y15" s="2662"/>
      <c r="Z15" s="2662"/>
      <c r="AA15" s="2720"/>
      <c r="AB15" s="2720"/>
      <c r="AC15" s="2627"/>
      <c r="AD15" s="2720"/>
      <c r="AE15" s="2720"/>
      <c r="AF15" s="2720"/>
      <c r="AG15" s="2720"/>
      <c r="AH15" s="2720"/>
      <c r="AI15" s="2720"/>
      <c r="AJ15" s="2720"/>
      <c r="AK15" s="2720"/>
      <c r="AL15" s="2720"/>
      <c r="AM15" s="2720"/>
      <c r="AN15" s="2722"/>
      <c r="AO15" s="2720"/>
      <c r="AP15" s="2720"/>
      <c r="AQ15" s="2726"/>
    </row>
    <row r="16" spans="1:63" ht="34.5" customHeight="1" x14ac:dyDescent="0.2">
      <c r="A16" s="2761"/>
      <c r="B16" s="2073"/>
      <c r="C16" s="2074"/>
      <c r="D16" s="2079"/>
      <c r="E16" s="2079"/>
      <c r="F16" s="2080"/>
      <c r="G16" s="2084"/>
      <c r="H16" s="2084"/>
      <c r="I16" s="2085"/>
      <c r="J16" s="2055">
        <v>39</v>
      </c>
      <c r="K16" s="2057" t="s">
        <v>1075</v>
      </c>
      <c r="L16" s="2057" t="s">
        <v>1076</v>
      </c>
      <c r="M16" s="2081">
        <v>3</v>
      </c>
      <c r="N16" s="2629" t="s">
        <v>1077</v>
      </c>
      <c r="O16" s="2085"/>
      <c r="P16" s="2630"/>
      <c r="Q16" s="2668">
        <f>(V16+V18+V20)/R12</f>
        <v>0.81818181818181823</v>
      </c>
      <c r="R16" s="2744"/>
      <c r="S16" s="2630"/>
      <c r="T16" s="2734"/>
      <c r="U16" s="2056" t="s">
        <v>1078</v>
      </c>
      <c r="V16" s="2758">
        <f>14000000+50000000</f>
        <v>64000000</v>
      </c>
      <c r="W16" s="2729"/>
      <c r="X16" s="2629"/>
      <c r="Y16" s="2662"/>
      <c r="Z16" s="2662"/>
      <c r="AA16" s="2720"/>
      <c r="AB16" s="2720"/>
      <c r="AC16" s="2627"/>
      <c r="AD16" s="2720"/>
      <c r="AE16" s="2720"/>
      <c r="AF16" s="2720"/>
      <c r="AG16" s="2720"/>
      <c r="AH16" s="2720"/>
      <c r="AI16" s="2720"/>
      <c r="AJ16" s="2720"/>
      <c r="AK16" s="2720"/>
      <c r="AL16" s="2720"/>
      <c r="AM16" s="2720"/>
      <c r="AN16" s="2722"/>
      <c r="AO16" s="2720"/>
      <c r="AP16" s="2720"/>
      <c r="AQ16" s="2726"/>
    </row>
    <row r="17" spans="1:43" ht="11.25" customHeight="1" x14ac:dyDescent="0.2">
      <c r="A17" s="2761"/>
      <c r="B17" s="2073"/>
      <c r="C17" s="2074"/>
      <c r="D17" s="2079"/>
      <c r="E17" s="2079"/>
      <c r="F17" s="2080"/>
      <c r="G17" s="2084"/>
      <c r="H17" s="2084"/>
      <c r="I17" s="2085"/>
      <c r="J17" s="2085"/>
      <c r="K17" s="2630"/>
      <c r="L17" s="2630"/>
      <c r="M17" s="2083"/>
      <c r="N17" s="2629"/>
      <c r="O17" s="2085"/>
      <c r="P17" s="2630"/>
      <c r="Q17" s="2669"/>
      <c r="R17" s="2744"/>
      <c r="S17" s="2630"/>
      <c r="T17" s="2734"/>
      <c r="U17" s="2056"/>
      <c r="V17" s="2759"/>
      <c r="W17" s="2729"/>
      <c r="X17" s="2629"/>
      <c r="Y17" s="2662"/>
      <c r="Z17" s="2662"/>
      <c r="AA17" s="2720"/>
      <c r="AB17" s="2720"/>
      <c r="AC17" s="2627"/>
      <c r="AD17" s="2720"/>
      <c r="AE17" s="2720"/>
      <c r="AF17" s="2720"/>
      <c r="AG17" s="2720"/>
      <c r="AH17" s="2720"/>
      <c r="AI17" s="2720"/>
      <c r="AJ17" s="2720"/>
      <c r="AK17" s="2720"/>
      <c r="AL17" s="2720"/>
      <c r="AM17" s="2720"/>
      <c r="AN17" s="2722"/>
      <c r="AO17" s="2720"/>
      <c r="AP17" s="2720"/>
      <c r="AQ17" s="2726"/>
    </row>
    <row r="18" spans="1:43" ht="44.25" customHeight="1" x14ac:dyDescent="0.2">
      <c r="A18" s="2761"/>
      <c r="B18" s="2073"/>
      <c r="C18" s="2074"/>
      <c r="D18" s="2079"/>
      <c r="E18" s="2079"/>
      <c r="F18" s="2080"/>
      <c r="G18" s="2084"/>
      <c r="H18" s="2084"/>
      <c r="I18" s="2085"/>
      <c r="J18" s="2085"/>
      <c r="K18" s="2630"/>
      <c r="L18" s="2630"/>
      <c r="M18" s="2083"/>
      <c r="N18" s="2629"/>
      <c r="O18" s="2085"/>
      <c r="P18" s="2630"/>
      <c r="Q18" s="2669"/>
      <c r="R18" s="2744"/>
      <c r="S18" s="2630"/>
      <c r="T18" s="2734"/>
      <c r="U18" s="2057" t="s">
        <v>1079</v>
      </c>
      <c r="V18" s="2758">
        <v>14000000</v>
      </c>
      <c r="W18" s="2729"/>
      <c r="X18" s="2629"/>
      <c r="Y18" s="2662"/>
      <c r="Z18" s="2662"/>
      <c r="AA18" s="2720"/>
      <c r="AB18" s="2720"/>
      <c r="AC18" s="2627"/>
      <c r="AD18" s="2720"/>
      <c r="AE18" s="2720"/>
      <c r="AF18" s="2720"/>
      <c r="AG18" s="2720"/>
      <c r="AH18" s="2720"/>
      <c r="AI18" s="2720"/>
      <c r="AJ18" s="2720"/>
      <c r="AK18" s="2720"/>
      <c r="AL18" s="2720"/>
      <c r="AM18" s="2720"/>
      <c r="AN18" s="2722"/>
      <c r="AO18" s="2720"/>
      <c r="AP18" s="2720"/>
      <c r="AQ18" s="2726"/>
    </row>
    <row r="19" spans="1:43" ht="11.25" customHeight="1" x14ac:dyDescent="0.2">
      <c r="A19" s="2761"/>
      <c r="B19" s="2073"/>
      <c r="C19" s="2074"/>
      <c r="D19" s="2079"/>
      <c r="E19" s="2079"/>
      <c r="F19" s="2080"/>
      <c r="G19" s="2084"/>
      <c r="H19" s="2084"/>
      <c r="I19" s="2085"/>
      <c r="J19" s="2085"/>
      <c r="K19" s="2630"/>
      <c r="L19" s="2630"/>
      <c r="M19" s="2083"/>
      <c r="N19" s="2629"/>
      <c r="O19" s="2085"/>
      <c r="P19" s="2630"/>
      <c r="Q19" s="2669"/>
      <c r="R19" s="2744"/>
      <c r="S19" s="2630"/>
      <c r="T19" s="2734"/>
      <c r="U19" s="2648"/>
      <c r="V19" s="2759"/>
      <c r="W19" s="2729"/>
      <c r="X19" s="2629"/>
      <c r="Y19" s="2662"/>
      <c r="Z19" s="2662"/>
      <c r="AA19" s="2720"/>
      <c r="AB19" s="2720"/>
      <c r="AC19" s="2627"/>
      <c r="AD19" s="2720"/>
      <c r="AE19" s="2720"/>
      <c r="AF19" s="2720"/>
      <c r="AG19" s="2720"/>
      <c r="AH19" s="2720"/>
      <c r="AI19" s="2720"/>
      <c r="AJ19" s="2720"/>
      <c r="AK19" s="2720"/>
      <c r="AL19" s="2720"/>
      <c r="AM19" s="2720"/>
      <c r="AN19" s="2722"/>
      <c r="AO19" s="2720"/>
      <c r="AP19" s="2720"/>
      <c r="AQ19" s="2726"/>
    </row>
    <row r="20" spans="1:43" ht="11.25" customHeight="1" x14ac:dyDescent="0.2">
      <c r="A20" s="2761"/>
      <c r="B20" s="2073"/>
      <c r="C20" s="2074"/>
      <c r="D20" s="2079"/>
      <c r="E20" s="2079"/>
      <c r="F20" s="2080"/>
      <c r="G20" s="2084"/>
      <c r="H20" s="2084"/>
      <c r="I20" s="2085"/>
      <c r="J20" s="2085"/>
      <c r="K20" s="2630"/>
      <c r="L20" s="2630"/>
      <c r="M20" s="2083"/>
      <c r="N20" s="2629"/>
      <c r="O20" s="2085"/>
      <c r="P20" s="2630"/>
      <c r="Q20" s="2669"/>
      <c r="R20" s="2744"/>
      <c r="S20" s="2630"/>
      <c r="T20" s="2734"/>
      <c r="U20" s="2057" t="s">
        <v>1080</v>
      </c>
      <c r="V20" s="2735">
        <v>12000000</v>
      </c>
      <c r="W20" s="2729"/>
      <c r="X20" s="2629"/>
      <c r="Y20" s="2662"/>
      <c r="Z20" s="2662"/>
      <c r="AA20" s="2720"/>
      <c r="AB20" s="2720"/>
      <c r="AC20" s="2627"/>
      <c r="AD20" s="2720"/>
      <c r="AE20" s="2720"/>
      <c r="AF20" s="2720"/>
      <c r="AG20" s="2720"/>
      <c r="AH20" s="2720"/>
      <c r="AI20" s="2720"/>
      <c r="AJ20" s="2720"/>
      <c r="AK20" s="2720"/>
      <c r="AL20" s="2720"/>
      <c r="AM20" s="2720"/>
      <c r="AN20" s="2722"/>
      <c r="AO20" s="2720"/>
      <c r="AP20" s="2720"/>
      <c r="AQ20" s="2726"/>
    </row>
    <row r="21" spans="1:43" ht="46.5" customHeight="1" x14ac:dyDescent="0.2">
      <c r="A21" s="2761"/>
      <c r="B21" s="2073"/>
      <c r="C21" s="2074"/>
      <c r="D21" s="2079"/>
      <c r="E21" s="2079"/>
      <c r="F21" s="2080"/>
      <c r="G21" s="2084"/>
      <c r="H21" s="2084"/>
      <c r="I21" s="2085"/>
      <c r="J21" s="2085"/>
      <c r="K21" s="2630"/>
      <c r="L21" s="2630"/>
      <c r="M21" s="2083"/>
      <c r="N21" s="2639"/>
      <c r="O21" s="2085"/>
      <c r="P21" s="2630"/>
      <c r="Q21" s="2669"/>
      <c r="R21" s="2744"/>
      <c r="S21" s="2630"/>
      <c r="T21" s="2743"/>
      <c r="U21" s="2648"/>
      <c r="V21" s="2736"/>
      <c r="W21" s="2740"/>
      <c r="X21" s="2639"/>
      <c r="Y21" s="2663"/>
      <c r="Z21" s="2663"/>
      <c r="AA21" s="2741"/>
      <c r="AB21" s="2741"/>
      <c r="AC21" s="2647"/>
      <c r="AD21" s="2741"/>
      <c r="AE21" s="2741"/>
      <c r="AF21" s="2741"/>
      <c r="AG21" s="2741"/>
      <c r="AH21" s="2741"/>
      <c r="AI21" s="2741"/>
      <c r="AJ21" s="2741"/>
      <c r="AK21" s="2741"/>
      <c r="AL21" s="2741"/>
      <c r="AM21" s="2741"/>
      <c r="AN21" s="2742"/>
      <c r="AO21" s="2741"/>
      <c r="AP21" s="2741"/>
      <c r="AQ21" s="2739"/>
    </row>
    <row r="22" spans="1:43" ht="11.25" customHeight="1" x14ac:dyDescent="0.2">
      <c r="A22" s="2761"/>
      <c r="B22" s="2073"/>
      <c r="C22" s="2074"/>
      <c r="D22" s="2079"/>
      <c r="E22" s="2079"/>
      <c r="F22" s="2080"/>
      <c r="G22" s="2084"/>
      <c r="H22" s="2084"/>
      <c r="I22" s="2085"/>
      <c r="J22" s="2055">
        <v>40</v>
      </c>
      <c r="K22" s="2057" t="s">
        <v>1081</v>
      </c>
      <c r="L22" s="2057" t="s">
        <v>1082</v>
      </c>
      <c r="M22" s="2628">
        <v>0.4</v>
      </c>
      <c r="N22" s="443"/>
      <c r="O22" s="2628" t="s">
        <v>1083</v>
      </c>
      <c r="P22" s="2057" t="s">
        <v>1084</v>
      </c>
      <c r="Q22" s="2668">
        <f>(V22)/R22</f>
        <v>0.2896174863387978</v>
      </c>
      <c r="R22" s="2102">
        <f>SUM(V22:V30)</f>
        <v>183000000</v>
      </c>
      <c r="S22" s="2057" t="s">
        <v>1085</v>
      </c>
      <c r="T22" s="2733" t="s">
        <v>1086</v>
      </c>
      <c r="U22" s="2056" t="s">
        <v>1087</v>
      </c>
      <c r="V22" s="2735">
        <f>20000000+33000000</f>
        <v>53000000</v>
      </c>
      <c r="W22" s="2242" t="s">
        <v>64</v>
      </c>
      <c r="X22" s="2754" t="s">
        <v>1072</v>
      </c>
      <c r="Y22" s="2661">
        <v>193964</v>
      </c>
      <c r="Z22" s="2661">
        <v>129308</v>
      </c>
      <c r="AA22" s="2719"/>
      <c r="AB22" s="2719"/>
      <c r="AC22" s="2626">
        <v>323272</v>
      </c>
      <c r="AD22" s="2719"/>
      <c r="AE22" s="2719"/>
      <c r="AF22" s="2719"/>
      <c r="AG22" s="2719"/>
      <c r="AH22" s="2719"/>
      <c r="AI22" s="2719"/>
      <c r="AJ22" s="2719"/>
      <c r="AK22" s="2719"/>
      <c r="AL22" s="2719"/>
      <c r="AM22" s="2719"/>
      <c r="AN22" s="2721">
        <f>+Y22+Z22</f>
        <v>323272</v>
      </c>
      <c r="AO22" s="2719"/>
      <c r="AP22" s="2719"/>
      <c r="AQ22" s="2725" t="s">
        <v>1073</v>
      </c>
    </row>
    <row r="23" spans="1:43" ht="18.75" customHeight="1" x14ac:dyDescent="0.2">
      <c r="A23" s="2761"/>
      <c r="B23" s="2073"/>
      <c r="C23" s="2074"/>
      <c r="D23" s="2079"/>
      <c r="E23" s="2079"/>
      <c r="F23" s="2080"/>
      <c r="G23" s="2084"/>
      <c r="H23" s="2084"/>
      <c r="I23" s="2085"/>
      <c r="J23" s="2085"/>
      <c r="K23" s="2630"/>
      <c r="L23" s="2630"/>
      <c r="M23" s="2629"/>
      <c r="N23" s="443"/>
      <c r="O23" s="2629"/>
      <c r="P23" s="2630"/>
      <c r="Q23" s="2669"/>
      <c r="R23" s="2744"/>
      <c r="S23" s="2630"/>
      <c r="T23" s="2734"/>
      <c r="U23" s="2056"/>
      <c r="V23" s="2745"/>
      <c r="W23" s="2242"/>
      <c r="X23" s="2754"/>
      <c r="Y23" s="2662"/>
      <c r="Z23" s="2662"/>
      <c r="AA23" s="2720"/>
      <c r="AB23" s="2720"/>
      <c r="AC23" s="2627"/>
      <c r="AD23" s="2720"/>
      <c r="AE23" s="2720"/>
      <c r="AF23" s="2720"/>
      <c r="AG23" s="2720"/>
      <c r="AH23" s="2720"/>
      <c r="AI23" s="2720"/>
      <c r="AJ23" s="2720"/>
      <c r="AK23" s="2720"/>
      <c r="AL23" s="2720"/>
      <c r="AM23" s="2720"/>
      <c r="AN23" s="2722"/>
      <c r="AO23" s="2720"/>
      <c r="AP23" s="2720"/>
      <c r="AQ23" s="2726"/>
    </row>
    <row r="24" spans="1:43" ht="96.75" customHeight="1" x14ac:dyDescent="0.2">
      <c r="A24" s="2761"/>
      <c r="B24" s="2073"/>
      <c r="C24" s="2074"/>
      <c r="D24" s="2079"/>
      <c r="E24" s="2079"/>
      <c r="F24" s="2080"/>
      <c r="G24" s="2084"/>
      <c r="H24" s="2084"/>
      <c r="I24" s="2085"/>
      <c r="J24" s="2085"/>
      <c r="K24" s="2630"/>
      <c r="L24" s="2630"/>
      <c r="M24" s="2629"/>
      <c r="N24" s="443" t="s">
        <v>1088</v>
      </c>
      <c r="O24" s="2629"/>
      <c r="P24" s="2630"/>
      <c r="Q24" s="2669"/>
      <c r="R24" s="2744"/>
      <c r="S24" s="2630"/>
      <c r="T24" s="2734"/>
      <c r="U24" s="2056"/>
      <c r="V24" s="2736"/>
      <c r="W24" s="2242"/>
      <c r="X24" s="2754"/>
      <c r="Y24" s="2662"/>
      <c r="Z24" s="2662"/>
      <c r="AA24" s="2720"/>
      <c r="AB24" s="2720"/>
      <c r="AC24" s="2627"/>
      <c r="AD24" s="2720"/>
      <c r="AE24" s="2720"/>
      <c r="AF24" s="2720"/>
      <c r="AG24" s="2720"/>
      <c r="AH24" s="2720"/>
      <c r="AI24" s="2720"/>
      <c r="AJ24" s="2720"/>
      <c r="AK24" s="2720"/>
      <c r="AL24" s="2720"/>
      <c r="AM24" s="2720"/>
      <c r="AN24" s="2722"/>
      <c r="AO24" s="2720"/>
      <c r="AP24" s="2720"/>
      <c r="AQ24" s="2726"/>
    </row>
    <row r="25" spans="1:43" ht="46.5" customHeight="1" x14ac:dyDescent="0.2">
      <c r="A25" s="2761"/>
      <c r="B25" s="2073"/>
      <c r="C25" s="2074"/>
      <c r="D25" s="2079"/>
      <c r="E25" s="2079"/>
      <c r="F25" s="2080"/>
      <c r="G25" s="2084"/>
      <c r="H25" s="2084"/>
      <c r="I25" s="2085"/>
      <c r="J25" s="2055">
        <v>41</v>
      </c>
      <c r="K25" s="2057" t="s">
        <v>1089</v>
      </c>
      <c r="L25" s="2057" t="s">
        <v>1090</v>
      </c>
      <c r="M25" s="2628">
        <v>1</v>
      </c>
      <c r="N25" s="443"/>
      <c r="O25" s="2629"/>
      <c r="P25" s="2630"/>
      <c r="Q25" s="2668">
        <f>(V25)/R22</f>
        <v>0.13661202185792351</v>
      </c>
      <c r="R25" s="2744"/>
      <c r="S25" s="2630"/>
      <c r="T25" s="2733" t="s">
        <v>1091</v>
      </c>
      <c r="U25" s="2057" t="s">
        <v>1092</v>
      </c>
      <c r="V25" s="2735">
        <v>25000000</v>
      </c>
      <c r="W25" s="2242"/>
      <c r="X25" s="2754"/>
      <c r="Y25" s="2662"/>
      <c r="Z25" s="2662"/>
      <c r="AA25" s="2720"/>
      <c r="AB25" s="2720"/>
      <c r="AC25" s="2627"/>
      <c r="AD25" s="2720"/>
      <c r="AE25" s="2720"/>
      <c r="AF25" s="2720"/>
      <c r="AG25" s="2720"/>
      <c r="AH25" s="2720"/>
      <c r="AI25" s="2720"/>
      <c r="AJ25" s="2720"/>
      <c r="AK25" s="2720"/>
      <c r="AL25" s="2720"/>
      <c r="AM25" s="2720"/>
      <c r="AN25" s="2722"/>
      <c r="AO25" s="2720"/>
      <c r="AP25" s="2720"/>
      <c r="AQ25" s="2726"/>
    </row>
    <row r="26" spans="1:43" ht="21.75" customHeight="1" x14ac:dyDescent="0.2">
      <c r="A26" s="2761"/>
      <c r="B26" s="2073"/>
      <c r="C26" s="2074"/>
      <c r="D26" s="2079"/>
      <c r="E26" s="2079"/>
      <c r="F26" s="2080"/>
      <c r="G26" s="2084"/>
      <c r="H26" s="2084"/>
      <c r="I26" s="2085"/>
      <c r="J26" s="2085"/>
      <c r="K26" s="2630"/>
      <c r="L26" s="2630"/>
      <c r="M26" s="2629"/>
      <c r="N26" s="443" t="s">
        <v>1093</v>
      </c>
      <c r="O26" s="2629"/>
      <c r="P26" s="2630"/>
      <c r="Q26" s="2669"/>
      <c r="R26" s="2744"/>
      <c r="S26" s="2630"/>
      <c r="T26" s="2734"/>
      <c r="U26" s="2630"/>
      <c r="V26" s="2745"/>
      <c r="W26" s="2242"/>
      <c r="X26" s="2754"/>
      <c r="Y26" s="2662"/>
      <c r="Z26" s="2662"/>
      <c r="AA26" s="2720"/>
      <c r="AB26" s="2720"/>
      <c r="AC26" s="2627"/>
      <c r="AD26" s="2720"/>
      <c r="AE26" s="2720"/>
      <c r="AF26" s="2720"/>
      <c r="AG26" s="2720"/>
      <c r="AH26" s="2720"/>
      <c r="AI26" s="2720"/>
      <c r="AJ26" s="2720"/>
      <c r="AK26" s="2720"/>
      <c r="AL26" s="2720"/>
      <c r="AM26" s="2720"/>
      <c r="AN26" s="2722"/>
      <c r="AO26" s="2720"/>
      <c r="AP26" s="2720"/>
      <c r="AQ26" s="2726"/>
    </row>
    <row r="27" spans="1:43" ht="57.75" customHeight="1" x14ac:dyDescent="0.2">
      <c r="A27" s="2761"/>
      <c r="B27" s="2073"/>
      <c r="C27" s="2074"/>
      <c r="D27" s="2079"/>
      <c r="E27" s="2079"/>
      <c r="F27" s="2080"/>
      <c r="G27" s="2084"/>
      <c r="H27" s="2084"/>
      <c r="I27" s="2085"/>
      <c r="J27" s="2085"/>
      <c r="K27" s="2630"/>
      <c r="L27" s="2630"/>
      <c r="M27" s="2629"/>
      <c r="N27" s="443"/>
      <c r="O27" s="2629"/>
      <c r="P27" s="2630"/>
      <c r="Q27" s="2669"/>
      <c r="R27" s="2744"/>
      <c r="S27" s="2630"/>
      <c r="T27" s="2734"/>
      <c r="U27" s="2648"/>
      <c r="V27" s="2736"/>
      <c r="W27" s="2242"/>
      <c r="X27" s="2754"/>
      <c r="Y27" s="2662"/>
      <c r="Z27" s="2662"/>
      <c r="AA27" s="2720"/>
      <c r="AB27" s="2720"/>
      <c r="AC27" s="2627"/>
      <c r="AD27" s="2720"/>
      <c r="AE27" s="2720"/>
      <c r="AF27" s="2720"/>
      <c r="AG27" s="2720"/>
      <c r="AH27" s="2720"/>
      <c r="AI27" s="2720"/>
      <c r="AJ27" s="2720"/>
      <c r="AK27" s="2720"/>
      <c r="AL27" s="2720"/>
      <c r="AM27" s="2720"/>
      <c r="AN27" s="2722"/>
      <c r="AO27" s="2720"/>
      <c r="AP27" s="2720"/>
      <c r="AQ27" s="2726"/>
    </row>
    <row r="28" spans="1:43" ht="11.25" customHeight="1" x14ac:dyDescent="0.2">
      <c r="A28" s="2761"/>
      <c r="B28" s="2073"/>
      <c r="C28" s="2074"/>
      <c r="D28" s="2079"/>
      <c r="E28" s="2079"/>
      <c r="F28" s="2080"/>
      <c r="G28" s="2084"/>
      <c r="H28" s="2084"/>
      <c r="I28" s="2085"/>
      <c r="J28" s="2055">
        <v>42</v>
      </c>
      <c r="K28" s="2057" t="s">
        <v>1094</v>
      </c>
      <c r="L28" s="2057" t="s">
        <v>1095</v>
      </c>
      <c r="M28" s="2628">
        <v>1</v>
      </c>
      <c r="N28" s="443"/>
      <c r="O28" s="2629"/>
      <c r="P28" s="2630"/>
      <c r="Q28" s="2668">
        <f>(V28)/R22</f>
        <v>0.57377049180327866</v>
      </c>
      <c r="R28" s="2744"/>
      <c r="S28" s="2630"/>
      <c r="T28" s="2734"/>
      <c r="U28" s="2057" t="s">
        <v>1096</v>
      </c>
      <c r="V28" s="2735">
        <f>35000000+70000000</f>
        <v>105000000</v>
      </c>
      <c r="W28" s="2242"/>
      <c r="X28" s="2754"/>
      <c r="Y28" s="2662"/>
      <c r="Z28" s="2662"/>
      <c r="AA28" s="2720"/>
      <c r="AB28" s="2720"/>
      <c r="AC28" s="2627"/>
      <c r="AD28" s="2720"/>
      <c r="AE28" s="2720"/>
      <c r="AF28" s="2720"/>
      <c r="AG28" s="2720"/>
      <c r="AH28" s="2720"/>
      <c r="AI28" s="2720"/>
      <c r="AJ28" s="2720"/>
      <c r="AK28" s="2720"/>
      <c r="AL28" s="2720"/>
      <c r="AM28" s="2720"/>
      <c r="AN28" s="2722"/>
      <c r="AO28" s="2720"/>
      <c r="AP28" s="2720"/>
      <c r="AQ28" s="2726"/>
    </row>
    <row r="29" spans="1:43" ht="51" customHeight="1" x14ac:dyDescent="0.2">
      <c r="A29" s="2761"/>
      <c r="B29" s="2073"/>
      <c r="C29" s="2074"/>
      <c r="D29" s="2079"/>
      <c r="E29" s="2079"/>
      <c r="F29" s="2080"/>
      <c r="G29" s="2084"/>
      <c r="H29" s="2084"/>
      <c r="I29" s="2085"/>
      <c r="J29" s="2085"/>
      <c r="K29" s="2630"/>
      <c r="L29" s="2630"/>
      <c r="M29" s="2629"/>
      <c r="N29" s="443"/>
      <c r="O29" s="2629"/>
      <c r="P29" s="2630"/>
      <c r="Q29" s="2669"/>
      <c r="R29" s="2744"/>
      <c r="S29" s="2630"/>
      <c r="T29" s="2734"/>
      <c r="U29" s="2630"/>
      <c r="V29" s="2745"/>
      <c r="W29" s="2242"/>
      <c r="X29" s="2754"/>
      <c r="Y29" s="2662"/>
      <c r="Z29" s="2662"/>
      <c r="AA29" s="2720"/>
      <c r="AB29" s="2720"/>
      <c r="AC29" s="2627"/>
      <c r="AD29" s="2720"/>
      <c r="AE29" s="2720"/>
      <c r="AF29" s="2720"/>
      <c r="AG29" s="2720"/>
      <c r="AH29" s="2720"/>
      <c r="AI29" s="2720"/>
      <c r="AJ29" s="2720"/>
      <c r="AK29" s="2720"/>
      <c r="AL29" s="2720"/>
      <c r="AM29" s="2720"/>
      <c r="AN29" s="2722"/>
      <c r="AO29" s="2720"/>
      <c r="AP29" s="2720"/>
      <c r="AQ29" s="2726"/>
    </row>
    <row r="30" spans="1:43" ht="11.25" customHeight="1" x14ac:dyDescent="0.2">
      <c r="A30" s="2761"/>
      <c r="B30" s="2073"/>
      <c r="C30" s="2074"/>
      <c r="D30" s="2079"/>
      <c r="E30" s="2079"/>
      <c r="F30" s="2080"/>
      <c r="G30" s="2762"/>
      <c r="H30" s="2762"/>
      <c r="I30" s="2737"/>
      <c r="J30" s="2085"/>
      <c r="K30" s="2630"/>
      <c r="L30" s="2630"/>
      <c r="M30" s="2629"/>
      <c r="N30" s="443"/>
      <c r="O30" s="2629"/>
      <c r="P30" s="2630"/>
      <c r="Q30" s="2669"/>
      <c r="R30" s="2744"/>
      <c r="S30" s="2630"/>
      <c r="T30" s="2743"/>
      <c r="U30" s="2630"/>
      <c r="V30" s="2736"/>
      <c r="W30" s="2243"/>
      <c r="X30" s="2628"/>
      <c r="Y30" s="2662"/>
      <c r="Z30" s="2662"/>
      <c r="AA30" s="2741"/>
      <c r="AB30" s="2741"/>
      <c r="AC30" s="2647"/>
      <c r="AD30" s="2741"/>
      <c r="AE30" s="2741"/>
      <c r="AF30" s="2741"/>
      <c r="AG30" s="2741"/>
      <c r="AH30" s="2741"/>
      <c r="AI30" s="2741"/>
      <c r="AJ30" s="2741"/>
      <c r="AK30" s="2741"/>
      <c r="AL30" s="2741"/>
      <c r="AM30" s="2741"/>
      <c r="AN30" s="2742"/>
      <c r="AO30" s="2741"/>
      <c r="AP30" s="2741"/>
      <c r="AQ30" s="2726"/>
    </row>
    <row r="31" spans="1:43" ht="11.25" customHeight="1" x14ac:dyDescent="0.2">
      <c r="A31" s="2761"/>
      <c r="B31" s="2073"/>
      <c r="C31" s="2074"/>
      <c r="D31" s="2079"/>
      <c r="E31" s="2079"/>
      <c r="F31" s="2080"/>
      <c r="G31" s="1142">
        <v>9</v>
      </c>
      <c r="H31" s="1143" t="s">
        <v>1097</v>
      </c>
      <c r="I31" s="1143"/>
      <c r="J31" s="399"/>
      <c r="K31" s="400"/>
      <c r="L31" s="400"/>
      <c r="M31" s="399"/>
      <c r="N31" s="399"/>
      <c r="O31" s="1144"/>
      <c r="P31" s="400"/>
      <c r="Q31" s="1145"/>
      <c r="R31" s="1149"/>
      <c r="S31" s="400"/>
      <c r="T31" s="749"/>
      <c r="U31" s="749"/>
      <c r="V31" s="753"/>
      <c r="W31" s="1147"/>
      <c r="X31" s="1035"/>
      <c r="Y31" s="399"/>
      <c r="Z31" s="399"/>
      <c r="AA31" s="399"/>
      <c r="AB31" s="399"/>
      <c r="AC31" s="399"/>
      <c r="AD31" s="399"/>
      <c r="AE31" s="399"/>
      <c r="AF31" s="399"/>
      <c r="AG31" s="399"/>
      <c r="AH31" s="399"/>
      <c r="AI31" s="399"/>
      <c r="AJ31" s="399"/>
      <c r="AK31" s="399"/>
      <c r="AL31" s="399"/>
      <c r="AM31" s="399"/>
      <c r="AN31" s="399"/>
      <c r="AO31" s="406"/>
      <c r="AP31" s="406"/>
      <c r="AQ31" s="1150"/>
    </row>
    <row r="32" spans="1:43" ht="47.25" customHeight="1" x14ac:dyDescent="0.2">
      <c r="A32" s="2761"/>
      <c r="B32" s="2073"/>
      <c r="C32" s="2074"/>
      <c r="D32" s="2079"/>
      <c r="E32" s="2079"/>
      <c r="F32" s="2080"/>
      <c r="G32" s="2075"/>
      <c r="H32" s="2076"/>
      <c r="I32" s="2077"/>
      <c r="J32" s="2754">
        <v>44</v>
      </c>
      <c r="K32" s="2056" t="s">
        <v>1098</v>
      </c>
      <c r="L32" s="2056" t="s">
        <v>1099</v>
      </c>
      <c r="M32" s="2754">
        <v>1</v>
      </c>
      <c r="N32" s="1151"/>
      <c r="O32" s="2629" t="s">
        <v>1100</v>
      </c>
      <c r="P32" s="2630" t="s">
        <v>1101</v>
      </c>
      <c r="Q32" s="2668">
        <f>(V32+V35)/R32</f>
        <v>0.2060353798126951</v>
      </c>
      <c r="R32" s="2744">
        <f>SUM(V32:V49)</f>
        <v>307520000</v>
      </c>
      <c r="S32" s="2630" t="s">
        <v>1102</v>
      </c>
      <c r="T32" s="2733" t="s">
        <v>1103</v>
      </c>
      <c r="U32" s="2057" t="s">
        <v>1104</v>
      </c>
      <c r="V32" s="2735">
        <f>16680000+31680000</f>
        <v>48360000</v>
      </c>
      <c r="W32" s="2242" t="s">
        <v>64</v>
      </c>
      <c r="X32" s="2754" t="s">
        <v>1105</v>
      </c>
      <c r="Y32" s="2661">
        <v>193964</v>
      </c>
      <c r="Z32" s="2661">
        <v>129308</v>
      </c>
      <c r="AA32" s="2720"/>
      <c r="AB32" s="2720"/>
      <c r="AC32" s="2627">
        <v>323272</v>
      </c>
      <c r="AD32" s="2720"/>
      <c r="AE32" s="2720"/>
      <c r="AF32" s="2720"/>
      <c r="AG32" s="2720"/>
      <c r="AH32" s="2720"/>
      <c r="AI32" s="2720"/>
      <c r="AJ32" s="2720"/>
      <c r="AK32" s="2720"/>
      <c r="AL32" s="2720"/>
      <c r="AM32" s="2720"/>
      <c r="AN32" s="2722">
        <f>+Y32+Z32</f>
        <v>323272</v>
      </c>
      <c r="AO32" s="2720"/>
      <c r="AP32" s="2720"/>
      <c r="AQ32" s="2753" t="s">
        <v>1073</v>
      </c>
    </row>
    <row r="33" spans="1:43" ht="11.25" customHeight="1" x14ac:dyDescent="0.2">
      <c r="A33" s="2761"/>
      <c r="B33" s="2073"/>
      <c r="C33" s="2074"/>
      <c r="D33" s="2079"/>
      <c r="E33" s="2079"/>
      <c r="F33" s="2080"/>
      <c r="G33" s="2078"/>
      <c r="H33" s="2079"/>
      <c r="I33" s="2080"/>
      <c r="J33" s="2754"/>
      <c r="K33" s="2056"/>
      <c r="L33" s="2056"/>
      <c r="M33" s="2754"/>
      <c r="N33" s="1082"/>
      <c r="O33" s="2629"/>
      <c r="P33" s="2630"/>
      <c r="Q33" s="2669"/>
      <c r="R33" s="2744"/>
      <c r="S33" s="2630"/>
      <c r="T33" s="2734"/>
      <c r="U33" s="2630"/>
      <c r="V33" s="2745"/>
      <c r="W33" s="2242"/>
      <c r="X33" s="2754"/>
      <c r="Y33" s="2662"/>
      <c r="Z33" s="2662"/>
      <c r="AA33" s="2720"/>
      <c r="AB33" s="2720"/>
      <c r="AC33" s="2627"/>
      <c r="AD33" s="2720"/>
      <c r="AE33" s="2720"/>
      <c r="AF33" s="2720"/>
      <c r="AG33" s="2720"/>
      <c r="AH33" s="2720"/>
      <c r="AI33" s="2720"/>
      <c r="AJ33" s="2720"/>
      <c r="AK33" s="2720"/>
      <c r="AL33" s="2720"/>
      <c r="AM33" s="2720"/>
      <c r="AN33" s="2722"/>
      <c r="AO33" s="2720"/>
      <c r="AP33" s="2720"/>
      <c r="AQ33" s="2726"/>
    </row>
    <row r="34" spans="1:43" ht="11.25" customHeight="1" x14ac:dyDescent="0.2">
      <c r="A34" s="2761"/>
      <c r="B34" s="2073"/>
      <c r="C34" s="2074"/>
      <c r="D34" s="2079"/>
      <c r="E34" s="2079"/>
      <c r="F34" s="2080"/>
      <c r="G34" s="2078"/>
      <c r="H34" s="2079"/>
      <c r="I34" s="2080"/>
      <c r="J34" s="2754"/>
      <c r="K34" s="2056"/>
      <c r="L34" s="2056"/>
      <c r="M34" s="2754"/>
      <c r="N34" s="1082"/>
      <c r="O34" s="2629"/>
      <c r="P34" s="2630"/>
      <c r="Q34" s="2669"/>
      <c r="R34" s="2744"/>
      <c r="S34" s="2630"/>
      <c r="T34" s="2734"/>
      <c r="U34" s="2630"/>
      <c r="V34" s="2745"/>
      <c r="W34" s="2242"/>
      <c r="X34" s="2754"/>
      <c r="Y34" s="2662"/>
      <c r="Z34" s="2662"/>
      <c r="AA34" s="2720"/>
      <c r="AB34" s="2720"/>
      <c r="AC34" s="2627"/>
      <c r="AD34" s="2720"/>
      <c r="AE34" s="2720"/>
      <c r="AF34" s="2720"/>
      <c r="AG34" s="2720"/>
      <c r="AH34" s="2720"/>
      <c r="AI34" s="2720"/>
      <c r="AJ34" s="2720"/>
      <c r="AK34" s="2720"/>
      <c r="AL34" s="2720"/>
      <c r="AM34" s="2720"/>
      <c r="AN34" s="2722"/>
      <c r="AO34" s="2720"/>
      <c r="AP34" s="2720"/>
      <c r="AQ34" s="2726"/>
    </row>
    <row r="35" spans="1:43" ht="11.25" customHeight="1" x14ac:dyDescent="0.2">
      <c r="A35" s="2761"/>
      <c r="B35" s="2073"/>
      <c r="C35" s="2074"/>
      <c r="D35" s="2079"/>
      <c r="E35" s="2079"/>
      <c r="F35" s="2080"/>
      <c r="G35" s="2078"/>
      <c r="H35" s="2079"/>
      <c r="I35" s="2080"/>
      <c r="J35" s="2754"/>
      <c r="K35" s="2056"/>
      <c r="L35" s="2056"/>
      <c r="M35" s="2754"/>
      <c r="N35" s="1082"/>
      <c r="O35" s="2629"/>
      <c r="P35" s="2630"/>
      <c r="Q35" s="2669"/>
      <c r="R35" s="2744"/>
      <c r="S35" s="2630"/>
      <c r="T35" s="2734"/>
      <c r="U35" s="2057" t="s">
        <v>1106</v>
      </c>
      <c r="V35" s="2735">
        <v>15000000</v>
      </c>
      <c r="W35" s="2242"/>
      <c r="X35" s="2754"/>
      <c r="Y35" s="2662"/>
      <c r="Z35" s="2662"/>
      <c r="AA35" s="2720"/>
      <c r="AB35" s="2720"/>
      <c r="AC35" s="2627"/>
      <c r="AD35" s="2720"/>
      <c r="AE35" s="2720"/>
      <c r="AF35" s="2720"/>
      <c r="AG35" s="2720"/>
      <c r="AH35" s="2720"/>
      <c r="AI35" s="2720"/>
      <c r="AJ35" s="2720"/>
      <c r="AK35" s="2720"/>
      <c r="AL35" s="2720"/>
      <c r="AM35" s="2720"/>
      <c r="AN35" s="2722"/>
      <c r="AO35" s="2720"/>
      <c r="AP35" s="2720"/>
      <c r="AQ35" s="2726"/>
    </row>
    <row r="36" spans="1:43" ht="39" customHeight="1" x14ac:dyDescent="0.2">
      <c r="A36" s="2761"/>
      <c r="B36" s="2073"/>
      <c r="C36" s="2074"/>
      <c r="D36" s="2079"/>
      <c r="E36" s="2079"/>
      <c r="F36" s="2080"/>
      <c r="G36" s="2078"/>
      <c r="H36" s="2079"/>
      <c r="I36" s="2080"/>
      <c r="J36" s="2754"/>
      <c r="K36" s="2056"/>
      <c r="L36" s="2056"/>
      <c r="M36" s="2754"/>
      <c r="N36" s="1082"/>
      <c r="O36" s="2629"/>
      <c r="P36" s="2630"/>
      <c r="Q36" s="2669"/>
      <c r="R36" s="2744"/>
      <c r="S36" s="2630"/>
      <c r="T36" s="2734"/>
      <c r="U36" s="2630"/>
      <c r="V36" s="2745"/>
      <c r="W36" s="2242"/>
      <c r="X36" s="2754"/>
      <c r="Y36" s="2662"/>
      <c r="Z36" s="2662"/>
      <c r="AA36" s="2720"/>
      <c r="AB36" s="2720"/>
      <c r="AC36" s="2627"/>
      <c r="AD36" s="2720"/>
      <c r="AE36" s="2720"/>
      <c r="AF36" s="2720"/>
      <c r="AG36" s="2720"/>
      <c r="AH36" s="2720"/>
      <c r="AI36" s="2720"/>
      <c r="AJ36" s="2720"/>
      <c r="AK36" s="2720"/>
      <c r="AL36" s="2720"/>
      <c r="AM36" s="2720"/>
      <c r="AN36" s="2722"/>
      <c r="AO36" s="2720"/>
      <c r="AP36" s="2720"/>
      <c r="AQ36" s="2726"/>
    </row>
    <row r="37" spans="1:43" ht="24.75" customHeight="1" x14ac:dyDescent="0.2">
      <c r="A37" s="2761"/>
      <c r="B37" s="2073"/>
      <c r="C37" s="2074"/>
      <c r="D37" s="2079"/>
      <c r="E37" s="2079"/>
      <c r="F37" s="2080"/>
      <c r="G37" s="2078"/>
      <c r="H37" s="2079"/>
      <c r="I37" s="2080"/>
      <c r="J37" s="2754"/>
      <c r="K37" s="2056"/>
      <c r="L37" s="2056"/>
      <c r="M37" s="2754"/>
      <c r="N37" s="1082"/>
      <c r="O37" s="2629"/>
      <c r="P37" s="2630"/>
      <c r="Q37" s="2670"/>
      <c r="R37" s="2744"/>
      <c r="S37" s="2630"/>
      <c r="T37" s="2734"/>
      <c r="U37" s="2648"/>
      <c r="V37" s="2736"/>
      <c r="W37" s="2242"/>
      <c r="X37" s="2754"/>
      <c r="Y37" s="2662"/>
      <c r="Z37" s="2662"/>
      <c r="AA37" s="2720"/>
      <c r="AB37" s="2720"/>
      <c r="AC37" s="2627"/>
      <c r="AD37" s="2720"/>
      <c r="AE37" s="2720"/>
      <c r="AF37" s="2720"/>
      <c r="AG37" s="2720"/>
      <c r="AH37" s="2720"/>
      <c r="AI37" s="2720"/>
      <c r="AJ37" s="2720"/>
      <c r="AK37" s="2720"/>
      <c r="AL37" s="2720"/>
      <c r="AM37" s="2720"/>
      <c r="AN37" s="2722"/>
      <c r="AO37" s="2720"/>
      <c r="AP37" s="2720"/>
      <c r="AQ37" s="2726"/>
    </row>
    <row r="38" spans="1:43" ht="24.75" customHeight="1" x14ac:dyDescent="0.2">
      <c r="A38" s="2761"/>
      <c r="B38" s="2073"/>
      <c r="C38" s="2074"/>
      <c r="D38" s="2079"/>
      <c r="E38" s="2079"/>
      <c r="F38" s="2080"/>
      <c r="G38" s="2078"/>
      <c r="H38" s="2079"/>
      <c r="I38" s="2080"/>
      <c r="J38" s="2754">
        <v>43</v>
      </c>
      <c r="K38" s="2056" t="s">
        <v>1107</v>
      </c>
      <c r="L38" s="2056" t="s">
        <v>1108</v>
      </c>
      <c r="M38" s="2754">
        <v>3</v>
      </c>
      <c r="N38" s="1082"/>
      <c r="O38" s="2629"/>
      <c r="P38" s="2630"/>
      <c r="Q38" s="2755">
        <f>(V38)/R32</f>
        <v>9.4302809573361082E-2</v>
      </c>
      <c r="R38" s="2744"/>
      <c r="S38" s="2630"/>
      <c r="T38" s="2756" t="s">
        <v>1109</v>
      </c>
      <c r="U38" s="2056" t="s">
        <v>1110</v>
      </c>
      <c r="V38" s="2735">
        <v>29000000</v>
      </c>
      <c r="W38" s="2242"/>
      <c r="X38" s="2754"/>
      <c r="Y38" s="2662"/>
      <c r="Z38" s="2662"/>
      <c r="AA38" s="2720"/>
      <c r="AB38" s="2720"/>
      <c r="AC38" s="2627"/>
      <c r="AD38" s="2720"/>
      <c r="AE38" s="2720"/>
      <c r="AF38" s="2720"/>
      <c r="AG38" s="2720"/>
      <c r="AH38" s="2720"/>
      <c r="AI38" s="2720"/>
      <c r="AJ38" s="2720"/>
      <c r="AK38" s="2720"/>
      <c r="AL38" s="2720"/>
      <c r="AM38" s="2720"/>
      <c r="AN38" s="2722"/>
      <c r="AO38" s="2720"/>
      <c r="AP38" s="2720"/>
      <c r="AQ38" s="2726"/>
    </row>
    <row r="39" spans="1:43" ht="24.75" customHeight="1" x14ac:dyDescent="0.2">
      <c r="A39" s="2761"/>
      <c r="B39" s="2073"/>
      <c r="C39" s="2074"/>
      <c r="D39" s="2079"/>
      <c r="E39" s="2079"/>
      <c r="F39" s="2080"/>
      <c r="G39" s="2078"/>
      <c r="H39" s="2079"/>
      <c r="I39" s="2080"/>
      <c r="J39" s="2754"/>
      <c r="K39" s="2056"/>
      <c r="L39" s="2056"/>
      <c r="M39" s="2754"/>
      <c r="N39" s="2629" t="s">
        <v>1111</v>
      </c>
      <c r="O39" s="2629"/>
      <c r="P39" s="2630"/>
      <c r="Q39" s="2755"/>
      <c r="R39" s="2744"/>
      <c r="S39" s="2630"/>
      <c r="T39" s="2756"/>
      <c r="U39" s="2056"/>
      <c r="V39" s="2745"/>
      <c r="W39" s="2242"/>
      <c r="X39" s="2754"/>
      <c r="Y39" s="2662"/>
      <c r="Z39" s="2662"/>
      <c r="AA39" s="2720"/>
      <c r="AB39" s="2720"/>
      <c r="AC39" s="2627"/>
      <c r="AD39" s="2720"/>
      <c r="AE39" s="2720"/>
      <c r="AF39" s="2720"/>
      <c r="AG39" s="2720"/>
      <c r="AH39" s="2720"/>
      <c r="AI39" s="2720"/>
      <c r="AJ39" s="2720"/>
      <c r="AK39" s="2720"/>
      <c r="AL39" s="2720"/>
      <c r="AM39" s="2720"/>
      <c r="AN39" s="2722"/>
      <c r="AO39" s="2720"/>
      <c r="AP39" s="2720"/>
      <c r="AQ39" s="2726"/>
    </row>
    <row r="40" spans="1:43" ht="24.75" customHeight="1" x14ac:dyDescent="0.2">
      <c r="A40" s="2761"/>
      <c r="B40" s="2073"/>
      <c r="C40" s="2074"/>
      <c r="D40" s="2079"/>
      <c r="E40" s="2079"/>
      <c r="F40" s="2080"/>
      <c r="G40" s="2078"/>
      <c r="H40" s="2079"/>
      <c r="I40" s="2080"/>
      <c r="J40" s="2754"/>
      <c r="K40" s="2056"/>
      <c r="L40" s="2056"/>
      <c r="M40" s="2754"/>
      <c r="N40" s="2629"/>
      <c r="O40" s="2629"/>
      <c r="P40" s="2630"/>
      <c r="Q40" s="2755"/>
      <c r="R40" s="2744"/>
      <c r="S40" s="2630"/>
      <c r="T40" s="2756"/>
      <c r="U40" s="2056"/>
      <c r="V40" s="2745"/>
      <c r="W40" s="2242"/>
      <c r="X40" s="2754"/>
      <c r="Y40" s="2662"/>
      <c r="Z40" s="2662"/>
      <c r="AA40" s="2720"/>
      <c r="AB40" s="2720"/>
      <c r="AC40" s="2627"/>
      <c r="AD40" s="2720"/>
      <c r="AE40" s="2720"/>
      <c r="AF40" s="2720"/>
      <c r="AG40" s="2720"/>
      <c r="AH40" s="2720"/>
      <c r="AI40" s="2720"/>
      <c r="AJ40" s="2720"/>
      <c r="AK40" s="2720"/>
      <c r="AL40" s="2720"/>
      <c r="AM40" s="2720"/>
      <c r="AN40" s="2722"/>
      <c r="AO40" s="2720"/>
      <c r="AP40" s="2720"/>
      <c r="AQ40" s="2726"/>
    </row>
    <row r="41" spans="1:43" ht="33" customHeight="1" x14ac:dyDescent="0.2">
      <c r="A41" s="2761"/>
      <c r="B41" s="2073"/>
      <c r="C41" s="2074"/>
      <c r="D41" s="2079"/>
      <c r="E41" s="2079"/>
      <c r="F41" s="2080"/>
      <c r="G41" s="2078"/>
      <c r="H41" s="2079"/>
      <c r="I41" s="2080"/>
      <c r="J41" s="2754"/>
      <c r="K41" s="2056"/>
      <c r="L41" s="2056"/>
      <c r="M41" s="2754"/>
      <c r="N41" s="1082"/>
      <c r="O41" s="2629"/>
      <c r="P41" s="2630"/>
      <c r="Q41" s="2755"/>
      <c r="R41" s="2744"/>
      <c r="S41" s="2630"/>
      <c r="T41" s="2756"/>
      <c r="U41" s="2056"/>
      <c r="V41" s="2736"/>
      <c r="W41" s="2242"/>
      <c r="X41" s="2754"/>
      <c r="Y41" s="2662"/>
      <c r="Z41" s="2662"/>
      <c r="AA41" s="2720"/>
      <c r="AB41" s="2720"/>
      <c r="AC41" s="2627"/>
      <c r="AD41" s="2720"/>
      <c r="AE41" s="2720"/>
      <c r="AF41" s="2720"/>
      <c r="AG41" s="2720"/>
      <c r="AH41" s="2720"/>
      <c r="AI41" s="2720"/>
      <c r="AJ41" s="2720"/>
      <c r="AK41" s="2720"/>
      <c r="AL41" s="2720"/>
      <c r="AM41" s="2720"/>
      <c r="AN41" s="2722"/>
      <c r="AO41" s="2720"/>
      <c r="AP41" s="2720"/>
      <c r="AQ41" s="2726"/>
    </row>
    <row r="42" spans="1:43" ht="20.25" customHeight="1" x14ac:dyDescent="0.2">
      <c r="A42" s="2761"/>
      <c r="B42" s="2073"/>
      <c r="C42" s="2074"/>
      <c r="D42" s="2079"/>
      <c r="E42" s="2079"/>
      <c r="F42" s="2080"/>
      <c r="G42" s="2078"/>
      <c r="H42" s="2079"/>
      <c r="I42" s="2080"/>
      <c r="J42" s="2754">
        <v>45</v>
      </c>
      <c r="K42" s="2056" t="s">
        <v>1112</v>
      </c>
      <c r="L42" s="2056" t="s">
        <v>1108</v>
      </c>
      <c r="M42" s="2754">
        <v>3</v>
      </c>
      <c r="N42" s="1081" t="s">
        <v>1113</v>
      </c>
      <c r="O42" s="2629"/>
      <c r="P42" s="2630"/>
      <c r="Q42" s="2755">
        <f>(V42)/R32</f>
        <v>0.37447970863683661</v>
      </c>
      <c r="R42" s="2744"/>
      <c r="S42" s="2630"/>
      <c r="T42" s="2756"/>
      <c r="U42" s="2756" t="s">
        <v>1114</v>
      </c>
      <c r="V42" s="2735">
        <f>99320000+15840000</f>
        <v>115160000</v>
      </c>
      <c r="W42" s="2242"/>
      <c r="X42" s="2754"/>
      <c r="Y42" s="2662"/>
      <c r="Z42" s="2662"/>
      <c r="AA42" s="2720"/>
      <c r="AB42" s="2720"/>
      <c r="AC42" s="2627"/>
      <c r="AD42" s="2720"/>
      <c r="AE42" s="2720"/>
      <c r="AF42" s="2720"/>
      <c r="AG42" s="2720"/>
      <c r="AH42" s="2720"/>
      <c r="AI42" s="2720"/>
      <c r="AJ42" s="2720"/>
      <c r="AK42" s="2720"/>
      <c r="AL42" s="2720"/>
      <c r="AM42" s="2720"/>
      <c r="AN42" s="2722"/>
      <c r="AO42" s="2720"/>
      <c r="AP42" s="2720"/>
      <c r="AQ42" s="2726"/>
    </row>
    <row r="43" spans="1:43" ht="11.25" customHeight="1" x14ac:dyDescent="0.2">
      <c r="A43" s="2761"/>
      <c r="B43" s="2073"/>
      <c r="C43" s="2074"/>
      <c r="D43" s="2079"/>
      <c r="E43" s="2079"/>
      <c r="F43" s="2080"/>
      <c r="G43" s="2078"/>
      <c r="H43" s="2079"/>
      <c r="I43" s="2080"/>
      <c r="J43" s="2754"/>
      <c r="K43" s="2056"/>
      <c r="L43" s="2056"/>
      <c r="M43" s="2754"/>
      <c r="N43" s="1082"/>
      <c r="O43" s="2629"/>
      <c r="P43" s="2630"/>
      <c r="Q43" s="2755"/>
      <c r="R43" s="2744"/>
      <c r="S43" s="2630"/>
      <c r="T43" s="2756"/>
      <c r="U43" s="2756"/>
      <c r="V43" s="2745"/>
      <c r="W43" s="2242"/>
      <c r="X43" s="2754"/>
      <c r="Y43" s="2662"/>
      <c r="Z43" s="2662"/>
      <c r="AA43" s="2720"/>
      <c r="AB43" s="2720"/>
      <c r="AC43" s="2627"/>
      <c r="AD43" s="2720"/>
      <c r="AE43" s="2720"/>
      <c r="AF43" s="2720"/>
      <c r="AG43" s="2720"/>
      <c r="AH43" s="2720"/>
      <c r="AI43" s="2720"/>
      <c r="AJ43" s="2720"/>
      <c r="AK43" s="2720"/>
      <c r="AL43" s="2720"/>
      <c r="AM43" s="2720"/>
      <c r="AN43" s="2722"/>
      <c r="AO43" s="2720"/>
      <c r="AP43" s="2720"/>
      <c r="AQ43" s="2726"/>
    </row>
    <row r="44" spans="1:43" ht="35.25" customHeight="1" x14ac:dyDescent="0.2">
      <c r="A44" s="2761"/>
      <c r="B44" s="2073"/>
      <c r="C44" s="2074"/>
      <c r="D44" s="2079"/>
      <c r="E44" s="2079"/>
      <c r="F44" s="2080"/>
      <c r="G44" s="2078"/>
      <c r="H44" s="2079"/>
      <c r="I44" s="2080"/>
      <c r="J44" s="2754"/>
      <c r="K44" s="2056"/>
      <c r="L44" s="2056"/>
      <c r="M44" s="2754"/>
      <c r="N44" s="1082"/>
      <c r="O44" s="2629"/>
      <c r="P44" s="2630"/>
      <c r="Q44" s="2755"/>
      <c r="R44" s="2744"/>
      <c r="S44" s="2630"/>
      <c r="T44" s="2756"/>
      <c r="U44" s="2756"/>
      <c r="V44" s="2745"/>
      <c r="W44" s="2242"/>
      <c r="X44" s="2754"/>
      <c r="Y44" s="2662"/>
      <c r="Z44" s="2662"/>
      <c r="AA44" s="2720"/>
      <c r="AB44" s="2720"/>
      <c r="AC44" s="2627"/>
      <c r="AD44" s="2720"/>
      <c r="AE44" s="2720"/>
      <c r="AF44" s="2720"/>
      <c r="AG44" s="2720"/>
      <c r="AH44" s="2720"/>
      <c r="AI44" s="2720"/>
      <c r="AJ44" s="2720"/>
      <c r="AK44" s="2720"/>
      <c r="AL44" s="2720"/>
      <c r="AM44" s="2720"/>
      <c r="AN44" s="2722"/>
      <c r="AO44" s="2720"/>
      <c r="AP44" s="2720"/>
      <c r="AQ44" s="2726"/>
    </row>
    <row r="45" spans="1:43" ht="11.25" customHeight="1" x14ac:dyDescent="0.2">
      <c r="A45" s="2761"/>
      <c r="B45" s="2073"/>
      <c r="C45" s="2074"/>
      <c r="D45" s="2079"/>
      <c r="E45" s="2079"/>
      <c r="F45" s="2080"/>
      <c r="G45" s="2078"/>
      <c r="H45" s="2079"/>
      <c r="I45" s="2080"/>
      <c r="J45" s="2754"/>
      <c r="K45" s="2056"/>
      <c r="L45" s="2056"/>
      <c r="M45" s="2754"/>
      <c r="N45" s="1082"/>
      <c r="O45" s="2629"/>
      <c r="P45" s="2630"/>
      <c r="Q45" s="2755"/>
      <c r="R45" s="2744"/>
      <c r="S45" s="2630"/>
      <c r="T45" s="2756"/>
      <c r="U45" s="2756"/>
      <c r="V45" s="2736"/>
      <c r="W45" s="2242"/>
      <c r="X45" s="2754"/>
      <c r="Y45" s="2662"/>
      <c r="Z45" s="2662"/>
      <c r="AA45" s="2720"/>
      <c r="AB45" s="2720"/>
      <c r="AC45" s="2627"/>
      <c r="AD45" s="2720"/>
      <c r="AE45" s="2720"/>
      <c r="AF45" s="2720"/>
      <c r="AG45" s="2720"/>
      <c r="AH45" s="2720"/>
      <c r="AI45" s="2720"/>
      <c r="AJ45" s="2720"/>
      <c r="AK45" s="2720"/>
      <c r="AL45" s="2720"/>
      <c r="AM45" s="2720"/>
      <c r="AN45" s="2722"/>
      <c r="AO45" s="2720"/>
      <c r="AP45" s="2720"/>
      <c r="AQ45" s="2726"/>
    </row>
    <row r="46" spans="1:43" ht="11.25" customHeight="1" x14ac:dyDescent="0.2">
      <c r="A46" s="2761"/>
      <c r="B46" s="2073"/>
      <c r="C46" s="2074"/>
      <c r="D46" s="2079"/>
      <c r="E46" s="2079"/>
      <c r="F46" s="2080"/>
      <c r="G46" s="2078"/>
      <c r="H46" s="2079"/>
      <c r="I46" s="2080"/>
      <c r="J46" s="2628">
        <v>46</v>
      </c>
      <c r="K46" s="2057" t="s">
        <v>1115</v>
      </c>
      <c r="L46" s="2057" t="s">
        <v>1116</v>
      </c>
      <c r="M46" s="2628">
        <v>1</v>
      </c>
      <c r="N46" s="1082"/>
      <c r="O46" s="2629"/>
      <c r="P46" s="2630"/>
      <c r="Q46" s="2668">
        <f>(V46)/R32</f>
        <v>0.32518210197710717</v>
      </c>
      <c r="R46" s="2744"/>
      <c r="S46" s="2630"/>
      <c r="T46" s="2756"/>
      <c r="U46" s="2648" t="s">
        <v>1117</v>
      </c>
      <c r="V46" s="2757">
        <v>100000000</v>
      </c>
      <c r="W46" s="2242"/>
      <c r="X46" s="2754"/>
      <c r="Y46" s="2662"/>
      <c r="Z46" s="2662"/>
      <c r="AA46" s="2720"/>
      <c r="AB46" s="2720"/>
      <c r="AC46" s="2627"/>
      <c r="AD46" s="2720"/>
      <c r="AE46" s="2720"/>
      <c r="AF46" s="2720"/>
      <c r="AG46" s="2720"/>
      <c r="AH46" s="2720"/>
      <c r="AI46" s="2720"/>
      <c r="AJ46" s="2720"/>
      <c r="AK46" s="2720"/>
      <c r="AL46" s="2720"/>
      <c r="AM46" s="2720"/>
      <c r="AN46" s="2722"/>
      <c r="AO46" s="2720"/>
      <c r="AP46" s="2720"/>
      <c r="AQ46" s="2726"/>
    </row>
    <row r="47" spans="1:43" ht="11.25" customHeight="1" x14ac:dyDescent="0.2">
      <c r="A47" s="2761"/>
      <c r="B47" s="2073"/>
      <c r="C47" s="2074"/>
      <c r="D47" s="2079"/>
      <c r="E47" s="2079"/>
      <c r="F47" s="2080"/>
      <c r="G47" s="2078"/>
      <c r="H47" s="2079"/>
      <c r="I47" s="2080"/>
      <c r="J47" s="2629"/>
      <c r="K47" s="2630"/>
      <c r="L47" s="2630"/>
      <c r="M47" s="2629"/>
      <c r="N47" s="1082"/>
      <c r="O47" s="2629"/>
      <c r="P47" s="2630"/>
      <c r="Q47" s="2669"/>
      <c r="R47" s="2744"/>
      <c r="S47" s="2630"/>
      <c r="T47" s="2756"/>
      <c r="U47" s="2056"/>
      <c r="V47" s="2757"/>
      <c r="W47" s="2242"/>
      <c r="X47" s="2754"/>
      <c r="Y47" s="2662"/>
      <c r="Z47" s="2662"/>
      <c r="AA47" s="2720"/>
      <c r="AB47" s="2720"/>
      <c r="AC47" s="2627"/>
      <c r="AD47" s="2720"/>
      <c r="AE47" s="2720"/>
      <c r="AF47" s="2720"/>
      <c r="AG47" s="2720"/>
      <c r="AH47" s="2720"/>
      <c r="AI47" s="2720"/>
      <c r="AJ47" s="2720"/>
      <c r="AK47" s="2720"/>
      <c r="AL47" s="2720"/>
      <c r="AM47" s="2720"/>
      <c r="AN47" s="2722"/>
      <c r="AO47" s="2720"/>
      <c r="AP47" s="2720"/>
      <c r="AQ47" s="2726"/>
    </row>
    <row r="48" spans="1:43" ht="21.75" customHeight="1" x14ac:dyDescent="0.2">
      <c r="A48" s="2761"/>
      <c r="B48" s="2073"/>
      <c r="C48" s="2074"/>
      <c r="D48" s="2079"/>
      <c r="E48" s="2079"/>
      <c r="F48" s="2080"/>
      <c r="G48" s="2078"/>
      <c r="H48" s="2079"/>
      <c r="I48" s="2080"/>
      <c r="J48" s="2629"/>
      <c r="K48" s="2630"/>
      <c r="L48" s="2630"/>
      <c r="M48" s="2629"/>
      <c r="N48" s="1082"/>
      <c r="O48" s="2629"/>
      <c r="P48" s="2630"/>
      <c r="Q48" s="2669"/>
      <c r="R48" s="2744"/>
      <c r="S48" s="2630"/>
      <c r="T48" s="2756"/>
      <c r="U48" s="2056"/>
      <c r="V48" s="2757"/>
      <c r="W48" s="2242"/>
      <c r="X48" s="2754"/>
      <c r="Y48" s="2662"/>
      <c r="Z48" s="2662"/>
      <c r="AA48" s="2720"/>
      <c r="AB48" s="2720"/>
      <c r="AC48" s="2627"/>
      <c r="AD48" s="2720"/>
      <c r="AE48" s="2720"/>
      <c r="AF48" s="2720"/>
      <c r="AG48" s="2720"/>
      <c r="AH48" s="2720"/>
      <c r="AI48" s="2720"/>
      <c r="AJ48" s="2720"/>
      <c r="AK48" s="2720"/>
      <c r="AL48" s="2720"/>
      <c r="AM48" s="2720"/>
      <c r="AN48" s="2722"/>
      <c r="AO48" s="2720"/>
      <c r="AP48" s="2720"/>
      <c r="AQ48" s="2726"/>
    </row>
    <row r="49" spans="1:43" ht="34.5" customHeight="1" x14ac:dyDescent="0.2">
      <c r="A49" s="2761"/>
      <c r="B49" s="2073"/>
      <c r="C49" s="2074"/>
      <c r="D49" s="2079"/>
      <c r="E49" s="2079"/>
      <c r="F49" s="2080"/>
      <c r="G49" s="2611"/>
      <c r="H49" s="2612"/>
      <c r="I49" s="2613"/>
      <c r="J49" s="2629"/>
      <c r="K49" s="2630"/>
      <c r="L49" s="2630"/>
      <c r="M49" s="2629"/>
      <c r="N49" s="1082"/>
      <c r="O49" s="2629"/>
      <c r="P49" s="2630"/>
      <c r="Q49" s="2669"/>
      <c r="R49" s="2744"/>
      <c r="S49" s="2630"/>
      <c r="T49" s="2756"/>
      <c r="U49" s="2056"/>
      <c r="V49" s="2757"/>
      <c r="W49" s="2243"/>
      <c r="X49" s="2628"/>
      <c r="Y49" s="2663"/>
      <c r="Z49" s="2663"/>
      <c r="AA49" s="2741"/>
      <c r="AB49" s="2741"/>
      <c r="AC49" s="2647"/>
      <c r="AD49" s="2741"/>
      <c r="AE49" s="2741"/>
      <c r="AF49" s="2741"/>
      <c r="AG49" s="2741"/>
      <c r="AH49" s="2741"/>
      <c r="AI49" s="2741"/>
      <c r="AJ49" s="2741"/>
      <c r="AK49" s="2741"/>
      <c r="AL49" s="2741"/>
      <c r="AM49" s="2741"/>
      <c r="AN49" s="2742"/>
      <c r="AO49" s="2741"/>
      <c r="AP49" s="2741"/>
      <c r="AQ49" s="2726"/>
    </row>
    <row r="50" spans="1:43" ht="11.25" customHeight="1" x14ac:dyDescent="0.2">
      <c r="A50" s="2761"/>
      <c r="B50" s="2073"/>
      <c r="C50" s="2074"/>
      <c r="D50" s="2079"/>
      <c r="E50" s="2079"/>
      <c r="F50" s="2080"/>
      <c r="G50" s="1142">
        <v>10</v>
      </c>
      <c r="H50" s="1143" t="s">
        <v>1118</v>
      </c>
      <c r="I50" s="1143"/>
      <c r="J50" s="399"/>
      <c r="K50" s="400"/>
      <c r="L50" s="400"/>
      <c r="M50" s="399"/>
      <c r="N50" s="399"/>
      <c r="O50" s="1144"/>
      <c r="P50" s="400"/>
      <c r="Q50" s="1145"/>
      <c r="R50" s="1149"/>
      <c r="S50" s="400"/>
      <c r="T50" s="400"/>
      <c r="U50" s="400"/>
      <c r="V50" s="403"/>
      <c r="W50" s="1147"/>
      <c r="X50" s="1035"/>
      <c r="Y50" s="399"/>
      <c r="Z50" s="399"/>
      <c r="AA50" s="399"/>
      <c r="AB50" s="399"/>
      <c r="AC50" s="399"/>
      <c r="AD50" s="399"/>
      <c r="AE50" s="399"/>
      <c r="AF50" s="399"/>
      <c r="AG50" s="399"/>
      <c r="AH50" s="399"/>
      <c r="AI50" s="399"/>
      <c r="AJ50" s="399"/>
      <c r="AK50" s="399"/>
      <c r="AL50" s="399"/>
      <c r="AM50" s="399"/>
      <c r="AN50" s="399"/>
      <c r="AO50" s="406"/>
      <c r="AP50" s="406"/>
      <c r="AQ50" s="1150"/>
    </row>
    <row r="51" spans="1:43" ht="80.25" customHeight="1" x14ac:dyDescent="0.2">
      <c r="A51" s="2761"/>
      <c r="B51" s="2073"/>
      <c r="C51" s="2074"/>
      <c r="D51" s="2079"/>
      <c r="E51" s="2079"/>
      <c r="F51" s="2080"/>
      <c r="G51" s="2747"/>
      <c r="H51" s="2748"/>
      <c r="I51" s="2749"/>
      <c r="J51" s="2628">
        <v>47</v>
      </c>
      <c r="K51" s="2057" t="s">
        <v>1119</v>
      </c>
      <c r="L51" s="2057" t="s">
        <v>1120</v>
      </c>
      <c r="M51" s="2628">
        <v>36</v>
      </c>
      <c r="N51" s="1080"/>
      <c r="O51" s="2628" t="s">
        <v>1121</v>
      </c>
      <c r="P51" s="2057" t="s">
        <v>1122</v>
      </c>
      <c r="Q51" s="2668">
        <f>(V51)/R51</f>
        <v>0.38959028108623156</v>
      </c>
      <c r="R51" s="2102">
        <f>SUM(V51:V59)</f>
        <v>335840000</v>
      </c>
      <c r="S51" s="2057" t="s">
        <v>1123</v>
      </c>
      <c r="T51" s="2733" t="s">
        <v>1124</v>
      </c>
      <c r="U51" s="2057" t="s">
        <v>1125</v>
      </c>
      <c r="V51" s="2735">
        <f>55000000+75840000</f>
        <v>130840000</v>
      </c>
      <c r="W51" s="2243" t="s">
        <v>1016</v>
      </c>
      <c r="X51" s="2628" t="s">
        <v>1126</v>
      </c>
      <c r="Y51" s="2661">
        <v>193964</v>
      </c>
      <c r="Z51" s="2661">
        <v>129308</v>
      </c>
      <c r="AA51" s="2719"/>
      <c r="AB51" s="2719"/>
      <c r="AC51" s="2626">
        <v>323272</v>
      </c>
      <c r="AD51" s="2719"/>
      <c r="AE51" s="2719"/>
      <c r="AF51" s="2719"/>
      <c r="AG51" s="2719"/>
      <c r="AH51" s="2719"/>
      <c r="AI51" s="2719"/>
      <c r="AJ51" s="2719"/>
      <c r="AK51" s="2719"/>
      <c r="AL51" s="2719"/>
      <c r="AM51" s="2719"/>
      <c r="AN51" s="2721">
        <f>+Y51+Z51</f>
        <v>323272</v>
      </c>
      <c r="AO51" s="2719"/>
      <c r="AP51" s="2719"/>
      <c r="AQ51" s="2725" t="s">
        <v>1073</v>
      </c>
    </row>
    <row r="52" spans="1:43" ht="11.25" customHeight="1" x14ac:dyDescent="0.2">
      <c r="A52" s="2761"/>
      <c r="B52" s="2073"/>
      <c r="C52" s="2074"/>
      <c r="D52" s="2079"/>
      <c r="E52" s="2079"/>
      <c r="F52" s="2080"/>
      <c r="G52" s="2750"/>
      <c r="H52" s="2751"/>
      <c r="I52" s="2752"/>
      <c r="J52" s="2629"/>
      <c r="K52" s="2630"/>
      <c r="L52" s="2630"/>
      <c r="M52" s="2629"/>
      <c r="N52" s="1081"/>
      <c r="O52" s="2629"/>
      <c r="P52" s="2630"/>
      <c r="Q52" s="2669"/>
      <c r="R52" s="2744"/>
      <c r="S52" s="2630"/>
      <c r="T52" s="2734"/>
      <c r="U52" s="2630"/>
      <c r="V52" s="2745"/>
      <c r="W52" s="2729"/>
      <c r="X52" s="2629"/>
      <c r="Y52" s="2662"/>
      <c r="Z52" s="2662"/>
      <c r="AA52" s="2720"/>
      <c r="AB52" s="2720"/>
      <c r="AC52" s="2627"/>
      <c r="AD52" s="2720"/>
      <c r="AE52" s="2720"/>
      <c r="AF52" s="2720"/>
      <c r="AG52" s="2720"/>
      <c r="AH52" s="2720"/>
      <c r="AI52" s="2720"/>
      <c r="AJ52" s="2720"/>
      <c r="AK52" s="2720"/>
      <c r="AL52" s="2720"/>
      <c r="AM52" s="2720"/>
      <c r="AN52" s="2722"/>
      <c r="AO52" s="2720"/>
      <c r="AP52" s="2720"/>
      <c r="AQ52" s="2726"/>
    </row>
    <row r="53" spans="1:43" ht="11.25" customHeight="1" x14ac:dyDescent="0.2">
      <c r="A53" s="2761"/>
      <c r="B53" s="2073"/>
      <c r="C53" s="2074"/>
      <c r="D53" s="2079"/>
      <c r="E53" s="2079"/>
      <c r="F53" s="2080"/>
      <c r="G53" s="2750"/>
      <c r="H53" s="2751"/>
      <c r="I53" s="2752"/>
      <c r="J53" s="2629"/>
      <c r="K53" s="2630"/>
      <c r="L53" s="2630"/>
      <c r="M53" s="2629"/>
      <c r="N53" s="1081"/>
      <c r="O53" s="2629"/>
      <c r="P53" s="2630"/>
      <c r="Q53" s="2669"/>
      <c r="R53" s="2744"/>
      <c r="S53" s="2630"/>
      <c r="T53" s="2734"/>
      <c r="U53" s="2648"/>
      <c r="V53" s="2736"/>
      <c r="W53" s="2729"/>
      <c r="X53" s="2629"/>
      <c r="Y53" s="2662"/>
      <c r="Z53" s="2662"/>
      <c r="AA53" s="2720"/>
      <c r="AB53" s="2720"/>
      <c r="AC53" s="2627"/>
      <c r="AD53" s="2720"/>
      <c r="AE53" s="2720"/>
      <c r="AF53" s="2720"/>
      <c r="AG53" s="2720"/>
      <c r="AH53" s="2720"/>
      <c r="AI53" s="2720"/>
      <c r="AJ53" s="2720"/>
      <c r="AK53" s="2720"/>
      <c r="AL53" s="2720"/>
      <c r="AM53" s="2720"/>
      <c r="AN53" s="2722"/>
      <c r="AO53" s="2720"/>
      <c r="AP53" s="2720"/>
      <c r="AQ53" s="2726"/>
    </row>
    <row r="54" spans="1:43" ht="11.25" customHeight="1" x14ac:dyDescent="0.2">
      <c r="A54" s="2761"/>
      <c r="B54" s="2073"/>
      <c r="C54" s="2074"/>
      <c r="D54" s="2079"/>
      <c r="E54" s="2079"/>
      <c r="F54" s="2080"/>
      <c r="G54" s="2750"/>
      <c r="H54" s="2751"/>
      <c r="I54" s="2752"/>
      <c r="J54" s="2628">
        <v>48</v>
      </c>
      <c r="K54" s="2057" t="s">
        <v>1127</v>
      </c>
      <c r="L54" s="2057" t="s">
        <v>1128</v>
      </c>
      <c r="M54" s="2628">
        <v>1</v>
      </c>
      <c r="N54" s="1081" t="s">
        <v>1129</v>
      </c>
      <c r="O54" s="2629"/>
      <c r="P54" s="2630"/>
      <c r="Q54" s="2668">
        <f>(V54)/R51</f>
        <v>0.59552167698904235</v>
      </c>
      <c r="R54" s="2744"/>
      <c r="S54" s="2630"/>
      <c r="T54" s="2733" t="s">
        <v>1130</v>
      </c>
      <c r="U54" s="2057" t="s">
        <v>1131</v>
      </c>
      <c r="V54" s="2735">
        <v>200000000</v>
      </c>
      <c r="W54" s="2729"/>
      <c r="X54" s="2629"/>
      <c r="Y54" s="2662"/>
      <c r="Z54" s="2662"/>
      <c r="AA54" s="2720"/>
      <c r="AB54" s="2720"/>
      <c r="AC54" s="2627"/>
      <c r="AD54" s="2720"/>
      <c r="AE54" s="2720"/>
      <c r="AF54" s="2720"/>
      <c r="AG54" s="2720"/>
      <c r="AH54" s="2720"/>
      <c r="AI54" s="2720"/>
      <c r="AJ54" s="2720"/>
      <c r="AK54" s="2720"/>
      <c r="AL54" s="2720"/>
      <c r="AM54" s="2720"/>
      <c r="AN54" s="2722"/>
      <c r="AO54" s="2720"/>
      <c r="AP54" s="2720"/>
      <c r="AQ54" s="2726"/>
    </row>
    <row r="55" spans="1:43" ht="38.25" customHeight="1" x14ac:dyDescent="0.2">
      <c r="A55" s="2761"/>
      <c r="B55" s="2073"/>
      <c r="C55" s="2074"/>
      <c r="D55" s="2079"/>
      <c r="E55" s="2079"/>
      <c r="F55" s="2080"/>
      <c r="G55" s="2750"/>
      <c r="H55" s="2751"/>
      <c r="I55" s="2752"/>
      <c r="J55" s="2629"/>
      <c r="K55" s="2630"/>
      <c r="L55" s="2630"/>
      <c r="M55" s="2629"/>
      <c r="N55" s="1081"/>
      <c r="O55" s="2629"/>
      <c r="P55" s="2630"/>
      <c r="Q55" s="2669"/>
      <c r="R55" s="2744"/>
      <c r="S55" s="2630"/>
      <c r="T55" s="2734"/>
      <c r="U55" s="2630"/>
      <c r="V55" s="2745"/>
      <c r="W55" s="2729"/>
      <c r="X55" s="2629"/>
      <c r="Y55" s="2662"/>
      <c r="Z55" s="2662"/>
      <c r="AA55" s="2720"/>
      <c r="AB55" s="2720"/>
      <c r="AC55" s="2627"/>
      <c r="AD55" s="2720"/>
      <c r="AE55" s="2720"/>
      <c r="AF55" s="2720"/>
      <c r="AG55" s="2720"/>
      <c r="AH55" s="2720"/>
      <c r="AI55" s="2720"/>
      <c r="AJ55" s="2720"/>
      <c r="AK55" s="2720"/>
      <c r="AL55" s="2720"/>
      <c r="AM55" s="2720"/>
      <c r="AN55" s="2722"/>
      <c r="AO55" s="2720"/>
      <c r="AP55" s="2720"/>
      <c r="AQ55" s="2726"/>
    </row>
    <row r="56" spans="1:43" ht="11.25" customHeight="1" x14ac:dyDescent="0.2">
      <c r="A56" s="2761"/>
      <c r="B56" s="2073"/>
      <c r="C56" s="2074"/>
      <c r="D56" s="2079"/>
      <c r="E56" s="2079"/>
      <c r="F56" s="2080"/>
      <c r="G56" s="2750"/>
      <c r="H56" s="2751"/>
      <c r="I56" s="2752"/>
      <c r="J56" s="2629"/>
      <c r="K56" s="2630"/>
      <c r="L56" s="2630"/>
      <c r="M56" s="2629"/>
      <c r="N56" s="1081" t="s">
        <v>1132</v>
      </c>
      <c r="O56" s="2629"/>
      <c r="P56" s="2630"/>
      <c r="Q56" s="2669"/>
      <c r="R56" s="2744"/>
      <c r="S56" s="2630"/>
      <c r="T56" s="2734"/>
      <c r="U56" s="2648"/>
      <c r="V56" s="2736"/>
      <c r="W56" s="2729"/>
      <c r="X56" s="2629"/>
      <c r="Y56" s="2662"/>
      <c r="Z56" s="2662"/>
      <c r="AA56" s="2720"/>
      <c r="AB56" s="2720"/>
      <c r="AC56" s="2627"/>
      <c r="AD56" s="2720"/>
      <c r="AE56" s="2720"/>
      <c r="AF56" s="2720"/>
      <c r="AG56" s="2720"/>
      <c r="AH56" s="2720"/>
      <c r="AI56" s="2720"/>
      <c r="AJ56" s="2720"/>
      <c r="AK56" s="2720"/>
      <c r="AL56" s="2720"/>
      <c r="AM56" s="2720"/>
      <c r="AN56" s="2722"/>
      <c r="AO56" s="2720"/>
      <c r="AP56" s="2720"/>
      <c r="AQ56" s="2726"/>
    </row>
    <row r="57" spans="1:43" ht="73.5" customHeight="1" x14ac:dyDescent="0.2">
      <c r="A57" s="2761"/>
      <c r="B57" s="2073"/>
      <c r="C57" s="2074"/>
      <c r="D57" s="2079"/>
      <c r="E57" s="2079"/>
      <c r="F57" s="2080"/>
      <c r="G57" s="2750"/>
      <c r="H57" s="2751"/>
      <c r="I57" s="2752"/>
      <c r="J57" s="2628">
        <v>49</v>
      </c>
      <c r="K57" s="2057" t="s">
        <v>1133</v>
      </c>
      <c r="L57" s="2057" t="s">
        <v>1134</v>
      </c>
      <c r="M57" s="2628">
        <v>1</v>
      </c>
      <c r="N57" s="1081"/>
      <c r="O57" s="2629"/>
      <c r="P57" s="2630"/>
      <c r="Q57" s="2668">
        <f>(V57)/R51</f>
        <v>1.4888041924726061E-2</v>
      </c>
      <c r="R57" s="2744"/>
      <c r="S57" s="2630"/>
      <c r="T57" s="2734"/>
      <c r="U57" s="2057" t="s">
        <v>1135</v>
      </c>
      <c r="V57" s="2735">
        <v>5000000</v>
      </c>
      <c r="W57" s="2729"/>
      <c r="X57" s="2629"/>
      <c r="Y57" s="2662"/>
      <c r="Z57" s="2662"/>
      <c r="AA57" s="2720"/>
      <c r="AB57" s="2720"/>
      <c r="AC57" s="2627"/>
      <c r="AD57" s="2720"/>
      <c r="AE57" s="2720"/>
      <c r="AF57" s="2720"/>
      <c r="AG57" s="2720"/>
      <c r="AH57" s="2720"/>
      <c r="AI57" s="2720"/>
      <c r="AJ57" s="2720"/>
      <c r="AK57" s="2720"/>
      <c r="AL57" s="2720"/>
      <c r="AM57" s="2720"/>
      <c r="AN57" s="2722"/>
      <c r="AO57" s="2720"/>
      <c r="AP57" s="2720"/>
      <c r="AQ57" s="2726"/>
    </row>
    <row r="58" spans="1:43" ht="11.25" customHeight="1" x14ac:dyDescent="0.2">
      <c r="A58" s="2761"/>
      <c r="B58" s="2073"/>
      <c r="C58" s="2074"/>
      <c r="D58" s="2079"/>
      <c r="E58" s="2079"/>
      <c r="F58" s="2080"/>
      <c r="G58" s="2750"/>
      <c r="H58" s="2751"/>
      <c r="I58" s="2752"/>
      <c r="J58" s="2629"/>
      <c r="K58" s="2630"/>
      <c r="L58" s="2630"/>
      <c r="M58" s="2629"/>
      <c r="N58" s="1081"/>
      <c r="O58" s="2629"/>
      <c r="P58" s="2630"/>
      <c r="Q58" s="2669"/>
      <c r="R58" s="2744"/>
      <c r="S58" s="2630"/>
      <c r="T58" s="2734"/>
      <c r="U58" s="2630"/>
      <c r="V58" s="2745"/>
      <c r="W58" s="2729"/>
      <c r="X58" s="2629"/>
      <c r="Y58" s="2662"/>
      <c r="Z58" s="2662"/>
      <c r="AA58" s="2720"/>
      <c r="AB58" s="2720"/>
      <c r="AC58" s="2627"/>
      <c r="AD58" s="2720"/>
      <c r="AE58" s="2720"/>
      <c r="AF58" s="2720"/>
      <c r="AG58" s="2720"/>
      <c r="AH58" s="2720"/>
      <c r="AI58" s="2720"/>
      <c r="AJ58" s="2720"/>
      <c r="AK58" s="2720"/>
      <c r="AL58" s="2720"/>
      <c r="AM58" s="2720"/>
      <c r="AN58" s="2722"/>
      <c r="AO58" s="2720"/>
      <c r="AP58" s="2720"/>
      <c r="AQ58" s="2726"/>
    </row>
    <row r="59" spans="1:43" ht="11.25" customHeight="1" x14ac:dyDescent="0.2">
      <c r="A59" s="2761"/>
      <c r="B59" s="2073"/>
      <c r="C59" s="2074"/>
      <c r="D59" s="2079"/>
      <c r="E59" s="2079"/>
      <c r="F59" s="2080"/>
      <c r="G59" s="2750"/>
      <c r="H59" s="2751"/>
      <c r="I59" s="2752"/>
      <c r="J59" s="2639"/>
      <c r="K59" s="2648"/>
      <c r="L59" s="2648"/>
      <c r="M59" s="2639"/>
      <c r="N59" s="852"/>
      <c r="O59" s="2639"/>
      <c r="P59" s="2648"/>
      <c r="Q59" s="2670"/>
      <c r="R59" s="2103"/>
      <c r="S59" s="2648"/>
      <c r="T59" s="2743"/>
      <c r="U59" s="2648"/>
      <c r="V59" s="2736"/>
      <c r="W59" s="2740"/>
      <c r="X59" s="2639"/>
      <c r="Y59" s="2663"/>
      <c r="Z59" s="2663"/>
      <c r="AA59" s="2741"/>
      <c r="AB59" s="2741"/>
      <c r="AC59" s="2647"/>
      <c r="AD59" s="2741"/>
      <c r="AE59" s="2741"/>
      <c r="AF59" s="2741"/>
      <c r="AG59" s="2741"/>
      <c r="AH59" s="2741"/>
      <c r="AI59" s="2741"/>
      <c r="AJ59" s="2741"/>
      <c r="AK59" s="2741"/>
      <c r="AL59" s="2741"/>
      <c r="AM59" s="2741"/>
      <c r="AN59" s="2742"/>
      <c r="AO59" s="2741"/>
      <c r="AP59" s="2741"/>
      <c r="AQ59" s="2739"/>
    </row>
    <row r="60" spans="1:43" ht="26.25" customHeight="1" x14ac:dyDescent="0.2">
      <c r="A60" s="2761"/>
      <c r="B60" s="2073"/>
      <c r="C60" s="2074"/>
      <c r="D60" s="1136">
        <v>3</v>
      </c>
      <c r="E60" s="1137" t="s">
        <v>1136</v>
      </c>
      <c r="F60" s="1137"/>
      <c r="G60" s="1137"/>
      <c r="H60" s="1137"/>
      <c r="I60" s="1137"/>
      <c r="J60" s="388"/>
      <c r="K60" s="389"/>
      <c r="L60" s="389"/>
      <c r="M60" s="388"/>
      <c r="N60" s="388"/>
      <c r="O60" s="1138"/>
      <c r="P60" s="389"/>
      <c r="Q60" s="1139"/>
      <c r="R60" s="1152"/>
      <c r="S60" s="389"/>
      <c r="T60" s="389"/>
      <c r="U60" s="389"/>
      <c r="V60" s="392"/>
      <c r="W60" s="393"/>
      <c r="X60" s="394"/>
      <c r="Y60" s="388"/>
      <c r="Z60" s="388"/>
      <c r="AA60" s="388"/>
      <c r="AB60" s="388"/>
      <c r="AC60" s="388"/>
      <c r="AD60" s="388"/>
      <c r="AE60" s="388"/>
      <c r="AF60" s="388"/>
      <c r="AG60" s="388"/>
      <c r="AH60" s="388"/>
      <c r="AI60" s="388"/>
      <c r="AJ60" s="388"/>
      <c r="AK60" s="388"/>
      <c r="AL60" s="388"/>
      <c r="AM60" s="388"/>
      <c r="AN60" s="388"/>
      <c r="AO60" s="395"/>
      <c r="AP60" s="395"/>
      <c r="AQ60" s="1153"/>
    </row>
    <row r="61" spans="1:43" ht="18.75" customHeight="1" x14ac:dyDescent="0.2">
      <c r="A61" s="2761"/>
      <c r="B61" s="2073"/>
      <c r="C61" s="2074"/>
      <c r="D61" s="2499"/>
      <c r="E61" s="2500"/>
      <c r="F61" s="2501"/>
      <c r="G61" s="1142">
        <v>11</v>
      </c>
      <c r="H61" s="1143" t="s">
        <v>1137</v>
      </c>
      <c r="I61" s="1143"/>
      <c r="J61" s="399"/>
      <c r="K61" s="400"/>
      <c r="L61" s="400"/>
      <c r="M61" s="399"/>
      <c r="N61" s="399"/>
      <c r="O61" s="1144"/>
      <c r="P61" s="400"/>
      <c r="Q61" s="1145"/>
      <c r="R61" s="1149"/>
      <c r="S61" s="400"/>
      <c r="T61" s="400"/>
      <c r="U61" s="400"/>
      <c r="V61" s="403"/>
      <c r="W61" s="1147"/>
      <c r="X61" s="1035"/>
      <c r="Y61" s="399"/>
      <c r="Z61" s="399"/>
      <c r="AA61" s="399"/>
      <c r="AB61" s="399"/>
      <c r="AC61" s="399"/>
      <c r="AD61" s="399"/>
      <c r="AE61" s="399"/>
      <c r="AF61" s="399"/>
      <c r="AG61" s="399"/>
      <c r="AH61" s="399"/>
      <c r="AI61" s="399"/>
      <c r="AJ61" s="399"/>
      <c r="AK61" s="399"/>
      <c r="AL61" s="399"/>
      <c r="AM61" s="399"/>
      <c r="AN61" s="399"/>
      <c r="AO61" s="406"/>
      <c r="AP61" s="406"/>
      <c r="AQ61" s="1150"/>
    </row>
    <row r="62" spans="1:43" ht="11.25" customHeight="1" x14ac:dyDescent="0.2">
      <c r="A62" s="2761"/>
      <c r="B62" s="2073"/>
      <c r="C62" s="2074"/>
      <c r="D62" s="2502"/>
      <c r="E62" s="2503"/>
      <c r="F62" s="2504"/>
      <c r="G62" s="843"/>
      <c r="H62" s="843"/>
      <c r="I62" s="843"/>
      <c r="J62" s="2629">
        <v>50</v>
      </c>
      <c r="K62" s="2630" t="s">
        <v>1138</v>
      </c>
      <c r="L62" s="2630" t="s">
        <v>1139</v>
      </c>
      <c r="M62" s="2629">
        <v>5</v>
      </c>
      <c r="N62" s="2628" t="s">
        <v>1140</v>
      </c>
      <c r="O62" s="2628" t="s">
        <v>1141</v>
      </c>
      <c r="P62" s="2057" t="s">
        <v>1142</v>
      </c>
      <c r="Q62" s="2669">
        <f>(V62)/R62</f>
        <v>0.8</v>
      </c>
      <c r="R62" s="2731">
        <f>SUM(V62:V66)</f>
        <v>150000000</v>
      </c>
      <c r="S62" s="2057" t="s">
        <v>1143</v>
      </c>
      <c r="T62" s="2733" t="s">
        <v>1144</v>
      </c>
      <c r="U62" s="2057" t="s">
        <v>1145</v>
      </c>
      <c r="V62" s="2735">
        <v>120000000</v>
      </c>
      <c r="W62" s="2243">
        <v>20</v>
      </c>
      <c r="X62" s="2628" t="s">
        <v>1146</v>
      </c>
      <c r="Y62" s="2661">
        <v>193964</v>
      </c>
      <c r="Z62" s="2661">
        <v>129308</v>
      </c>
      <c r="AA62" s="2719"/>
      <c r="AB62" s="2719"/>
      <c r="AC62" s="2626">
        <v>323272</v>
      </c>
      <c r="AD62" s="2719"/>
      <c r="AE62" s="2719"/>
      <c r="AF62" s="2719"/>
      <c r="AG62" s="2719"/>
      <c r="AH62" s="2719"/>
      <c r="AI62" s="2719"/>
      <c r="AJ62" s="2719"/>
      <c r="AK62" s="2719"/>
      <c r="AL62" s="2719"/>
      <c r="AM62" s="2719"/>
      <c r="AN62" s="2721">
        <f>+Y62+Z62</f>
        <v>323272</v>
      </c>
      <c r="AO62" s="2719"/>
      <c r="AP62" s="2719"/>
      <c r="AQ62" s="2725" t="s">
        <v>1073</v>
      </c>
    </row>
    <row r="63" spans="1:43" ht="24" customHeight="1" x14ac:dyDescent="0.2">
      <c r="A63" s="2761"/>
      <c r="B63" s="2073"/>
      <c r="C63" s="2074"/>
      <c r="D63" s="2502"/>
      <c r="E63" s="2503"/>
      <c r="F63" s="2504"/>
      <c r="G63" s="843"/>
      <c r="H63" s="843"/>
      <c r="I63" s="843"/>
      <c r="J63" s="2629"/>
      <c r="K63" s="2630"/>
      <c r="L63" s="2630"/>
      <c r="M63" s="2629"/>
      <c r="N63" s="2629"/>
      <c r="O63" s="2629"/>
      <c r="P63" s="2630"/>
      <c r="Q63" s="2669"/>
      <c r="R63" s="2732"/>
      <c r="S63" s="2630"/>
      <c r="T63" s="2734"/>
      <c r="U63" s="2630"/>
      <c r="V63" s="2745"/>
      <c r="W63" s="2729"/>
      <c r="X63" s="2629"/>
      <c r="Y63" s="2662"/>
      <c r="Z63" s="2662"/>
      <c r="AA63" s="2720"/>
      <c r="AB63" s="2720"/>
      <c r="AC63" s="2627"/>
      <c r="AD63" s="2720"/>
      <c r="AE63" s="2720"/>
      <c r="AF63" s="2720"/>
      <c r="AG63" s="2720"/>
      <c r="AH63" s="2720"/>
      <c r="AI63" s="2720"/>
      <c r="AJ63" s="2720"/>
      <c r="AK63" s="2720"/>
      <c r="AL63" s="2720"/>
      <c r="AM63" s="2720"/>
      <c r="AN63" s="2722"/>
      <c r="AO63" s="2720"/>
      <c r="AP63" s="2720"/>
      <c r="AQ63" s="2726"/>
    </row>
    <row r="64" spans="1:43" ht="11.25" customHeight="1" x14ac:dyDescent="0.2">
      <c r="A64" s="2761"/>
      <c r="B64" s="2073"/>
      <c r="C64" s="2074"/>
      <c r="D64" s="2502"/>
      <c r="E64" s="2503"/>
      <c r="F64" s="2504"/>
      <c r="G64" s="843"/>
      <c r="H64" s="843"/>
      <c r="I64" s="843"/>
      <c r="J64" s="2629"/>
      <c r="K64" s="2630"/>
      <c r="L64" s="2630"/>
      <c r="M64" s="2629"/>
      <c r="N64" s="2629"/>
      <c r="O64" s="2629"/>
      <c r="P64" s="2630"/>
      <c r="Q64" s="2669"/>
      <c r="R64" s="2732"/>
      <c r="S64" s="2630"/>
      <c r="T64" s="2734"/>
      <c r="U64" s="2630"/>
      <c r="V64" s="2745"/>
      <c r="W64" s="2729"/>
      <c r="X64" s="2629"/>
      <c r="Y64" s="2662"/>
      <c r="Z64" s="2662"/>
      <c r="AA64" s="2720"/>
      <c r="AB64" s="2720"/>
      <c r="AC64" s="2627"/>
      <c r="AD64" s="2720"/>
      <c r="AE64" s="2720"/>
      <c r="AF64" s="2720"/>
      <c r="AG64" s="2720"/>
      <c r="AH64" s="2720"/>
      <c r="AI64" s="2720"/>
      <c r="AJ64" s="2720"/>
      <c r="AK64" s="2720"/>
      <c r="AL64" s="2720"/>
      <c r="AM64" s="2720"/>
      <c r="AN64" s="2722"/>
      <c r="AO64" s="2720"/>
      <c r="AP64" s="2720"/>
      <c r="AQ64" s="2726"/>
    </row>
    <row r="65" spans="1:43" ht="16.5" customHeight="1" x14ac:dyDescent="0.2">
      <c r="A65" s="2761"/>
      <c r="B65" s="2073"/>
      <c r="C65" s="2074"/>
      <c r="D65" s="2502"/>
      <c r="E65" s="2503"/>
      <c r="F65" s="2504"/>
      <c r="G65" s="843"/>
      <c r="H65" s="843"/>
      <c r="I65" s="843"/>
      <c r="J65" s="2628">
        <v>51</v>
      </c>
      <c r="K65" s="2057" t="s">
        <v>1147</v>
      </c>
      <c r="L65" s="2057" t="s">
        <v>1148</v>
      </c>
      <c r="M65" s="2628">
        <v>1</v>
      </c>
      <c r="N65" s="2629"/>
      <c r="O65" s="2629"/>
      <c r="P65" s="2630"/>
      <c r="Q65" s="2668">
        <f>(V65)/R62</f>
        <v>0.2</v>
      </c>
      <c r="R65" s="2732"/>
      <c r="S65" s="2630"/>
      <c r="T65" s="2734"/>
      <c r="U65" s="2057" t="s">
        <v>1149</v>
      </c>
      <c r="V65" s="2735">
        <v>30000000</v>
      </c>
      <c r="W65" s="2729"/>
      <c r="X65" s="2629"/>
      <c r="Y65" s="2662"/>
      <c r="Z65" s="2662"/>
      <c r="AA65" s="2720"/>
      <c r="AB65" s="2720"/>
      <c r="AC65" s="2627"/>
      <c r="AD65" s="2720"/>
      <c r="AE65" s="2720"/>
      <c r="AF65" s="2720"/>
      <c r="AG65" s="2720"/>
      <c r="AH65" s="2720"/>
      <c r="AI65" s="2720"/>
      <c r="AJ65" s="2720"/>
      <c r="AK65" s="2720"/>
      <c r="AL65" s="2720"/>
      <c r="AM65" s="2720"/>
      <c r="AN65" s="2722"/>
      <c r="AO65" s="2720"/>
      <c r="AP65" s="2720"/>
      <c r="AQ65" s="2726"/>
    </row>
    <row r="66" spans="1:43" ht="30.75" customHeight="1" x14ac:dyDescent="0.2">
      <c r="A66" s="2761"/>
      <c r="B66" s="2073"/>
      <c r="C66" s="2074"/>
      <c r="D66" s="2502"/>
      <c r="E66" s="2503"/>
      <c r="F66" s="2504"/>
      <c r="G66" s="843"/>
      <c r="H66" s="843"/>
      <c r="I66" s="843"/>
      <c r="J66" s="2629"/>
      <c r="K66" s="2630"/>
      <c r="L66" s="2630"/>
      <c r="M66" s="2629"/>
      <c r="N66" s="2639"/>
      <c r="O66" s="2639"/>
      <c r="P66" s="2648"/>
      <c r="Q66" s="2669"/>
      <c r="R66" s="2732"/>
      <c r="S66" s="2630"/>
      <c r="T66" s="2734"/>
      <c r="U66" s="2648"/>
      <c r="V66" s="2736"/>
      <c r="W66" s="2740"/>
      <c r="X66" s="2639"/>
      <c r="Y66" s="2662"/>
      <c r="Z66" s="2662"/>
      <c r="AA66" s="2741"/>
      <c r="AB66" s="2741"/>
      <c r="AC66" s="2647"/>
      <c r="AD66" s="2741"/>
      <c r="AE66" s="2741"/>
      <c r="AF66" s="2741"/>
      <c r="AG66" s="2741"/>
      <c r="AH66" s="2741"/>
      <c r="AI66" s="2741"/>
      <c r="AJ66" s="2741"/>
      <c r="AK66" s="2741"/>
      <c r="AL66" s="2741"/>
      <c r="AM66" s="2741"/>
      <c r="AN66" s="2742"/>
      <c r="AO66" s="2741"/>
      <c r="AP66" s="2741"/>
      <c r="AQ66" s="2739"/>
    </row>
    <row r="67" spans="1:43" ht="11.25" customHeight="1" x14ac:dyDescent="0.2">
      <c r="A67" s="2761"/>
      <c r="B67" s="2073"/>
      <c r="C67" s="2074"/>
      <c r="D67" s="2502"/>
      <c r="E67" s="2503"/>
      <c r="F67" s="2504"/>
      <c r="G67" s="1142">
        <v>12</v>
      </c>
      <c r="H67" s="1143" t="s">
        <v>1150</v>
      </c>
      <c r="I67" s="1143"/>
      <c r="J67" s="399"/>
      <c r="K67" s="400"/>
      <c r="L67" s="400"/>
      <c r="M67" s="399"/>
      <c r="N67" s="754"/>
      <c r="O67" s="1144"/>
      <c r="P67" s="400"/>
      <c r="Q67" s="1145"/>
      <c r="R67" s="1149"/>
      <c r="S67" s="400"/>
      <c r="T67" s="400"/>
      <c r="U67" s="400"/>
      <c r="V67" s="403"/>
      <c r="W67" s="1147"/>
      <c r="X67" s="1035"/>
      <c r="Y67" s="399"/>
      <c r="Z67" s="399"/>
      <c r="AA67" s="399"/>
      <c r="AB67" s="399"/>
      <c r="AC67" s="399"/>
      <c r="AD67" s="399"/>
      <c r="AE67" s="399"/>
      <c r="AF67" s="399"/>
      <c r="AG67" s="399"/>
      <c r="AH67" s="399"/>
      <c r="AI67" s="399"/>
      <c r="AJ67" s="399"/>
      <c r="AK67" s="399"/>
      <c r="AL67" s="399"/>
      <c r="AM67" s="399"/>
      <c r="AN67" s="399"/>
      <c r="AO67" s="406"/>
      <c r="AP67" s="406"/>
      <c r="AQ67" s="1150"/>
    </row>
    <row r="68" spans="1:43" ht="11.25" customHeight="1" x14ac:dyDescent="0.2">
      <c r="A68" s="2761"/>
      <c r="B68" s="2073"/>
      <c r="C68" s="2074"/>
      <c r="D68" s="2502"/>
      <c r="E68" s="2503"/>
      <c r="F68" s="2504"/>
      <c r="G68" s="2500"/>
      <c r="H68" s="2500"/>
      <c r="I68" s="2501"/>
      <c r="J68" s="2628">
        <v>52</v>
      </c>
      <c r="K68" s="2057" t="s">
        <v>1151</v>
      </c>
      <c r="L68" s="2057" t="s">
        <v>1152</v>
      </c>
      <c r="M68" s="2081">
        <v>3</v>
      </c>
      <c r="N68" s="1154"/>
      <c r="O68" s="2055" t="s">
        <v>1153</v>
      </c>
      <c r="P68" s="2057" t="s">
        <v>1154</v>
      </c>
      <c r="Q68" s="2668">
        <f>(V68+V70+V72+V74+V76+V78)/R68</f>
        <v>1</v>
      </c>
      <c r="R68" s="2102">
        <f>SUM(V68:V79)</f>
        <v>256640000</v>
      </c>
      <c r="S68" s="2057" t="s">
        <v>1155</v>
      </c>
      <c r="T68" s="2733" t="s">
        <v>1156</v>
      </c>
      <c r="U68" s="2057" t="s">
        <v>1157</v>
      </c>
      <c r="V68" s="2735">
        <f>25000000+19800000</f>
        <v>44800000</v>
      </c>
      <c r="W68" s="2243" t="s">
        <v>64</v>
      </c>
      <c r="X68" s="2628" t="s">
        <v>1072</v>
      </c>
      <c r="Y68" s="2661">
        <v>193964</v>
      </c>
      <c r="Z68" s="2661">
        <v>129308</v>
      </c>
      <c r="AA68" s="2719"/>
      <c r="AB68" s="2719"/>
      <c r="AC68" s="2626">
        <v>323272</v>
      </c>
      <c r="AD68" s="2719"/>
      <c r="AE68" s="2243"/>
      <c r="AF68" s="2243"/>
      <c r="AG68" s="2243"/>
      <c r="AH68" s="2243"/>
      <c r="AI68" s="2243"/>
      <c r="AJ68" s="2243"/>
      <c r="AK68" s="2243"/>
      <c r="AL68" s="2243"/>
      <c r="AM68" s="2719"/>
      <c r="AN68" s="2721">
        <f>+Y68+Z68</f>
        <v>323272</v>
      </c>
      <c r="AO68" s="2723"/>
      <c r="AP68" s="2723"/>
      <c r="AQ68" s="2725" t="s">
        <v>1073</v>
      </c>
    </row>
    <row r="69" spans="1:43" ht="35.25" customHeight="1" x14ac:dyDescent="0.2">
      <c r="A69" s="2761"/>
      <c r="B69" s="2073"/>
      <c r="C69" s="2074"/>
      <c r="D69" s="2502"/>
      <c r="E69" s="2503"/>
      <c r="F69" s="2504"/>
      <c r="G69" s="2503"/>
      <c r="H69" s="2503"/>
      <c r="I69" s="2504"/>
      <c r="J69" s="2629"/>
      <c r="K69" s="2630"/>
      <c r="L69" s="2630"/>
      <c r="M69" s="2083"/>
      <c r="N69" s="443"/>
      <c r="O69" s="2085"/>
      <c r="P69" s="2630"/>
      <c r="Q69" s="2669"/>
      <c r="R69" s="2744"/>
      <c r="S69" s="2630"/>
      <c r="T69" s="2734"/>
      <c r="U69" s="2648"/>
      <c r="V69" s="2736"/>
      <c r="W69" s="2729"/>
      <c r="X69" s="2629"/>
      <c r="Y69" s="2662"/>
      <c r="Z69" s="2662"/>
      <c r="AA69" s="2720"/>
      <c r="AB69" s="2720"/>
      <c r="AC69" s="2627"/>
      <c r="AD69" s="2720"/>
      <c r="AE69" s="2729"/>
      <c r="AF69" s="2729"/>
      <c r="AG69" s="2729"/>
      <c r="AH69" s="2729"/>
      <c r="AI69" s="2729"/>
      <c r="AJ69" s="2729"/>
      <c r="AK69" s="2729"/>
      <c r="AL69" s="2729"/>
      <c r="AM69" s="2720"/>
      <c r="AN69" s="2722"/>
      <c r="AO69" s="2724"/>
      <c r="AP69" s="2724"/>
      <c r="AQ69" s="2726"/>
    </row>
    <row r="70" spans="1:43" ht="34.5" customHeight="1" x14ac:dyDescent="0.2">
      <c r="A70" s="2761"/>
      <c r="B70" s="2073"/>
      <c r="C70" s="2074"/>
      <c r="D70" s="2502"/>
      <c r="E70" s="2503"/>
      <c r="F70" s="2504"/>
      <c r="G70" s="2503"/>
      <c r="H70" s="2503"/>
      <c r="I70" s="2504"/>
      <c r="J70" s="2629"/>
      <c r="K70" s="2630"/>
      <c r="L70" s="2630"/>
      <c r="M70" s="2083"/>
      <c r="N70" s="443"/>
      <c r="O70" s="2085"/>
      <c r="P70" s="2630"/>
      <c r="Q70" s="2669"/>
      <c r="R70" s="2744"/>
      <c r="S70" s="2630"/>
      <c r="T70" s="2734"/>
      <c r="U70" s="2057" t="s">
        <v>1158</v>
      </c>
      <c r="V70" s="2735">
        <f>25000000+13200000</f>
        <v>38200000</v>
      </c>
      <c r="W70" s="2729"/>
      <c r="X70" s="2629"/>
      <c r="Y70" s="2662"/>
      <c r="Z70" s="2662"/>
      <c r="AA70" s="2720"/>
      <c r="AB70" s="2720"/>
      <c r="AC70" s="2627"/>
      <c r="AD70" s="2720"/>
      <c r="AE70" s="2729"/>
      <c r="AF70" s="2729"/>
      <c r="AG70" s="2729"/>
      <c r="AH70" s="2729"/>
      <c r="AI70" s="2729"/>
      <c r="AJ70" s="2729"/>
      <c r="AK70" s="2729"/>
      <c r="AL70" s="2729"/>
      <c r="AM70" s="2720"/>
      <c r="AN70" s="2722"/>
      <c r="AO70" s="2724"/>
      <c r="AP70" s="2724"/>
      <c r="AQ70" s="2726"/>
    </row>
    <row r="71" spans="1:43" ht="15" customHeight="1" x14ac:dyDescent="0.2">
      <c r="A71" s="2761"/>
      <c r="B71" s="2073"/>
      <c r="C71" s="2074"/>
      <c r="D71" s="2502"/>
      <c r="E71" s="2503"/>
      <c r="F71" s="2504"/>
      <c r="G71" s="2503"/>
      <c r="H71" s="2503"/>
      <c r="I71" s="2504"/>
      <c r="J71" s="2629"/>
      <c r="K71" s="2630"/>
      <c r="L71" s="2630"/>
      <c r="M71" s="2083"/>
      <c r="N71" s="443"/>
      <c r="O71" s="2085"/>
      <c r="P71" s="2630"/>
      <c r="Q71" s="2669"/>
      <c r="R71" s="2744"/>
      <c r="S71" s="2630"/>
      <c r="T71" s="2734"/>
      <c r="U71" s="2648"/>
      <c r="V71" s="2736"/>
      <c r="W71" s="2729"/>
      <c r="X71" s="2629"/>
      <c r="Y71" s="2662"/>
      <c r="Z71" s="2662"/>
      <c r="AA71" s="2720"/>
      <c r="AB71" s="2720"/>
      <c r="AC71" s="2627"/>
      <c r="AD71" s="2720"/>
      <c r="AE71" s="2729"/>
      <c r="AF71" s="2729"/>
      <c r="AG71" s="2729"/>
      <c r="AH71" s="2729"/>
      <c r="AI71" s="2729"/>
      <c r="AJ71" s="2729"/>
      <c r="AK71" s="2729"/>
      <c r="AL71" s="2729"/>
      <c r="AM71" s="2720"/>
      <c r="AN71" s="2722"/>
      <c r="AO71" s="2724"/>
      <c r="AP71" s="2724"/>
      <c r="AQ71" s="2726"/>
    </row>
    <row r="72" spans="1:43" ht="23.25" customHeight="1" x14ac:dyDescent="0.2">
      <c r="A72" s="2761"/>
      <c r="B72" s="2073"/>
      <c r="C72" s="2074"/>
      <c r="D72" s="2502"/>
      <c r="E72" s="2503"/>
      <c r="F72" s="2504"/>
      <c r="G72" s="2503"/>
      <c r="H72" s="2503"/>
      <c r="I72" s="2504"/>
      <c r="J72" s="2629"/>
      <c r="K72" s="2630"/>
      <c r="L72" s="2630"/>
      <c r="M72" s="2083"/>
      <c r="N72" s="443" t="s">
        <v>1159</v>
      </c>
      <c r="O72" s="2085"/>
      <c r="P72" s="2630"/>
      <c r="Q72" s="2669"/>
      <c r="R72" s="2744"/>
      <c r="S72" s="2630"/>
      <c r="T72" s="2734"/>
      <c r="U72" s="2057" t="s">
        <v>1160</v>
      </c>
      <c r="V72" s="2735">
        <f>30000000+29440000</f>
        <v>59440000</v>
      </c>
      <c r="W72" s="2729"/>
      <c r="X72" s="2629"/>
      <c r="Y72" s="2662"/>
      <c r="Z72" s="2662"/>
      <c r="AA72" s="2720"/>
      <c r="AB72" s="2720"/>
      <c r="AC72" s="2627"/>
      <c r="AD72" s="2720"/>
      <c r="AE72" s="2729"/>
      <c r="AF72" s="2729"/>
      <c r="AG72" s="2729"/>
      <c r="AH72" s="2729"/>
      <c r="AI72" s="2729"/>
      <c r="AJ72" s="2729"/>
      <c r="AK72" s="2729"/>
      <c r="AL72" s="2729"/>
      <c r="AM72" s="2720"/>
      <c r="AN72" s="2722"/>
      <c r="AO72" s="2724"/>
      <c r="AP72" s="2724"/>
      <c r="AQ72" s="2726"/>
    </row>
    <row r="73" spans="1:43" ht="20.25" customHeight="1" x14ac:dyDescent="0.2">
      <c r="A73" s="2761"/>
      <c r="B73" s="2073"/>
      <c r="C73" s="2074"/>
      <c r="D73" s="2502"/>
      <c r="E73" s="2503"/>
      <c r="F73" s="2504"/>
      <c r="G73" s="2503"/>
      <c r="H73" s="2503"/>
      <c r="I73" s="2504"/>
      <c r="J73" s="2629"/>
      <c r="K73" s="2630"/>
      <c r="L73" s="2630"/>
      <c r="M73" s="2083"/>
      <c r="N73" s="443"/>
      <c r="O73" s="2085"/>
      <c r="P73" s="2630"/>
      <c r="Q73" s="2669"/>
      <c r="R73" s="2744"/>
      <c r="S73" s="2630"/>
      <c r="T73" s="2734"/>
      <c r="U73" s="2648"/>
      <c r="V73" s="2736"/>
      <c r="W73" s="2729"/>
      <c r="X73" s="2629"/>
      <c r="Y73" s="2662"/>
      <c r="Z73" s="2662"/>
      <c r="AA73" s="2720"/>
      <c r="AB73" s="2720"/>
      <c r="AC73" s="2627"/>
      <c r="AD73" s="2720"/>
      <c r="AE73" s="2729"/>
      <c r="AF73" s="2729"/>
      <c r="AG73" s="2729"/>
      <c r="AH73" s="2729"/>
      <c r="AI73" s="2729"/>
      <c r="AJ73" s="2729"/>
      <c r="AK73" s="2729"/>
      <c r="AL73" s="2729"/>
      <c r="AM73" s="2720"/>
      <c r="AN73" s="2722"/>
      <c r="AO73" s="2724"/>
      <c r="AP73" s="2724"/>
      <c r="AQ73" s="2726"/>
    </row>
    <row r="74" spans="1:43" ht="29.25" customHeight="1" x14ac:dyDescent="0.2">
      <c r="A74" s="2761"/>
      <c r="B74" s="2073"/>
      <c r="C74" s="2074"/>
      <c r="D74" s="2502"/>
      <c r="E74" s="2503"/>
      <c r="F74" s="2504"/>
      <c r="G74" s="2503"/>
      <c r="H74" s="2503"/>
      <c r="I74" s="2504"/>
      <c r="J74" s="2629"/>
      <c r="K74" s="2630"/>
      <c r="L74" s="2630"/>
      <c r="M74" s="2083"/>
      <c r="N74" s="443" t="s">
        <v>1161</v>
      </c>
      <c r="O74" s="2085"/>
      <c r="P74" s="2630"/>
      <c r="Q74" s="2669"/>
      <c r="R74" s="2744"/>
      <c r="S74" s="2630"/>
      <c r="T74" s="2734"/>
      <c r="U74" s="2057" t="s">
        <v>1162</v>
      </c>
      <c r="V74" s="2735">
        <f>12000000+11000000</f>
        <v>23000000</v>
      </c>
      <c r="W74" s="2729"/>
      <c r="X74" s="2629"/>
      <c r="Y74" s="2662"/>
      <c r="Z74" s="2662"/>
      <c r="AA74" s="2720"/>
      <c r="AB74" s="2720"/>
      <c r="AC74" s="2627"/>
      <c r="AD74" s="2720"/>
      <c r="AE74" s="2729"/>
      <c r="AF74" s="2729"/>
      <c r="AG74" s="2729"/>
      <c r="AH74" s="2729"/>
      <c r="AI74" s="2729"/>
      <c r="AJ74" s="2729"/>
      <c r="AK74" s="2729"/>
      <c r="AL74" s="2729"/>
      <c r="AM74" s="2720"/>
      <c r="AN74" s="2722"/>
      <c r="AO74" s="2724"/>
      <c r="AP74" s="2724"/>
      <c r="AQ74" s="2726"/>
    </row>
    <row r="75" spans="1:43" ht="20.25" customHeight="1" x14ac:dyDescent="0.2">
      <c r="A75" s="2761"/>
      <c r="B75" s="2073"/>
      <c r="C75" s="2074"/>
      <c r="D75" s="2502"/>
      <c r="E75" s="2503"/>
      <c r="F75" s="2504"/>
      <c r="G75" s="2503"/>
      <c r="H75" s="2503"/>
      <c r="I75" s="2504"/>
      <c r="J75" s="2629"/>
      <c r="K75" s="2630"/>
      <c r="L75" s="2630"/>
      <c r="M75" s="2083"/>
      <c r="N75" s="443"/>
      <c r="O75" s="2085"/>
      <c r="P75" s="2630"/>
      <c r="Q75" s="2669"/>
      <c r="R75" s="2744"/>
      <c r="S75" s="2630"/>
      <c r="T75" s="2734"/>
      <c r="U75" s="2648"/>
      <c r="V75" s="2736"/>
      <c r="W75" s="2729"/>
      <c r="X75" s="2629"/>
      <c r="Y75" s="2662"/>
      <c r="Z75" s="2662"/>
      <c r="AA75" s="2720"/>
      <c r="AB75" s="2720"/>
      <c r="AC75" s="2627"/>
      <c r="AD75" s="2720"/>
      <c r="AE75" s="2729"/>
      <c r="AF75" s="2729"/>
      <c r="AG75" s="2729"/>
      <c r="AH75" s="2729"/>
      <c r="AI75" s="2729"/>
      <c r="AJ75" s="2729"/>
      <c r="AK75" s="2729"/>
      <c r="AL75" s="2729"/>
      <c r="AM75" s="2720"/>
      <c r="AN75" s="2722"/>
      <c r="AO75" s="2724"/>
      <c r="AP75" s="2724"/>
      <c r="AQ75" s="2726"/>
    </row>
    <row r="76" spans="1:43" ht="39.75" customHeight="1" x14ac:dyDescent="0.2">
      <c r="A76" s="2761"/>
      <c r="B76" s="2073"/>
      <c r="C76" s="2074"/>
      <c r="D76" s="2502"/>
      <c r="E76" s="2503"/>
      <c r="F76" s="2504"/>
      <c r="G76" s="2503"/>
      <c r="H76" s="2503"/>
      <c r="I76" s="2504"/>
      <c r="J76" s="2629"/>
      <c r="K76" s="2630"/>
      <c r="L76" s="2630"/>
      <c r="M76" s="2083"/>
      <c r="N76" s="443"/>
      <c r="O76" s="2085"/>
      <c r="P76" s="2630"/>
      <c r="Q76" s="2669"/>
      <c r="R76" s="2744"/>
      <c r="S76" s="2630"/>
      <c r="T76" s="2734"/>
      <c r="U76" s="2057" t="s">
        <v>1163</v>
      </c>
      <c r="V76" s="2735">
        <f>5500000+50000000</f>
        <v>55500000</v>
      </c>
      <c r="W76" s="2729"/>
      <c r="X76" s="2629"/>
      <c r="Y76" s="2662"/>
      <c r="Z76" s="2662"/>
      <c r="AA76" s="2720"/>
      <c r="AB76" s="2720"/>
      <c r="AC76" s="2627"/>
      <c r="AD76" s="2720"/>
      <c r="AE76" s="2729"/>
      <c r="AF76" s="2729"/>
      <c r="AG76" s="2729"/>
      <c r="AH76" s="2729"/>
      <c r="AI76" s="2729"/>
      <c r="AJ76" s="2729"/>
      <c r="AK76" s="2729"/>
      <c r="AL76" s="2729"/>
      <c r="AM76" s="2720"/>
      <c r="AN76" s="2722"/>
      <c r="AO76" s="2724"/>
      <c r="AP76" s="2724"/>
      <c r="AQ76" s="2726"/>
    </row>
    <row r="77" spans="1:43" ht="11.25" customHeight="1" x14ac:dyDescent="0.2">
      <c r="A77" s="2761"/>
      <c r="B77" s="2073"/>
      <c r="C77" s="2074"/>
      <c r="D77" s="2502"/>
      <c r="E77" s="2503"/>
      <c r="F77" s="2504"/>
      <c r="G77" s="2503"/>
      <c r="H77" s="2503"/>
      <c r="I77" s="2504"/>
      <c r="J77" s="2629"/>
      <c r="K77" s="2630"/>
      <c r="L77" s="2630"/>
      <c r="M77" s="2083"/>
      <c r="N77" s="443"/>
      <c r="O77" s="2085"/>
      <c r="P77" s="2630"/>
      <c r="Q77" s="2669"/>
      <c r="R77" s="2744"/>
      <c r="S77" s="2630"/>
      <c r="T77" s="2734"/>
      <c r="U77" s="2648"/>
      <c r="V77" s="2736"/>
      <c r="W77" s="2729"/>
      <c r="X77" s="2629"/>
      <c r="Y77" s="2662"/>
      <c r="Z77" s="2662"/>
      <c r="AA77" s="2720"/>
      <c r="AB77" s="2720"/>
      <c r="AC77" s="2627"/>
      <c r="AD77" s="2720"/>
      <c r="AE77" s="2729"/>
      <c r="AF77" s="2729"/>
      <c r="AG77" s="2729"/>
      <c r="AH77" s="2729"/>
      <c r="AI77" s="2729"/>
      <c r="AJ77" s="2729"/>
      <c r="AK77" s="2729"/>
      <c r="AL77" s="2729"/>
      <c r="AM77" s="2720"/>
      <c r="AN77" s="2722"/>
      <c r="AO77" s="2724"/>
      <c r="AP77" s="2724"/>
      <c r="AQ77" s="2726"/>
    </row>
    <row r="78" spans="1:43" ht="21.75" customHeight="1" x14ac:dyDescent="0.2">
      <c r="A78" s="2761"/>
      <c r="B78" s="2073"/>
      <c r="C78" s="2074"/>
      <c r="D78" s="2502"/>
      <c r="E78" s="2503"/>
      <c r="F78" s="2504"/>
      <c r="G78" s="2503"/>
      <c r="H78" s="2503"/>
      <c r="I78" s="2504"/>
      <c r="J78" s="2629"/>
      <c r="K78" s="2630"/>
      <c r="L78" s="2630"/>
      <c r="M78" s="2083"/>
      <c r="N78" s="443"/>
      <c r="O78" s="2085"/>
      <c r="P78" s="2630"/>
      <c r="Q78" s="2669"/>
      <c r="R78" s="2744"/>
      <c r="S78" s="2630"/>
      <c r="T78" s="2734"/>
      <c r="U78" s="2057" t="s">
        <v>1164</v>
      </c>
      <c r="V78" s="2735">
        <f>22500000+13200000</f>
        <v>35700000</v>
      </c>
      <c r="W78" s="2729"/>
      <c r="X78" s="2629"/>
      <c r="Y78" s="2662"/>
      <c r="Z78" s="2662"/>
      <c r="AA78" s="2720"/>
      <c r="AB78" s="2720"/>
      <c r="AC78" s="2627"/>
      <c r="AD78" s="2720"/>
      <c r="AE78" s="2729"/>
      <c r="AF78" s="2729"/>
      <c r="AG78" s="2729"/>
      <c r="AH78" s="2729"/>
      <c r="AI78" s="2729"/>
      <c r="AJ78" s="2729"/>
      <c r="AK78" s="2729"/>
      <c r="AL78" s="2729"/>
      <c r="AM78" s="2720"/>
      <c r="AN78" s="2722"/>
      <c r="AO78" s="2724"/>
      <c r="AP78" s="2724"/>
      <c r="AQ78" s="2726"/>
    </row>
    <row r="79" spans="1:43" ht="35.25" customHeight="1" x14ac:dyDescent="0.2">
      <c r="A79" s="2761"/>
      <c r="B79" s="2073"/>
      <c r="C79" s="2074"/>
      <c r="D79" s="2502"/>
      <c r="E79" s="2503"/>
      <c r="F79" s="2504"/>
      <c r="G79" s="2506"/>
      <c r="H79" s="2506"/>
      <c r="I79" s="2507"/>
      <c r="J79" s="2639"/>
      <c r="K79" s="2648"/>
      <c r="L79" s="2648"/>
      <c r="M79" s="2746"/>
      <c r="N79" s="852"/>
      <c r="O79" s="2737"/>
      <c r="P79" s="2648"/>
      <c r="Q79" s="2670"/>
      <c r="R79" s="2103"/>
      <c r="S79" s="2648"/>
      <c r="T79" s="2743"/>
      <c r="U79" s="2648"/>
      <c r="V79" s="2736"/>
      <c r="W79" s="2740"/>
      <c r="X79" s="2639"/>
      <c r="Y79" s="2663"/>
      <c r="Z79" s="2663"/>
      <c r="AA79" s="2741"/>
      <c r="AB79" s="2741"/>
      <c r="AC79" s="2647"/>
      <c r="AD79" s="2741"/>
      <c r="AE79" s="2740"/>
      <c r="AF79" s="2740"/>
      <c r="AG79" s="2740"/>
      <c r="AH79" s="2740"/>
      <c r="AI79" s="2740"/>
      <c r="AJ79" s="2740"/>
      <c r="AK79" s="2740"/>
      <c r="AL79" s="2740"/>
      <c r="AM79" s="2741"/>
      <c r="AN79" s="2742"/>
      <c r="AO79" s="2738"/>
      <c r="AP79" s="2738"/>
      <c r="AQ79" s="2739"/>
    </row>
    <row r="80" spans="1:43" ht="11.25" customHeight="1" x14ac:dyDescent="0.2">
      <c r="A80" s="2761"/>
      <c r="B80" s="2073"/>
      <c r="C80" s="2074"/>
      <c r="D80" s="2502"/>
      <c r="E80" s="2503"/>
      <c r="F80" s="2504"/>
      <c r="G80" s="1142">
        <v>13</v>
      </c>
      <c r="H80" s="1143" t="s">
        <v>1165</v>
      </c>
      <c r="I80" s="1143"/>
      <c r="J80" s="1155"/>
      <c r="K80" s="1156"/>
      <c r="L80" s="1156"/>
      <c r="M80" s="1155"/>
      <c r="N80" s="1155"/>
      <c r="O80" s="1157"/>
      <c r="P80" s="1156"/>
      <c r="Q80" s="1158"/>
      <c r="R80" s="1159"/>
      <c r="S80" s="1156"/>
      <c r="T80" s="1156"/>
      <c r="U80" s="1156"/>
      <c r="V80" s="1029"/>
      <c r="W80" s="1160"/>
      <c r="X80" s="1161"/>
      <c r="Y80" s="1155"/>
      <c r="Z80" s="1155"/>
      <c r="AA80" s="1155"/>
      <c r="AB80" s="1155"/>
      <c r="AC80" s="1155"/>
      <c r="AD80" s="1155"/>
      <c r="AE80" s="1155"/>
      <c r="AF80" s="1155"/>
      <c r="AG80" s="1155"/>
      <c r="AH80" s="1155"/>
      <c r="AI80" s="1155"/>
      <c r="AJ80" s="1155"/>
      <c r="AK80" s="1155"/>
      <c r="AL80" s="1155"/>
      <c r="AM80" s="1155"/>
      <c r="AN80" s="1155"/>
      <c r="AO80" s="1162"/>
      <c r="AP80" s="1162"/>
      <c r="AQ80" s="1163"/>
    </row>
    <row r="81" spans="1:43" ht="126" customHeight="1" x14ac:dyDescent="0.2">
      <c r="A81" s="2761"/>
      <c r="B81" s="2073"/>
      <c r="C81" s="2074"/>
      <c r="D81" s="2502"/>
      <c r="E81" s="2503"/>
      <c r="F81" s="2504"/>
      <c r="G81" s="2499"/>
      <c r="H81" s="2500"/>
      <c r="I81" s="2501"/>
      <c r="J81" s="2629">
        <v>53</v>
      </c>
      <c r="K81" s="2057" t="s">
        <v>1166</v>
      </c>
      <c r="L81" s="2057" t="s">
        <v>1167</v>
      </c>
      <c r="M81" s="2628">
        <v>1</v>
      </c>
      <c r="N81" s="2628" t="s">
        <v>1168</v>
      </c>
      <c r="O81" s="2628" t="s">
        <v>1169</v>
      </c>
      <c r="P81" s="2057" t="s">
        <v>1170</v>
      </c>
      <c r="Q81" s="2668">
        <f>(V81+V83)/R81</f>
        <v>1</v>
      </c>
      <c r="R81" s="2731">
        <f>SUM(V81:V84)</f>
        <v>960094912</v>
      </c>
      <c r="S81" s="2057" t="s">
        <v>1171</v>
      </c>
      <c r="T81" s="2733" t="s">
        <v>1172</v>
      </c>
      <c r="U81" s="2057" t="s">
        <v>1173</v>
      </c>
      <c r="V81" s="2727">
        <f>612000000+198094912</f>
        <v>810094912</v>
      </c>
      <c r="W81" s="2243" t="s">
        <v>1174</v>
      </c>
      <c r="X81" s="2628" t="s">
        <v>1175</v>
      </c>
      <c r="Y81" s="2661">
        <v>193964</v>
      </c>
      <c r="Z81" s="2661">
        <v>129308</v>
      </c>
      <c r="AA81" s="2719"/>
      <c r="AB81" s="2719"/>
      <c r="AC81" s="2626">
        <v>323272</v>
      </c>
      <c r="AD81" s="2719"/>
      <c r="AE81" s="2243"/>
      <c r="AF81" s="2243"/>
      <c r="AG81" s="2243"/>
      <c r="AH81" s="2243"/>
      <c r="AI81" s="2243"/>
      <c r="AJ81" s="2243"/>
      <c r="AK81" s="2243"/>
      <c r="AL81" s="2243"/>
      <c r="AM81" s="2719"/>
      <c r="AN81" s="2721">
        <f>+Y81+Z81</f>
        <v>323272</v>
      </c>
      <c r="AO81" s="2723"/>
      <c r="AP81" s="2723"/>
      <c r="AQ81" s="2725" t="s">
        <v>1073</v>
      </c>
    </row>
    <row r="82" spans="1:43" ht="117" customHeight="1" x14ac:dyDescent="0.2">
      <c r="A82" s="2761"/>
      <c r="B82" s="2073"/>
      <c r="C82" s="2074"/>
      <c r="D82" s="2502"/>
      <c r="E82" s="2503"/>
      <c r="F82" s="2504"/>
      <c r="G82" s="2502"/>
      <c r="H82" s="2503"/>
      <c r="I82" s="2504"/>
      <c r="J82" s="2629"/>
      <c r="K82" s="2630"/>
      <c r="L82" s="2630"/>
      <c r="M82" s="2629"/>
      <c r="N82" s="2629"/>
      <c r="O82" s="2629"/>
      <c r="P82" s="2630"/>
      <c r="Q82" s="2669"/>
      <c r="R82" s="2732"/>
      <c r="S82" s="2630"/>
      <c r="T82" s="2734"/>
      <c r="U82" s="2648"/>
      <c r="V82" s="2730"/>
      <c r="W82" s="2729"/>
      <c r="X82" s="2629"/>
      <c r="Y82" s="2662"/>
      <c r="Z82" s="2662"/>
      <c r="AA82" s="2720"/>
      <c r="AB82" s="2720"/>
      <c r="AC82" s="2627"/>
      <c r="AD82" s="2720"/>
      <c r="AE82" s="2729"/>
      <c r="AF82" s="2729"/>
      <c r="AG82" s="2729"/>
      <c r="AH82" s="2729"/>
      <c r="AI82" s="2729"/>
      <c r="AJ82" s="2729"/>
      <c r="AK82" s="2729"/>
      <c r="AL82" s="2729"/>
      <c r="AM82" s="2720"/>
      <c r="AN82" s="2722"/>
      <c r="AO82" s="2724"/>
      <c r="AP82" s="2724"/>
      <c r="AQ82" s="2726"/>
    </row>
    <row r="83" spans="1:43" ht="134.25" customHeight="1" x14ac:dyDescent="0.2">
      <c r="A83" s="2761"/>
      <c r="B83" s="2073"/>
      <c r="C83" s="2074"/>
      <c r="D83" s="2502"/>
      <c r="E83" s="2503"/>
      <c r="F83" s="2504"/>
      <c r="G83" s="2502"/>
      <c r="H83" s="2503"/>
      <c r="I83" s="2504"/>
      <c r="J83" s="2629"/>
      <c r="K83" s="2630"/>
      <c r="L83" s="2630"/>
      <c r="M83" s="2629"/>
      <c r="N83" s="2629"/>
      <c r="O83" s="2629"/>
      <c r="P83" s="2630"/>
      <c r="Q83" s="2669"/>
      <c r="R83" s="2732"/>
      <c r="S83" s="2630"/>
      <c r="T83" s="2734"/>
      <c r="U83" s="2057" t="s">
        <v>1176</v>
      </c>
      <c r="V83" s="2727">
        <v>150000000</v>
      </c>
      <c r="W83" s="2729"/>
      <c r="X83" s="2629"/>
      <c r="Y83" s="2662"/>
      <c r="Z83" s="2662"/>
      <c r="AA83" s="2720"/>
      <c r="AB83" s="2720"/>
      <c r="AC83" s="2627"/>
      <c r="AD83" s="2720"/>
      <c r="AE83" s="2729"/>
      <c r="AF83" s="2729"/>
      <c r="AG83" s="2729"/>
      <c r="AH83" s="2729"/>
      <c r="AI83" s="2729"/>
      <c r="AJ83" s="2729"/>
      <c r="AK83" s="2729"/>
      <c r="AL83" s="2729"/>
      <c r="AM83" s="2720"/>
      <c r="AN83" s="2722"/>
      <c r="AO83" s="2724"/>
      <c r="AP83" s="2724"/>
      <c r="AQ83" s="2726"/>
    </row>
    <row r="84" spans="1:43" ht="149.25" customHeight="1" thickBot="1" x14ac:dyDescent="0.25">
      <c r="A84" s="2761"/>
      <c r="B84" s="2073"/>
      <c r="C84" s="2074"/>
      <c r="D84" s="2502"/>
      <c r="E84" s="2503"/>
      <c r="F84" s="2504"/>
      <c r="G84" s="2502"/>
      <c r="H84" s="2503"/>
      <c r="I84" s="2504"/>
      <c r="J84" s="2629"/>
      <c r="K84" s="2630"/>
      <c r="L84" s="2630"/>
      <c r="M84" s="2629"/>
      <c r="N84" s="2629"/>
      <c r="O84" s="2629"/>
      <c r="P84" s="2630"/>
      <c r="Q84" s="2669"/>
      <c r="R84" s="2732"/>
      <c r="S84" s="2630"/>
      <c r="T84" s="2734"/>
      <c r="U84" s="2630"/>
      <c r="V84" s="2728"/>
      <c r="W84" s="2729"/>
      <c r="X84" s="2629"/>
      <c r="Y84" s="2662"/>
      <c r="Z84" s="2662"/>
      <c r="AA84" s="2720"/>
      <c r="AB84" s="2720"/>
      <c r="AC84" s="2627"/>
      <c r="AD84" s="2720"/>
      <c r="AE84" s="2729"/>
      <c r="AF84" s="2729"/>
      <c r="AG84" s="2729"/>
      <c r="AH84" s="2729"/>
      <c r="AI84" s="2729"/>
      <c r="AJ84" s="2729"/>
      <c r="AK84" s="2729"/>
      <c r="AL84" s="2729"/>
      <c r="AM84" s="2720"/>
      <c r="AN84" s="2722"/>
      <c r="AO84" s="2724"/>
      <c r="AP84" s="2724"/>
      <c r="AQ84" s="2726"/>
    </row>
    <row r="85" spans="1:43" ht="19.5" customHeight="1" thickBot="1" x14ac:dyDescent="0.25">
      <c r="A85" s="660"/>
      <c r="B85" s="661"/>
      <c r="C85" s="661"/>
      <c r="D85" s="661"/>
      <c r="E85" s="661"/>
      <c r="F85" s="661"/>
      <c r="G85" s="661"/>
      <c r="H85" s="661"/>
      <c r="I85" s="661"/>
      <c r="J85" s="661"/>
      <c r="K85" s="455"/>
      <c r="L85" s="453"/>
      <c r="M85" s="452"/>
      <c r="N85" s="452"/>
      <c r="O85" s="662"/>
      <c r="P85" s="1164" t="s">
        <v>770</v>
      </c>
      <c r="Q85" s="1068"/>
      <c r="R85" s="1165">
        <f>R81+R68+R62+R51+R32+R22+R12</f>
        <v>2303094912</v>
      </c>
      <c r="S85" s="1070"/>
      <c r="T85" s="455"/>
      <c r="U85" s="466"/>
      <c r="V85" s="1166">
        <f>SUM(V12:V84)</f>
        <v>2303094912</v>
      </c>
      <c r="W85" s="462"/>
      <c r="X85" s="665"/>
      <c r="Y85" s="661"/>
      <c r="Z85" s="661"/>
      <c r="AA85" s="661"/>
      <c r="AB85" s="661"/>
      <c r="AC85" s="661"/>
      <c r="AD85" s="661"/>
      <c r="AE85" s="661"/>
      <c r="AF85" s="661"/>
      <c r="AG85" s="661"/>
      <c r="AH85" s="661"/>
      <c r="AI85" s="661"/>
      <c r="AJ85" s="661"/>
      <c r="AK85" s="661"/>
      <c r="AL85" s="661"/>
      <c r="AM85" s="661"/>
      <c r="AN85" s="661"/>
      <c r="AO85" s="666"/>
      <c r="AP85" s="667"/>
      <c r="AQ85" s="668"/>
    </row>
    <row r="91" spans="1:43" ht="17.25" customHeight="1" x14ac:dyDescent="0.2"/>
    <row r="92" spans="1:43" ht="17.25" customHeight="1" x14ac:dyDescent="0.2">
      <c r="I92" s="1167"/>
      <c r="J92" s="1167"/>
      <c r="K92" s="1167"/>
      <c r="L92" s="611"/>
      <c r="M92" s="611"/>
      <c r="N92" s="611"/>
      <c r="O92" s="611"/>
    </row>
    <row r="93" spans="1:43" ht="17.25" customHeight="1" x14ac:dyDescent="0.25">
      <c r="I93" s="1168" t="s">
        <v>1177</v>
      </c>
      <c r="J93" s="1168"/>
      <c r="K93" s="1168"/>
      <c r="L93" s="1168"/>
      <c r="M93" s="1168"/>
      <c r="N93" s="1168"/>
      <c r="O93" s="1168"/>
    </row>
    <row r="94" spans="1:43" ht="17.25" customHeight="1" x14ac:dyDescent="0.25">
      <c r="I94" s="822" t="s">
        <v>1178</v>
      </c>
      <c r="J94" s="822"/>
      <c r="K94" s="822"/>
      <c r="L94" s="611"/>
      <c r="M94" s="611"/>
      <c r="N94" s="611"/>
      <c r="O94" s="611"/>
    </row>
    <row r="95" spans="1:43" ht="17.25" customHeight="1" x14ac:dyDescent="0.2">
      <c r="I95" s="611"/>
      <c r="J95" s="611"/>
      <c r="K95" s="611"/>
      <c r="L95" s="611"/>
      <c r="M95" s="611"/>
      <c r="N95" s="611"/>
      <c r="O95" s="611"/>
    </row>
    <row r="96" spans="1:43" ht="17.25" customHeight="1" x14ac:dyDescent="0.2"/>
    <row r="97" ht="17.25" customHeight="1" x14ac:dyDescent="0.2"/>
    <row r="98" ht="17.25" customHeight="1" x14ac:dyDescent="0.2"/>
    <row r="99" ht="17.25" customHeight="1" x14ac:dyDescent="0.2"/>
    <row r="100" ht="17.25" customHeight="1" x14ac:dyDescent="0.2"/>
    <row r="101" ht="17.25" customHeight="1" x14ac:dyDescent="0.2"/>
  </sheetData>
  <sheetProtection password="CBEB" sheet="1" objects="1" scenarios="1"/>
  <mergeCells count="362">
    <mergeCell ref="A1:AO4"/>
    <mergeCell ref="A5:M6"/>
    <mergeCell ref="N5:AQ5"/>
    <mergeCell ref="Y6:AM6"/>
    <mergeCell ref="A7:A8"/>
    <mergeCell ref="B7:C8"/>
    <mergeCell ref="D7:D8"/>
    <mergeCell ref="E7:F8"/>
    <mergeCell ref="G7:G8"/>
    <mergeCell ref="H7:I8"/>
    <mergeCell ref="AQ7:AQ8"/>
    <mergeCell ref="AA7:AD7"/>
    <mergeCell ref="AE7:AJ7"/>
    <mergeCell ref="AK7:AM7"/>
    <mergeCell ref="A10:C84"/>
    <mergeCell ref="D11:F59"/>
    <mergeCell ref="G12:I30"/>
    <mergeCell ref="J12:J15"/>
    <mergeCell ref="K12:K15"/>
    <mergeCell ref="L12:L15"/>
    <mergeCell ref="V7:V8"/>
    <mergeCell ref="X7:X8"/>
    <mergeCell ref="Y7:Z7"/>
    <mergeCell ref="P7:P8"/>
    <mergeCell ref="Q7:Q8"/>
    <mergeCell ref="R7:R8"/>
    <mergeCell ref="S7:S8"/>
    <mergeCell ref="T7:T8"/>
    <mergeCell ref="U7:U8"/>
    <mergeCell ref="J7:J8"/>
    <mergeCell ref="K7:K8"/>
    <mergeCell ref="L7:L8"/>
    <mergeCell ref="M7:M8"/>
    <mergeCell ref="N7:N8"/>
    <mergeCell ref="M12:M15"/>
    <mergeCell ref="N12:N15"/>
    <mergeCell ref="O12:O21"/>
    <mergeCell ref="P12:P21"/>
    <mergeCell ref="Q12:Q15"/>
    <mergeCell ref="R12:R21"/>
    <mergeCell ref="AN7:AN8"/>
    <mergeCell ref="AO7:AO8"/>
    <mergeCell ref="AP7:AP8"/>
    <mergeCell ref="O7:O8"/>
    <mergeCell ref="AA12:AA21"/>
    <mergeCell ref="AB12:AB21"/>
    <mergeCell ref="AC12:AC21"/>
    <mergeCell ref="AD12:AD21"/>
    <mergeCell ref="S12:S21"/>
    <mergeCell ref="T12:T21"/>
    <mergeCell ref="U12:U13"/>
    <mergeCell ref="V12:V13"/>
    <mergeCell ref="W12:W21"/>
    <mergeCell ref="X12:X21"/>
    <mergeCell ref="V16:V17"/>
    <mergeCell ref="U18:U19"/>
    <mergeCell ref="V18:V19"/>
    <mergeCell ref="U20:U21"/>
    <mergeCell ref="V20:V21"/>
    <mergeCell ref="AQ12:AQ21"/>
    <mergeCell ref="U14:U15"/>
    <mergeCell ref="V14:V15"/>
    <mergeCell ref="J16:J21"/>
    <mergeCell ref="K16:K21"/>
    <mergeCell ref="L16:L21"/>
    <mergeCell ref="M16:M21"/>
    <mergeCell ref="N16:N21"/>
    <mergeCell ref="Q16:Q21"/>
    <mergeCell ref="U16:U17"/>
    <mergeCell ref="AK12:AK21"/>
    <mergeCell ref="AL12:AL21"/>
    <mergeCell ref="AM12:AM21"/>
    <mergeCell ref="AN12:AN21"/>
    <mergeCell ref="AO12:AO21"/>
    <mergeCell ref="AP12:AP21"/>
    <mergeCell ref="AE12:AE21"/>
    <mergeCell ref="AF12:AF21"/>
    <mergeCell ref="AG12:AG21"/>
    <mergeCell ref="AH12:AH21"/>
    <mergeCell ref="AI12:AI21"/>
    <mergeCell ref="AJ12:AJ21"/>
    <mergeCell ref="Y12:Y21"/>
    <mergeCell ref="Z12:Z21"/>
    <mergeCell ref="J22:J24"/>
    <mergeCell ref="K22:K24"/>
    <mergeCell ref="L22:L24"/>
    <mergeCell ref="M22:M24"/>
    <mergeCell ref="O22:O30"/>
    <mergeCell ref="P22:P30"/>
    <mergeCell ref="Q22:Q24"/>
    <mergeCell ref="R22:R30"/>
    <mergeCell ref="S22:S30"/>
    <mergeCell ref="J25:J27"/>
    <mergeCell ref="K25:K27"/>
    <mergeCell ref="L25:L27"/>
    <mergeCell ref="M25:M27"/>
    <mergeCell ref="Q25:Q27"/>
    <mergeCell ref="J28:J30"/>
    <mergeCell ref="K28:K30"/>
    <mergeCell ref="L28:L30"/>
    <mergeCell ref="M28:M30"/>
    <mergeCell ref="Q28:Q30"/>
    <mergeCell ref="Z22:Z30"/>
    <mergeCell ref="AA22:AA30"/>
    <mergeCell ref="AB22:AB30"/>
    <mergeCell ref="AC22:AC30"/>
    <mergeCell ref="AD22:AD30"/>
    <mergeCell ref="AE22:AE30"/>
    <mergeCell ref="T22:T24"/>
    <mergeCell ref="U22:U24"/>
    <mergeCell ref="V22:V24"/>
    <mergeCell ref="W22:W30"/>
    <mergeCell ref="X22:X30"/>
    <mergeCell ref="Y22:Y30"/>
    <mergeCell ref="U25:U27"/>
    <mergeCell ref="V25:V27"/>
    <mergeCell ref="T25:T30"/>
    <mergeCell ref="U28:U30"/>
    <mergeCell ref="V28:V30"/>
    <mergeCell ref="AL22:AL30"/>
    <mergeCell ref="AM22:AM30"/>
    <mergeCell ref="AN22:AN30"/>
    <mergeCell ref="AO22:AO30"/>
    <mergeCell ref="AP22:AP30"/>
    <mergeCell ref="AQ22:AQ30"/>
    <mergeCell ref="AF22:AF30"/>
    <mergeCell ref="AG22:AG30"/>
    <mergeCell ref="AH22:AH30"/>
    <mergeCell ref="AI22:AI30"/>
    <mergeCell ref="AJ22:AJ30"/>
    <mergeCell ref="AK22:AK30"/>
    <mergeCell ref="G32:I49"/>
    <mergeCell ref="J32:J37"/>
    <mergeCell ref="K32:K37"/>
    <mergeCell ref="L32:L37"/>
    <mergeCell ref="M32:M37"/>
    <mergeCell ref="O32:O49"/>
    <mergeCell ref="P32:P49"/>
    <mergeCell ref="Y32:Y49"/>
    <mergeCell ref="Z32:Z49"/>
    <mergeCell ref="J46:J49"/>
    <mergeCell ref="K46:K49"/>
    <mergeCell ref="L46:L49"/>
    <mergeCell ref="M46:M49"/>
    <mergeCell ref="N39:N40"/>
    <mergeCell ref="J42:J45"/>
    <mergeCell ref="K42:K45"/>
    <mergeCell ref="L42:L45"/>
    <mergeCell ref="M42:M45"/>
    <mergeCell ref="AA32:AA49"/>
    <mergeCell ref="AB32:AB49"/>
    <mergeCell ref="Q32:Q37"/>
    <mergeCell ref="R32:R49"/>
    <mergeCell ref="S32:S49"/>
    <mergeCell ref="T32:T37"/>
    <mergeCell ref="U32:U34"/>
    <mergeCell ref="V32:V34"/>
    <mergeCell ref="T38:T49"/>
    <mergeCell ref="U38:U41"/>
    <mergeCell ref="V38:V41"/>
    <mergeCell ref="U42:U45"/>
    <mergeCell ref="V42:V45"/>
    <mergeCell ref="Q46:Q49"/>
    <mergeCell ref="U46:U49"/>
    <mergeCell ref="V46:V49"/>
    <mergeCell ref="Q42:Q45"/>
    <mergeCell ref="AO32:AO49"/>
    <mergeCell ref="AP32:AP49"/>
    <mergeCell ref="AQ32:AQ49"/>
    <mergeCell ref="U35:U37"/>
    <mergeCell ref="V35:V37"/>
    <mergeCell ref="J38:J41"/>
    <mergeCell ref="K38:K41"/>
    <mergeCell ref="L38:L41"/>
    <mergeCell ref="M38:M41"/>
    <mergeCell ref="Q38:Q41"/>
    <mergeCell ref="AI32:AI49"/>
    <mergeCell ref="AJ32:AJ49"/>
    <mergeCell ref="AK32:AK49"/>
    <mergeCell ref="AL32:AL49"/>
    <mergeCell ref="AM32:AM49"/>
    <mergeCell ref="AN32:AN49"/>
    <mergeCell ref="AC32:AC49"/>
    <mergeCell ref="AD32:AD49"/>
    <mergeCell ref="AE32:AE49"/>
    <mergeCell ref="AF32:AF49"/>
    <mergeCell ref="AG32:AG49"/>
    <mergeCell ref="AH32:AH49"/>
    <mergeCell ref="W32:W49"/>
    <mergeCell ref="X32:X49"/>
    <mergeCell ref="G51:I59"/>
    <mergeCell ref="J51:J53"/>
    <mergeCell ref="K51:K53"/>
    <mergeCell ref="L51:L53"/>
    <mergeCell ref="M51:M53"/>
    <mergeCell ref="O51:O59"/>
    <mergeCell ref="J57:J59"/>
    <mergeCell ref="K57:K59"/>
    <mergeCell ref="L57:L59"/>
    <mergeCell ref="M57:M59"/>
    <mergeCell ref="X51:X59"/>
    <mergeCell ref="Y51:Y59"/>
    <mergeCell ref="Z51:Z59"/>
    <mergeCell ref="AA51:AA59"/>
    <mergeCell ref="V54:V56"/>
    <mergeCell ref="V57:V59"/>
    <mergeCell ref="P51:P59"/>
    <mergeCell ref="Q51:Q53"/>
    <mergeCell ref="R51:R59"/>
    <mergeCell ref="S51:S59"/>
    <mergeCell ref="T51:T53"/>
    <mergeCell ref="U51:U53"/>
    <mergeCell ref="U54:U56"/>
    <mergeCell ref="Q57:Q59"/>
    <mergeCell ref="U57:U59"/>
    <mergeCell ref="AN51:AN59"/>
    <mergeCell ref="AO51:AO59"/>
    <mergeCell ref="AP51:AP59"/>
    <mergeCell ref="AQ51:AQ59"/>
    <mergeCell ref="J54:J56"/>
    <mergeCell ref="K54:K56"/>
    <mergeCell ref="L54:L56"/>
    <mergeCell ref="M54:M56"/>
    <mergeCell ref="Q54:Q56"/>
    <mergeCell ref="T54:T59"/>
    <mergeCell ref="AH51:AH59"/>
    <mergeCell ref="AI51:AI59"/>
    <mergeCell ref="AJ51:AJ59"/>
    <mergeCell ref="AK51:AK59"/>
    <mergeCell ref="AL51:AL59"/>
    <mergeCell ref="AM51:AM59"/>
    <mergeCell ref="AB51:AB59"/>
    <mergeCell ref="AC51:AC59"/>
    <mergeCell ref="AD51:AD59"/>
    <mergeCell ref="AE51:AE59"/>
    <mergeCell ref="AF51:AF59"/>
    <mergeCell ref="AG51:AG59"/>
    <mergeCell ref="V51:V53"/>
    <mergeCell ref="W51:W59"/>
    <mergeCell ref="D61:F84"/>
    <mergeCell ref="J62:J64"/>
    <mergeCell ref="K62:K64"/>
    <mergeCell ref="L62:L64"/>
    <mergeCell ref="M62:M64"/>
    <mergeCell ref="N62:N66"/>
    <mergeCell ref="G68:I79"/>
    <mergeCell ref="J68:J79"/>
    <mergeCell ref="K68:K79"/>
    <mergeCell ref="L68:L79"/>
    <mergeCell ref="M68:M79"/>
    <mergeCell ref="G81:I84"/>
    <mergeCell ref="J81:J84"/>
    <mergeCell ref="K81:K84"/>
    <mergeCell ref="L81:L84"/>
    <mergeCell ref="M81:M84"/>
    <mergeCell ref="N81:N84"/>
    <mergeCell ref="AP62:AP66"/>
    <mergeCell ref="AQ62:AQ66"/>
    <mergeCell ref="J65:J66"/>
    <mergeCell ref="K65:K66"/>
    <mergeCell ref="L65:L66"/>
    <mergeCell ref="M65:M66"/>
    <mergeCell ref="Q65:Q66"/>
    <mergeCell ref="AG62:AG66"/>
    <mergeCell ref="AH62:AH66"/>
    <mergeCell ref="AI62:AI66"/>
    <mergeCell ref="AJ62:AJ66"/>
    <mergeCell ref="AK62:AK66"/>
    <mergeCell ref="AL62:AL66"/>
    <mergeCell ref="AA62:AA66"/>
    <mergeCell ref="AB62:AB66"/>
    <mergeCell ref="AC62:AC66"/>
    <mergeCell ref="AD62:AD66"/>
    <mergeCell ref="AE62:AE66"/>
    <mergeCell ref="AF62:AF66"/>
    <mergeCell ref="U62:U64"/>
    <mergeCell ref="V62:V64"/>
    <mergeCell ref="W62:W66"/>
    <mergeCell ref="X62:X66"/>
    <mergeCell ref="Y62:Y66"/>
    <mergeCell ref="O62:O66"/>
    <mergeCell ref="P62:P66"/>
    <mergeCell ref="Q62:Q64"/>
    <mergeCell ref="R62:R66"/>
    <mergeCell ref="S62:S66"/>
    <mergeCell ref="T62:T66"/>
    <mergeCell ref="T68:T79"/>
    <mergeCell ref="U68:U69"/>
    <mergeCell ref="V68:V69"/>
    <mergeCell ref="U70:U71"/>
    <mergeCell ref="Q68:Q79"/>
    <mergeCell ref="R68:R79"/>
    <mergeCell ref="S68:S79"/>
    <mergeCell ref="AM62:AM66"/>
    <mergeCell ref="AN62:AN66"/>
    <mergeCell ref="AO62:AO66"/>
    <mergeCell ref="Z62:Z66"/>
    <mergeCell ref="U65:U66"/>
    <mergeCell ref="V65:V66"/>
    <mergeCell ref="W68:W79"/>
    <mergeCell ref="X68:X79"/>
    <mergeCell ref="Y68:Y79"/>
    <mergeCell ref="AO68:AO79"/>
    <mergeCell ref="AC68:AC79"/>
    <mergeCell ref="AD68:AD79"/>
    <mergeCell ref="AE68:AE79"/>
    <mergeCell ref="AA68:AA79"/>
    <mergeCell ref="AB68:AB79"/>
    <mergeCell ref="AP68:AP79"/>
    <mergeCell ref="AQ68:AQ79"/>
    <mergeCell ref="AF68:AF79"/>
    <mergeCell ref="AG68:AG79"/>
    <mergeCell ref="AH68:AH79"/>
    <mergeCell ref="AI68:AI79"/>
    <mergeCell ref="AJ68:AJ79"/>
    <mergeCell ref="AK68:AK79"/>
    <mergeCell ref="AL68:AL79"/>
    <mergeCell ref="AM68:AM79"/>
    <mergeCell ref="AN68:AN79"/>
    <mergeCell ref="Z81:Z84"/>
    <mergeCell ref="O81:O84"/>
    <mergeCell ref="P81:P84"/>
    <mergeCell ref="Q81:Q84"/>
    <mergeCell ref="R81:R84"/>
    <mergeCell ref="S81:S84"/>
    <mergeCell ref="T81:T84"/>
    <mergeCell ref="V70:V71"/>
    <mergeCell ref="U72:U73"/>
    <mergeCell ref="V72:V73"/>
    <mergeCell ref="U74:U75"/>
    <mergeCell ref="V74:V75"/>
    <mergeCell ref="U76:U77"/>
    <mergeCell ref="V76:V77"/>
    <mergeCell ref="U78:U79"/>
    <mergeCell ref="V78:V79"/>
    <mergeCell ref="Z68:Z79"/>
    <mergeCell ref="O68:O79"/>
    <mergeCell ref="P68:P79"/>
    <mergeCell ref="AM81:AM84"/>
    <mergeCell ref="AN81:AN84"/>
    <mergeCell ref="AO81:AO84"/>
    <mergeCell ref="AP81:AP84"/>
    <mergeCell ref="AQ81:AQ84"/>
    <mergeCell ref="U83:U84"/>
    <mergeCell ref="V83:V84"/>
    <mergeCell ref="AG81:AG84"/>
    <mergeCell ref="AH81:AH84"/>
    <mergeCell ref="AI81:AI84"/>
    <mergeCell ref="AJ81:AJ84"/>
    <mergeCell ref="AK81:AK84"/>
    <mergeCell ref="AL81:AL84"/>
    <mergeCell ref="AA81:AA84"/>
    <mergeCell ref="AB81:AB84"/>
    <mergeCell ref="AC81:AC84"/>
    <mergeCell ref="AD81:AD84"/>
    <mergeCell ref="AE81:AE84"/>
    <mergeCell ref="AF81:AF84"/>
    <mergeCell ref="U81:U82"/>
    <mergeCell ref="V81:V82"/>
    <mergeCell ref="W81:W84"/>
    <mergeCell ref="X81:X84"/>
    <mergeCell ref="Y81:Y84"/>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Q79"/>
  <sheetViews>
    <sheetView showGridLines="0" zoomScale="50" zoomScaleNormal="50" workbookViewId="0">
      <selection activeCell="T15" sqref="T15:T18"/>
    </sheetView>
  </sheetViews>
  <sheetFormatPr baseColWidth="10" defaultColWidth="11.42578125" defaultRowHeight="15.75" x14ac:dyDescent="0.25"/>
  <cols>
    <col min="1" max="1" width="15" style="363" customWidth="1"/>
    <col min="2" max="2" width="5.28515625" style="363" customWidth="1"/>
    <col min="3" max="3" width="15.140625" style="363" customWidth="1"/>
    <col min="4" max="4" width="16.42578125" style="363" customWidth="1"/>
    <col min="5" max="5" width="5.28515625" style="363" customWidth="1"/>
    <col min="6" max="6" width="12.7109375" style="363" customWidth="1"/>
    <col min="7" max="7" width="11.5703125" style="363" customWidth="1"/>
    <col min="8" max="8" width="4.28515625" style="363" customWidth="1"/>
    <col min="9" max="9" width="17.140625" style="363" customWidth="1"/>
    <col min="10" max="10" width="12.28515625" style="363" customWidth="1"/>
    <col min="11" max="11" width="30.140625" style="363" customWidth="1"/>
    <col min="12" max="12" width="21.28515625" style="363" customWidth="1"/>
    <col min="13" max="13" width="24.85546875" style="363" customWidth="1"/>
    <col min="14" max="14" width="22.28515625" style="363" customWidth="1"/>
    <col min="15" max="15" width="15.28515625" style="363" customWidth="1"/>
    <col min="16" max="16" width="21.5703125" style="363" customWidth="1"/>
    <col min="17" max="17" width="11.42578125" style="363"/>
    <col min="18" max="18" width="26.28515625" style="363" customWidth="1"/>
    <col min="19" max="19" width="27.42578125" style="363" customWidth="1"/>
    <col min="20" max="20" width="31.7109375" style="363" customWidth="1"/>
    <col min="21" max="21" width="28" style="363" customWidth="1"/>
    <col min="22" max="22" width="21.7109375" style="363" customWidth="1"/>
    <col min="23" max="23" width="11.42578125" style="363"/>
    <col min="24" max="24" width="31.42578125" style="363" customWidth="1"/>
    <col min="25" max="39" width="11.42578125" style="363"/>
    <col min="40" max="40" width="16.7109375" style="363" customWidth="1"/>
    <col min="41" max="41" width="20.42578125" style="363" customWidth="1"/>
    <col min="42" max="42" width="23.28515625" style="363" customWidth="1"/>
    <col min="43" max="43" width="28.42578125" style="363" customWidth="1"/>
    <col min="44" max="16384" width="11.42578125" style="363"/>
  </cols>
  <sheetData>
    <row r="1" spans="1:43" ht="25.5" customHeight="1" x14ac:dyDescent="0.25">
      <c r="A1" s="2123" t="s">
        <v>2034</v>
      </c>
      <c r="B1" s="2124"/>
      <c r="C1" s="2124"/>
      <c r="D1" s="2124"/>
      <c r="E1" s="2124"/>
      <c r="F1" s="2124"/>
      <c r="G1" s="2124"/>
      <c r="H1" s="2124"/>
      <c r="I1" s="2124"/>
      <c r="J1" s="2124"/>
      <c r="K1" s="2124"/>
      <c r="L1" s="2124"/>
      <c r="M1" s="2124"/>
      <c r="N1" s="2124"/>
      <c r="O1" s="2124"/>
      <c r="P1" s="2124"/>
      <c r="Q1" s="2124"/>
      <c r="R1" s="2124"/>
      <c r="S1" s="2124"/>
      <c r="T1" s="2124"/>
      <c r="U1" s="2124"/>
      <c r="V1" s="2124"/>
      <c r="W1" s="2124"/>
      <c r="X1" s="2124"/>
      <c r="Y1" s="2124"/>
      <c r="Z1" s="2124"/>
      <c r="AA1" s="2124"/>
      <c r="AB1" s="2124"/>
      <c r="AC1" s="2124"/>
      <c r="AD1" s="2124"/>
      <c r="AE1" s="2124"/>
      <c r="AF1" s="2124"/>
      <c r="AG1" s="2124"/>
      <c r="AH1" s="2124"/>
      <c r="AI1" s="2124"/>
      <c r="AJ1" s="2124"/>
      <c r="AK1" s="2124"/>
      <c r="AL1" s="2124"/>
      <c r="AM1" s="2124"/>
      <c r="AN1" s="2124"/>
      <c r="AO1" s="2125"/>
      <c r="AP1" s="362" t="s">
        <v>0</v>
      </c>
      <c r="AQ1" s="362" t="s">
        <v>1</v>
      </c>
    </row>
    <row r="2" spans="1:43" ht="25.5" customHeight="1" x14ac:dyDescent="0.25">
      <c r="A2" s="2124"/>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c r="AC2" s="2124"/>
      <c r="AD2" s="2124"/>
      <c r="AE2" s="2124"/>
      <c r="AF2" s="2124"/>
      <c r="AG2" s="2124"/>
      <c r="AH2" s="2124"/>
      <c r="AI2" s="2124"/>
      <c r="AJ2" s="2124"/>
      <c r="AK2" s="2124"/>
      <c r="AL2" s="2124"/>
      <c r="AM2" s="2124"/>
      <c r="AN2" s="2124"/>
      <c r="AO2" s="2125"/>
      <c r="AP2" s="364" t="s">
        <v>2</v>
      </c>
      <c r="AQ2" s="362" t="s">
        <v>3</v>
      </c>
    </row>
    <row r="3" spans="1:43" ht="25.5" customHeight="1" x14ac:dyDescent="0.25">
      <c r="A3" s="2124"/>
      <c r="B3" s="2124"/>
      <c r="C3" s="2124"/>
      <c r="D3" s="2124"/>
      <c r="E3" s="2124"/>
      <c r="F3" s="2124"/>
      <c r="G3" s="2124"/>
      <c r="H3" s="2124"/>
      <c r="I3" s="2124"/>
      <c r="J3" s="2124"/>
      <c r="K3" s="2124"/>
      <c r="L3" s="2124"/>
      <c r="M3" s="2124"/>
      <c r="N3" s="2124"/>
      <c r="O3" s="2124"/>
      <c r="P3" s="2124"/>
      <c r="Q3" s="2124"/>
      <c r="R3" s="2124"/>
      <c r="S3" s="2124"/>
      <c r="T3" s="2124"/>
      <c r="U3" s="2124"/>
      <c r="V3" s="2124"/>
      <c r="W3" s="2124"/>
      <c r="X3" s="2124"/>
      <c r="Y3" s="2124"/>
      <c r="Z3" s="2124"/>
      <c r="AA3" s="2124"/>
      <c r="AB3" s="2124"/>
      <c r="AC3" s="2124"/>
      <c r="AD3" s="2124"/>
      <c r="AE3" s="2124"/>
      <c r="AF3" s="2124"/>
      <c r="AG3" s="2124"/>
      <c r="AH3" s="2124"/>
      <c r="AI3" s="2124"/>
      <c r="AJ3" s="2124"/>
      <c r="AK3" s="2124"/>
      <c r="AL3" s="2124"/>
      <c r="AM3" s="2124"/>
      <c r="AN3" s="2124"/>
      <c r="AO3" s="2125"/>
      <c r="AP3" s="362" t="s">
        <v>4</v>
      </c>
      <c r="AQ3" s="947" t="s">
        <v>5</v>
      </c>
    </row>
    <row r="4" spans="1:43" ht="25.5" customHeight="1" x14ac:dyDescent="0.25">
      <c r="A4" s="2126"/>
      <c r="B4" s="2126"/>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7"/>
      <c r="AP4" s="362" t="s">
        <v>6</v>
      </c>
      <c r="AQ4" s="366" t="s">
        <v>7</v>
      </c>
    </row>
    <row r="5" spans="1:43" x14ac:dyDescent="0.25">
      <c r="A5" s="2128" t="s">
        <v>8</v>
      </c>
      <c r="B5" s="2128"/>
      <c r="C5" s="2128"/>
      <c r="D5" s="2128"/>
      <c r="E5" s="2128"/>
      <c r="F5" s="2128"/>
      <c r="G5" s="2128"/>
      <c r="H5" s="2128"/>
      <c r="I5" s="2128"/>
      <c r="J5" s="2128"/>
      <c r="K5" s="2128"/>
      <c r="L5" s="2128"/>
      <c r="M5" s="2128"/>
      <c r="N5" s="2130" t="s">
        <v>9</v>
      </c>
      <c r="O5" s="2130"/>
      <c r="P5" s="2130"/>
      <c r="Q5" s="2130"/>
      <c r="R5" s="2130"/>
      <c r="S5" s="2130"/>
      <c r="T5" s="2130"/>
      <c r="U5" s="2130"/>
      <c r="V5" s="2130"/>
      <c r="W5" s="2130"/>
      <c r="X5" s="2130"/>
      <c r="Y5" s="2130"/>
      <c r="Z5" s="2130"/>
      <c r="AA5" s="2130"/>
      <c r="AB5" s="2130"/>
      <c r="AC5" s="2130"/>
      <c r="AD5" s="2130"/>
      <c r="AE5" s="2130"/>
      <c r="AF5" s="2130"/>
      <c r="AG5" s="2130"/>
      <c r="AH5" s="2130"/>
      <c r="AI5" s="2130"/>
      <c r="AJ5" s="2130"/>
      <c r="AK5" s="2130"/>
      <c r="AL5" s="2130"/>
      <c r="AM5" s="2130"/>
      <c r="AN5" s="2130"/>
      <c r="AO5" s="2130"/>
      <c r="AP5" s="2130"/>
      <c r="AQ5" s="2130"/>
    </row>
    <row r="6" spans="1:43" x14ac:dyDescent="0.25">
      <c r="A6" s="2129"/>
      <c r="B6" s="2129"/>
      <c r="C6" s="2129"/>
      <c r="D6" s="2129"/>
      <c r="E6" s="2129"/>
      <c r="F6" s="2129"/>
      <c r="G6" s="2129"/>
      <c r="H6" s="2129"/>
      <c r="I6" s="2129"/>
      <c r="J6" s="2129"/>
      <c r="K6" s="2129"/>
      <c r="L6" s="2129"/>
      <c r="M6" s="2129"/>
      <c r="N6" s="653"/>
      <c r="O6" s="370"/>
      <c r="P6" s="370"/>
      <c r="Q6" s="370"/>
      <c r="R6" s="370"/>
      <c r="S6" s="370"/>
      <c r="T6" s="370"/>
      <c r="U6" s="370"/>
      <c r="V6" s="370"/>
      <c r="W6" s="370"/>
      <c r="X6" s="370"/>
      <c r="Y6" s="2131" t="s">
        <v>10</v>
      </c>
      <c r="Z6" s="2129"/>
      <c r="AA6" s="2129"/>
      <c r="AB6" s="2129"/>
      <c r="AC6" s="2129"/>
      <c r="AD6" s="2129"/>
      <c r="AE6" s="2129"/>
      <c r="AF6" s="2129"/>
      <c r="AG6" s="2129"/>
      <c r="AH6" s="2129"/>
      <c r="AI6" s="2129"/>
      <c r="AJ6" s="2129"/>
      <c r="AK6" s="2129"/>
      <c r="AL6" s="2129"/>
      <c r="AM6" s="2132"/>
      <c r="AN6" s="1215"/>
      <c r="AO6" s="370"/>
      <c r="AP6" s="370"/>
      <c r="AQ6" s="372"/>
    </row>
    <row r="7" spans="1:43" ht="33.75" customHeight="1" x14ac:dyDescent="0.25">
      <c r="A7" s="2133" t="s">
        <v>11</v>
      </c>
      <c r="B7" s="2136" t="s">
        <v>12</v>
      </c>
      <c r="C7" s="2137"/>
      <c r="D7" s="2137" t="s">
        <v>11</v>
      </c>
      <c r="E7" s="2136" t="s">
        <v>13</v>
      </c>
      <c r="F7" s="2137"/>
      <c r="G7" s="2137" t="s">
        <v>11</v>
      </c>
      <c r="H7" s="2136" t="s">
        <v>14</v>
      </c>
      <c r="I7" s="2137"/>
      <c r="J7" s="2137" t="s">
        <v>11</v>
      </c>
      <c r="K7" s="2136" t="s">
        <v>15</v>
      </c>
      <c r="L7" s="2119" t="s">
        <v>16</v>
      </c>
      <c r="M7" s="2119" t="s">
        <v>17</v>
      </c>
      <c r="N7" s="2119" t="s">
        <v>18</v>
      </c>
      <c r="O7" s="2119" t="s">
        <v>19</v>
      </c>
      <c r="P7" s="2119" t="s">
        <v>9</v>
      </c>
      <c r="Q7" s="2180" t="s">
        <v>20</v>
      </c>
      <c r="R7" s="2145" t="s">
        <v>21</v>
      </c>
      <c r="S7" s="2136" t="s">
        <v>22</v>
      </c>
      <c r="T7" s="2136" t="s">
        <v>23</v>
      </c>
      <c r="U7" s="2119" t="s">
        <v>24</v>
      </c>
      <c r="V7" s="2116" t="s">
        <v>21</v>
      </c>
      <c r="W7" s="373"/>
      <c r="X7" s="2119" t="s">
        <v>25</v>
      </c>
      <c r="Y7" s="2122" t="s">
        <v>26</v>
      </c>
      <c r="Z7" s="2122"/>
      <c r="AA7" s="2109" t="s">
        <v>27</v>
      </c>
      <c r="AB7" s="2109"/>
      <c r="AC7" s="2109"/>
      <c r="AD7" s="2109"/>
      <c r="AE7" s="2106" t="s">
        <v>28</v>
      </c>
      <c r="AF7" s="2107"/>
      <c r="AG7" s="2107"/>
      <c r="AH7" s="2107"/>
      <c r="AI7" s="2107"/>
      <c r="AJ7" s="2108"/>
      <c r="AK7" s="2109" t="s">
        <v>29</v>
      </c>
      <c r="AL7" s="2109"/>
      <c r="AM7" s="2109"/>
      <c r="AN7" s="2884" t="s">
        <v>30</v>
      </c>
      <c r="AO7" s="2095" t="s">
        <v>31</v>
      </c>
      <c r="AP7" s="2095" t="s">
        <v>32</v>
      </c>
      <c r="AQ7" s="2148" t="s">
        <v>33</v>
      </c>
    </row>
    <row r="8" spans="1:43" s="1659" customFormat="1" ht="162.75" customHeight="1" x14ac:dyDescent="0.25">
      <c r="A8" s="2134"/>
      <c r="B8" s="2138"/>
      <c r="C8" s="2139"/>
      <c r="D8" s="2139"/>
      <c r="E8" s="2138"/>
      <c r="F8" s="2139"/>
      <c r="G8" s="2139"/>
      <c r="H8" s="2138"/>
      <c r="I8" s="2139"/>
      <c r="J8" s="2139"/>
      <c r="K8" s="2138"/>
      <c r="L8" s="2120"/>
      <c r="M8" s="2120"/>
      <c r="N8" s="2120"/>
      <c r="O8" s="2120"/>
      <c r="P8" s="2120"/>
      <c r="Q8" s="2181"/>
      <c r="R8" s="2146"/>
      <c r="S8" s="2138"/>
      <c r="T8" s="2138"/>
      <c r="U8" s="2120"/>
      <c r="V8" s="2117"/>
      <c r="W8" s="1216" t="s">
        <v>11</v>
      </c>
      <c r="X8" s="2120"/>
      <c r="Y8" s="1213" t="s">
        <v>34</v>
      </c>
      <c r="Z8" s="1214" t="s">
        <v>35</v>
      </c>
      <c r="AA8" s="655" t="s">
        <v>36</v>
      </c>
      <c r="AB8" s="655" t="s">
        <v>37</v>
      </c>
      <c r="AC8" s="655" t="s">
        <v>257</v>
      </c>
      <c r="AD8" s="655" t="s">
        <v>39</v>
      </c>
      <c r="AE8" s="655" t="s">
        <v>40</v>
      </c>
      <c r="AF8" s="655" t="s">
        <v>41</v>
      </c>
      <c r="AG8" s="655" t="s">
        <v>42</v>
      </c>
      <c r="AH8" s="655" t="s">
        <v>43</v>
      </c>
      <c r="AI8" s="655" t="s">
        <v>44</v>
      </c>
      <c r="AJ8" s="655" t="s">
        <v>45</v>
      </c>
      <c r="AK8" s="655" t="s">
        <v>46</v>
      </c>
      <c r="AL8" s="655" t="s">
        <v>47</v>
      </c>
      <c r="AM8" s="655" t="s">
        <v>48</v>
      </c>
      <c r="AN8" s="2885"/>
      <c r="AO8" s="2096"/>
      <c r="AP8" s="2096"/>
      <c r="AQ8" s="2149"/>
    </row>
    <row r="9" spans="1:43" x14ac:dyDescent="0.25">
      <c r="A9" s="1660">
        <v>1</v>
      </c>
      <c r="B9" s="378"/>
      <c r="C9" s="378" t="s">
        <v>96</v>
      </c>
      <c r="D9" s="378"/>
      <c r="E9" s="378"/>
      <c r="F9" s="378"/>
      <c r="G9" s="378"/>
      <c r="H9" s="378"/>
      <c r="I9" s="378"/>
      <c r="J9" s="378"/>
      <c r="K9" s="379"/>
      <c r="L9" s="378"/>
      <c r="M9" s="378"/>
      <c r="N9" s="378"/>
      <c r="O9" s="384"/>
      <c r="P9" s="379"/>
      <c r="Q9" s="1133"/>
      <c r="R9" s="1661"/>
      <c r="S9" s="379"/>
      <c r="T9" s="379"/>
      <c r="U9" s="379"/>
      <c r="V9" s="382"/>
      <c r="W9" s="383"/>
      <c r="X9" s="384"/>
      <c r="Y9" s="378"/>
      <c r="Z9" s="378"/>
      <c r="AA9" s="378"/>
      <c r="AB9" s="378"/>
      <c r="AC9" s="378"/>
      <c r="AD9" s="378"/>
      <c r="AE9" s="378"/>
      <c r="AF9" s="378"/>
      <c r="AG9" s="378"/>
      <c r="AH9" s="378"/>
      <c r="AI9" s="378"/>
      <c r="AJ9" s="378"/>
      <c r="AK9" s="378"/>
      <c r="AL9" s="378"/>
      <c r="AM9" s="378"/>
      <c r="AN9" s="378"/>
      <c r="AO9" s="385"/>
      <c r="AP9" s="385"/>
      <c r="AQ9" s="386"/>
    </row>
    <row r="10" spans="1:43" x14ac:dyDescent="0.25">
      <c r="A10" s="1202"/>
      <c r="B10" s="1207"/>
      <c r="C10" s="1207"/>
      <c r="D10" s="1662">
        <v>1</v>
      </c>
      <c r="E10" s="388" t="s">
        <v>2035</v>
      </c>
      <c r="F10" s="388"/>
      <c r="G10" s="388"/>
      <c r="H10" s="388"/>
      <c r="I10" s="388"/>
      <c r="J10" s="388"/>
      <c r="K10" s="389"/>
      <c r="L10" s="388"/>
      <c r="M10" s="388"/>
      <c r="N10" s="388"/>
      <c r="O10" s="394"/>
      <c r="P10" s="389"/>
      <c r="Q10" s="1139"/>
      <c r="R10" s="1663"/>
      <c r="S10" s="389"/>
      <c r="T10" s="389"/>
      <c r="U10" s="389"/>
      <c r="V10" s="392"/>
      <c r="W10" s="393"/>
      <c r="X10" s="394"/>
      <c r="Y10" s="388"/>
      <c r="Z10" s="388"/>
      <c r="AA10" s="388"/>
      <c r="AB10" s="388"/>
      <c r="AC10" s="388"/>
      <c r="AD10" s="388"/>
      <c r="AE10" s="388"/>
      <c r="AF10" s="388"/>
      <c r="AG10" s="388"/>
      <c r="AH10" s="388"/>
      <c r="AI10" s="388"/>
      <c r="AJ10" s="388"/>
      <c r="AK10" s="388"/>
      <c r="AL10" s="388"/>
      <c r="AM10" s="388"/>
      <c r="AN10" s="388"/>
      <c r="AO10" s="395"/>
      <c r="AP10" s="395"/>
      <c r="AQ10" s="396"/>
    </row>
    <row r="11" spans="1:43" x14ac:dyDescent="0.25">
      <c r="A11" s="1202"/>
      <c r="B11" s="1207"/>
      <c r="C11" s="1207"/>
      <c r="D11" s="1203"/>
      <c r="E11" s="1207"/>
      <c r="F11" s="1207"/>
      <c r="G11" s="1664">
        <v>1</v>
      </c>
      <c r="H11" s="399" t="s">
        <v>2036</v>
      </c>
      <c r="I11" s="399"/>
      <c r="J11" s="399"/>
      <c r="K11" s="400"/>
      <c r="L11" s="399"/>
      <c r="M11" s="399"/>
      <c r="N11" s="399"/>
      <c r="O11" s="1035"/>
      <c r="P11" s="400"/>
      <c r="Q11" s="1145"/>
      <c r="R11" s="1061"/>
      <c r="S11" s="400"/>
      <c r="T11" s="400"/>
      <c r="U11" s="400"/>
      <c r="V11" s="403"/>
      <c r="W11" s="404"/>
      <c r="X11" s="405"/>
      <c r="Y11" s="399"/>
      <c r="Z11" s="399"/>
      <c r="AA11" s="399"/>
      <c r="AB11" s="399"/>
      <c r="AC11" s="399"/>
      <c r="AD11" s="399"/>
      <c r="AE11" s="399"/>
      <c r="AF11" s="399"/>
      <c r="AG11" s="399"/>
      <c r="AH11" s="399"/>
      <c r="AI11" s="399"/>
      <c r="AJ11" s="399"/>
      <c r="AK11" s="399"/>
      <c r="AL11" s="399"/>
      <c r="AM11" s="399"/>
      <c r="AN11" s="399"/>
      <c r="AO11" s="406"/>
      <c r="AP11" s="406"/>
      <c r="AQ11" s="407"/>
    </row>
    <row r="12" spans="1:43" s="423" customFormat="1" ht="31.5" x14ac:dyDescent="0.25">
      <c r="A12" s="444"/>
      <c r="B12" s="1211"/>
      <c r="C12" s="1211"/>
      <c r="D12" s="1210"/>
      <c r="E12" s="1211"/>
      <c r="F12" s="1211"/>
      <c r="G12" s="1209"/>
      <c r="H12" s="1211"/>
      <c r="I12" s="1211"/>
      <c r="J12" s="2086">
        <v>1</v>
      </c>
      <c r="K12" s="2190" t="s">
        <v>2037</v>
      </c>
      <c r="L12" s="2065" t="s">
        <v>2038</v>
      </c>
      <c r="M12" s="2406">
        <v>1</v>
      </c>
      <c r="N12" s="2065" t="s">
        <v>2039</v>
      </c>
      <c r="O12" s="2205" t="s">
        <v>2040</v>
      </c>
      <c r="P12" s="2088" t="s">
        <v>2041</v>
      </c>
      <c r="Q12" s="2248">
        <f>(+V12+V13)/$R$12</f>
        <v>0.23529411764705882</v>
      </c>
      <c r="R12" s="2892">
        <f>SUM(V12:V18)</f>
        <v>85000000</v>
      </c>
      <c r="S12" s="2088" t="s">
        <v>2042</v>
      </c>
      <c r="T12" s="2104" t="s">
        <v>2043</v>
      </c>
      <c r="U12" s="1665" t="s">
        <v>2044</v>
      </c>
      <c r="V12" s="1666">
        <v>10000000</v>
      </c>
      <c r="W12" s="1615">
        <v>20</v>
      </c>
      <c r="X12" s="1200" t="s">
        <v>1901</v>
      </c>
      <c r="Y12" s="2881">
        <v>35373</v>
      </c>
      <c r="Z12" s="2876">
        <v>33985</v>
      </c>
      <c r="AA12" s="2661">
        <v>16632</v>
      </c>
      <c r="AB12" s="2191">
        <v>3361</v>
      </c>
      <c r="AC12" s="2191">
        <v>39432</v>
      </c>
      <c r="AD12" s="2191">
        <v>9933</v>
      </c>
      <c r="AE12" s="2879"/>
      <c r="AF12" s="2879"/>
      <c r="AG12" s="2879"/>
      <c r="AH12" s="2888"/>
      <c r="AI12" s="2888"/>
      <c r="AJ12" s="2888"/>
      <c r="AK12" s="2879"/>
      <c r="AL12" s="2879"/>
      <c r="AM12" s="2886"/>
      <c r="AN12" s="2205">
        <f>SUM(Y12:Z18)</f>
        <v>69358</v>
      </c>
      <c r="AO12" s="2787">
        <v>43101</v>
      </c>
      <c r="AP12" s="2787">
        <v>43465</v>
      </c>
      <c r="AQ12" s="2212" t="s">
        <v>2045</v>
      </c>
    </row>
    <row r="13" spans="1:43" s="423" customFormat="1" ht="78.75" x14ac:dyDescent="0.25">
      <c r="A13" s="444"/>
      <c r="B13" s="2084"/>
      <c r="C13" s="2085"/>
      <c r="D13" s="1210"/>
      <c r="E13" s="1667"/>
      <c r="F13" s="531"/>
      <c r="G13" s="1210"/>
      <c r="H13" s="1667"/>
      <c r="I13" s="531"/>
      <c r="J13" s="2247"/>
      <c r="K13" s="2190"/>
      <c r="L13" s="2065"/>
      <c r="M13" s="2422"/>
      <c r="N13" s="2065"/>
      <c r="O13" s="2887"/>
      <c r="P13" s="2185"/>
      <c r="Q13" s="2891"/>
      <c r="R13" s="2892"/>
      <c r="S13" s="2185"/>
      <c r="T13" s="2880"/>
      <c r="U13" s="1668" t="s">
        <v>2046</v>
      </c>
      <c r="V13" s="1669">
        <v>10000000</v>
      </c>
      <c r="W13" s="1615">
        <v>20</v>
      </c>
      <c r="X13" s="1200" t="s">
        <v>1901</v>
      </c>
      <c r="Y13" s="2882"/>
      <c r="Z13" s="2877"/>
      <c r="AA13" s="2662"/>
      <c r="AB13" s="2191"/>
      <c r="AC13" s="2191"/>
      <c r="AD13" s="2191"/>
      <c r="AE13" s="2879"/>
      <c r="AF13" s="2879"/>
      <c r="AG13" s="2879"/>
      <c r="AH13" s="2889"/>
      <c r="AI13" s="2889"/>
      <c r="AJ13" s="2889"/>
      <c r="AK13" s="2879"/>
      <c r="AL13" s="2879"/>
      <c r="AM13" s="2886"/>
      <c r="AN13" s="2887"/>
      <c r="AO13" s="2787"/>
      <c r="AP13" s="2787"/>
      <c r="AQ13" s="2212"/>
    </row>
    <row r="14" spans="1:43" s="423" customFormat="1" ht="78.75" x14ac:dyDescent="0.25">
      <c r="A14" s="444"/>
      <c r="B14" s="1211"/>
      <c r="C14" s="1211"/>
      <c r="D14" s="1210"/>
      <c r="E14" s="1211"/>
      <c r="F14" s="1211"/>
      <c r="G14" s="1210"/>
      <c r="H14" s="1211"/>
      <c r="I14" s="1211"/>
      <c r="J14" s="1200">
        <v>2</v>
      </c>
      <c r="K14" s="1670" t="s">
        <v>2047</v>
      </c>
      <c r="L14" s="1200" t="s">
        <v>2048</v>
      </c>
      <c r="M14" s="1223">
        <v>4</v>
      </c>
      <c r="N14" s="2065"/>
      <c r="O14" s="2887"/>
      <c r="P14" s="2185"/>
      <c r="Q14" s="1218">
        <f>(+V14)/$R$12</f>
        <v>0.11764705882352941</v>
      </c>
      <c r="R14" s="2892"/>
      <c r="S14" s="2185"/>
      <c r="T14" s="2105"/>
      <c r="U14" s="1665" t="s">
        <v>2049</v>
      </c>
      <c r="V14" s="1671">
        <v>10000000</v>
      </c>
      <c r="W14" s="1615">
        <v>20</v>
      </c>
      <c r="X14" s="1200" t="s">
        <v>1901</v>
      </c>
      <c r="Y14" s="2882"/>
      <c r="Z14" s="2877"/>
      <c r="AA14" s="2662"/>
      <c r="AB14" s="2191"/>
      <c r="AC14" s="2191"/>
      <c r="AD14" s="2191"/>
      <c r="AE14" s="2879"/>
      <c r="AF14" s="2879"/>
      <c r="AG14" s="2879"/>
      <c r="AH14" s="2889"/>
      <c r="AI14" s="2889"/>
      <c r="AJ14" s="2889"/>
      <c r="AK14" s="2879"/>
      <c r="AL14" s="2879"/>
      <c r="AM14" s="2886"/>
      <c r="AN14" s="2887"/>
      <c r="AO14" s="2787"/>
      <c r="AP14" s="2787"/>
      <c r="AQ14" s="2212"/>
    </row>
    <row r="15" spans="1:43" s="423" customFormat="1" ht="83.25" customHeight="1" x14ac:dyDescent="0.25">
      <c r="A15" s="444"/>
      <c r="B15" s="1211"/>
      <c r="C15" s="1211"/>
      <c r="D15" s="1210"/>
      <c r="E15" s="1211"/>
      <c r="F15" s="1211"/>
      <c r="G15" s="1210"/>
      <c r="H15" s="1211"/>
      <c r="I15" s="1211"/>
      <c r="J15" s="1200">
        <v>3</v>
      </c>
      <c r="K15" s="1670" t="s">
        <v>2050</v>
      </c>
      <c r="L15" s="1222" t="s">
        <v>2051</v>
      </c>
      <c r="M15" s="1223">
        <v>1</v>
      </c>
      <c r="N15" s="2065"/>
      <c r="O15" s="2887"/>
      <c r="P15" s="2185"/>
      <c r="Q15" s="1218">
        <f>(+V15)/$R$12</f>
        <v>7.0588235294117646E-2</v>
      </c>
      <c r="R15" s="2892"/>
      <c r="S15" s="2185"/>
      <c r="T15" s="2088" t="s">
        <v>2052</v>
      </c>
      <c r="U15" s="1672" t="s">
        <v>2053</v>
      </c>
      <c r="V15" s="1673">
        <v>6000000</v>
      </c>
      <c r="W15" s="1615">
        <v>20</v>
      </c>
      <c r="X15" s="1200" t="s">
        <v>1901</v>
      </c>
      <c r="Y15" s="2882"/>
      <c r="Z15" s="2877"/>
      <c r="AA15" s="2662"/>
      <c r="AB15" s="2191"/>
      <c r="AC15" s="2191"/>
      <c r="AD15" s="2191"/>
      <c r="AE15" s="2879"/>
      <c r="AF15" s="2879"/>
      <c r="AG15" s="2879"/>
      <c r="AH15" s="2889"/>
      <c r="AI15" s="2889"/>
      <c r="AJ15" s="2889"/>
      <c r="AK15" s="2879"/>
      <c r="AL15" s="2879"/>
      <c r="AM15" s="2886"/>
      <c r="AN15" s="2887"/>
      <c r="AO15" s="2787"/>
      <c r="AP15" s="2787"/>
      <c r="AQ15" s="2212"/>
    </row>
    <row r="16" spans="1:43" s="423" customFormat="1" ht="126" x14ac:dyDescent="0.25">
      <c r="A16" s="444"/>
      <c r="B16" s="1211"/>
      <c r="C16" s="1211"/>
      <c r="D16" s="1210"/>
      <c r="E16" s="1211"/>
      <c r="F16" s="1211"/>
      <c r="G16" s="1210"/>
      <c r="H16" s="1211"/>
      <c r="I16" s="1211"/>
      <c r="J16" s="1200">
        <v>4</v>
      </c>
      <c r="K16" s="1670" t="s">
        <v>2054</v>
      </c>
      <c r="L16" s="1222" t="s">
        <v>2055</v>
      </c>
      <c r="M16" s="1223">
        <v>1</v>
      </c>
      <c r="N16" s="2065"/>
      <c r="O16" s="2887"/>
      <c r="P16" s="2185"/>
      <c r="Q16" s="1218">
        <f>(+V16)/$R$12</f>
        <v>0.24705882352941178</v>
      </c>
      <c r="R16" s="2892"/>
      <c r="S16" s="2185"/>
      <c r="T16" s="2185"/>
      <c r="U16" s="1665" t="s">
        <v>2056</v>
      </c>
      <c r="V16" s="1673">
        <v>21000000</v>
      </c>
      <c r="W16" s="1615">
        <v>20</v>
      </c>
      <c r="X16" s="1200" t="s">
        <v>1901</v>
      </c>
      <c r="Y16" s="2882"/>
      <c r="Z16" s="2877"/>
      <c r="AA16" s="2662"/>
      <c r="AB16" s="2191"/>
      <c r="AC16" s="2191"/>
      <c r="AD16" s="2191"/>
      <c r="AE16" s="2879"/>
      <c r="AF16" s="2879"/>
      <c r="AG16" s="2879"/>
      <c r="AH16" s="2889"/>
      <c r="AI16" s="2889"/>
      <c r="AJ16" s="2889"/>
      <c r="AK16" s="2879"/>
      <c r="AL16" s="2879"/>
      <c r="AM16" s="2886"/>
      <c r="AN16" s="2887"/>
      <c r="AO16" s="2787"/>
      <c r="AP16" s="2787"/>
      <c r="AQ16" s="2212"/>
    </row>
    <row r="17" spans="1:43" s="423" customFormat="1" ht="94.5" x14ac:dyDescent="0.25">
      <c r="A17" s="444"/>
      <c r="B17" s="1211"/>
      <c r="C17" s="1211"/>
      <c r="D17" s="1210"/>
      <c r="E17" s="1211"/>
      <c r="F17" s="1211"/>
      <c r="G17" s="1210"/>
      <c r="H17" s="1211"/>
      <c r="I17" s="1211"/>
      <c r="J17" s="1200">
        <v>5</v>
      </c>
      <c r="K17" s="1670" t="s">
        <v>2057</v>
      </c>
      <c r="L17" s="1222" t="s">
        <v>2058</v>
      </c>
      <c r="M17" s="1223">
        <v>2</v>
      </c>
      <c r="N17" s="2065"/>
      <c r="O17" s="2887"/>
      <c r="P17" s="2185"/>
      <c r="Q17" s="1218">
        <f>(+V17)/$R$12</f>
        <v>0.24705882352941178</v>
      </c>
      <c r="R17" s="2892"/>
      <c r="S17" s="2185"/>
      <c r="T17" s="2185"/>
      <c r="U17" s="1672" t="s">
        <v>2059</v>
      </c>
      <c r="V17" s="1673">
        <v>21000000</v>
      </c>
      <c r="W17" s="1615">
        <v>20</v>
      </c>
      <c r="X17" s="1200" t="s">
        <v>1901</v>
      </c>
      <c r="Y17" s="2882"/>
      <c r="Z17" s="2877"/>
      <c r="AA17" s="2662"/>
      <c r="AB17" s="2191"/>
      <c r="AC17" s="2191"/>
      <c r="AD17" s="2191"/>
      <c r="AE17" s="2879"/>
      <c r="AF17" s="2879"/>
      <c r="AG17" s="2879"/>
      <c r="AH17" s="2889"/>
      <c r="AI17" s="2889"/>
      <c r="AJ17" s="2889"/>
      <c r="AK17" s="2879"/>
      <c r="AL17" s="2879"/>
      <c r="AM17" s="2886"/>
      <c r="AN17" s="2887"/>
      <c r="AO17" s="2787"/>
      <c r="AP17" s="2787"/>
      <c r="AQ17" s="2212"/>
    </row>
    <row r="18" spans="1:43" s="423" customFormat="1" ht="94.5" x14ac:dyDescent="0.25">
      <c r="A18" s="444"/>
      <c r="B18" s="2084"/>
      <c r="C18" s="2085"/>
      <c r="D18" s="1210"/>
      <c r="E18" s="1667"/>
      <c r="F18" s="531"/>
      <c r="G18" s="1210"/>
      <c r="H18" s="1667"/>
      <c r="I18" s="531"/>
      <c r="J18" s="1200">
        <v>6</v>
      </c>
      <c r="K18" s="1670" t="s">
        <v>2060</v>
      </c>
      <c r="L18" s="1222" t="s">
        <v>2061</v>
      </c>
      <c r="M18" s="1223">
        <v>12</v>
      </c>
      <c r="N18" s="2065"/>
      <c r="O18" s="2220"/>
      <c r="P18" s="2089"/>
      <c r="Q18" s="1218">
        <f>(+V18)/$R$12</f>
        <v>8.2352941176470587E-2</v>
      </c>
      <c r="R18" s="2892"/>
      <c r="S18" s="2089"/>
      <c r="T18" s="2089"/>
      <c r="U18" s="1672" t="s">
        <v>2062</v>
      </c>
      <c r="V18" s="1674">
        <v>7000000</v>
      </c>
      <c r="W18" s="1615">
        <v>20</v>
      </c>
      <c r="X18" s="1200" t="s">
        <v>1901</v>
      </c>
      <c r="Y18" s="2883"/>
      <c r="Z18" s="2878"/>
      <c r="AA18" s="2663"/>
      <c r="AB18" s="2191"/>
      <c r="AC18" s="2191"/>
      <c r="AD18" s="2191"/>
      <c r="AE18" s="2879"/>
      <c r="AF18" s="2879"/>
      <c r="AG18" s="2879"/>
      <c r="AH18" s="2890"/>
      <c r="AI18" s="2890"/>
      <c r="AJ18" s="2890"/>
      <c r="AK18" s="2879"/>
      <c r="AL18" s="2879"/>
      <c r="AM18" s="2886"/>
      <c r="AN18" s="2220"/>
      <c r="AO18" s="2787"/>
      <c r="AP18" s="2787"/>
      <c r="AQ18" s="2212"/>
    </row>
    <row r="19" spans="1:43" x14ac:dyDescent="0.25">
      <c r="A19" s="1675"/>
      <c r="B19" s="1226"/>
      <c r="C19" s="1226"/>
      <c r="D19" s="1210"/>
      <c r="E19" s="1226"/>
      <c r="F19" s="1227"/>
      <c r="G19" s="1664">
        <v>2</v>
      </c>
      <c r="H19" s="399" t="s">
        <v>2063</v>
      </c>
      <c r="I19" s="399"/>
      <c r="J19" s="399"/>
      <c r="K19" s="400"/>
      <c r="L19" s="399"/>
      <c r="M19" s="399"/>
      <c r="N19" s="399"/>
      <c r="O19" s="1035"/>
      <c r="P19" s="400"/>
      <c r="Q19" s="1145"/>
      <c r="R19" s="1061"/>
      <c r="S19" s="400"/>
      <c r="T19" s="400"/>
      <c r="U19" s="400"/>
      <c r="V19" s="403"/>
      <c r="W19" s="1160"/>
      <c r="X19" s="1161"/>
      <c r="Y19" s="399"/>
      <c r="Z19" s="399"/>
      <c r="AA19" s="399"/>
      <c r="AB19" s="399"/>
      <c r="AC19" s="399"/>
      <c r="AD19" s="399"/>
      <c r="AE19" s="399"/>
      <c r="AF19" s="399"/>
      <c r="AG19" s="399"/>
      <c r="AH19" s="399"/>
      <c r="AI19" s="399"/>
      <c r="AJ19" s="399"/>
      <c r="AK19" s="399"/>
      <c r="AL19" s="399"/>
      <c r="AM19" s="399"/>
      <c r="AN19" s="399"/>
      <c r="AO19" s="406"/>
      <c r="AP19" s="406"/>
      <c r="AQ19" s="407"/>
    </row>
    <row r="20" spans="1:43" ht="128.25" customHeight="1" x14ac:dyDescent="0.25">
      <c r="A20" s="1676"/>
      <c r="B20" s="467"/>
      <c r="C20" s="467"/>
      <c r="D20" s="2747"/>
      <c r="E20" s="2748"/>
      <c r="F20" s="2749"/>
      <c r="G20" s="2780"/>
      <c r="H20" s="2780"/>
      <c r="I20" s="2780"/>
      <c r="J20" s="1200">
        <v>8</v>
      </c>
      <c r="K20" s="1197" t="s">
        <v>2064</v>
      </c>
      <c r="L20" s="1222" t="s">
        <v>2065</v>
      </c>
      <c r="M20" s="1231">
        <v>1</v>
      </c>
      <c r="N20" s="2873" t="s">
        <v>2066</v>
      </c>
      <c r="O20" s="2243" t="s">
        <v>2067</v>
      </c>
      <c r="P20" s="2088" t="s">
        <v>2068</v>
      </c>
      <c r="Q20" s="1218">
        <f>V20*1/R20</f>
        <v>0.19</v>
      </c>
      <c r="R20" s="2875">
        <f>SUM(V20:V21)</f>
        <v>200000000</v>
      </c>
      <c r="S20" s="2057" t="s">
        <v>2069</v>
      </c>
      <c r="T20" s="2769" t="s">
        <v>2070</v>
      </c>
      <c r="U20" s="1616" t="s">
        <v>2071</v>
      </c>
      <c r="V20" s="1677">
        <v>38000000</v>
      </c>
      <c r="W20" s="1678">
        <v>20</v>
      </c>
      <c r="X20" s="1231" t="s">
        <v>61</v>
      </c>
      <c r="Y20" s="2866">
        <v>252568</v>
      </c>
      <c r="Z20" s="2868">
        <v>243650</v>
      </c>
      <c r="AA20" s="2834">
        <v>97896</v>
      </c>
      <c r="AB20" s="2864">
        <v>53351</v>
      </c>
      <c r="AC20" s="2864">
        <v>140316</v>
      </c>
      <c r="AD20" s="2864">
        <v>30825</v>
      </c>
      <c r="AE20" s="2862"/>
      <c r="AF20" s="2862"/>
      <c r="AG20" s="2862"/>
      <c r="AH20" s="2862"/>
      <c r="AI20" s="2862"/>
      <c r="AJ20" s="2862"/>
      <c r="AK20" s="2862"/>
      <c r="AL20" s="2862"/>
      <c r="AM20" s="2862"/>
      <c r="AN20" s="2862">
        <f>SUM(Y20:Z21)</f>
        <v>496218</v>
      </c>
      <c r="AO20" s="2863">
        <v>43101</v>
      </c>
      <c r="AP20" s="2812">
        <v>43465</v>
      </c>
      <c r="AQ20" s="2776" t="s">
        <v>2072</v>
      </c>
    </row>
    <row r="21" spans="1:43" ht="45" x14ac:dyDescent="0.25">
      <c r="A21" s="1676"/>
      <c r="B21" s="467"/>
      <c r="C21" s="467"/>
      <c r="D21" s="2750"/>
      <c r="E21" s="2751"/>
      <c r="F21" s="2752"/>
      <c r="G21" s="2780"/>
      <c r="H21" s="2780"/>
      <c r="I21" s="2780"/>
      <c r="J21" s="1200">
        <v>7</v>
      </c>
      <c r="K21" s="1197" t="s">
        <v>2073</v>
      </c>
      <c r="L21" s="1222" t="s">
        <v>2074</v>
      </c>
      <c r="M21" s="1231">
        <v>1</v>
      </c>
      <c r="N21" s="2874"/>
      <c r="O21" s="2740"/>
      <c r="P21" s="2089"/>
      <c r="Q21" s="1218">
        <f>V21*1/R20</f>
        <v>0.81</v>
      </c>
      <c r="R21" s="2875"/>
      <c r="S21" s="2648"/>
      <c r="T21" s="2769"/>
      <c r="U21" s="1616" t="s">
        <v>2073</v>
      </c>
      <c r="V21" s="1679">
        <f>62000000+100000000</f>
        <v>162000000</v>
      </c>
      <c r="W21" s="1678" t="s">
        <v>64</v>
      </c>
      <c r="X21" s="1231" t="s">
        <v>2075</v>
      </c>
      <c r="Y21" s="2867"/>
      <c r="Z21" s="2869"/>
      <c r="AA21" s="2836"/>
      <c r="AB21" s="2865"/>
      <c r="AC21" s="2865"/>
      <c r="AD21" s="2865"/>
      <c r="AE21" s="2862"/>
      <c r="AF21" s="2862"/>
      <c r="AG21" s="2862"/>
      <c r="AH21" s="2862"/>
      <c r="AI21" s="2862"/>
      <c r="AJ21" s="2862"/>
      <c r="AK21" s="2862"/>
      <c r="AL21" s="2862"/>
      <c r="AM21" s="2862"/>
      <c r="AN21" s="2862"/>
      <c r="AO21" s="2863"/>
      <c r="AP21" s="2812"/>
      <c r="AQ21" s="2776"/>
    </row>
    <row r="22" spans="1:43" x14ac:dyDescent="0.25">
      <c r="A22" s="1675"/>
      <c r="B22" s="1226"/>
      <c r="C22" s="1226"/>
      <c r="D22" s="2870"/>
      <c r="E22" s="2871"/>
      <c r="F22" s="2872"/>
      <c r="G22" s="865">
        <v>3</v>
      </c>
      <c r="H22" s="399" t="s">
        <v>2076</v>
      </c>
      <c r="I22" s="399"/>
      <c r="J22" s="399"/>
      <c r="K22" s="400"/>
      <c r="L22" s="399"/>
      <c r="M22" s="399"/>
      <c r="N22" s="399"/>
      <c r="O22" s="1035"/>
      <c r="P22" s="400"/>
      <c r="Q22" s="1145"/>
      <c r="R22" s="1061"/>
      <c r="S22" s="400"/>
      <c r="T22" s="400"/>
      <c r="U22" s="400"/>
      <c r="V22" s="403"/>
      <c r="W22" s="1160"/>
      <c r="X22" s="1161"/>
      <c r="Y22" s="399"/>
      <c r="Z22" s="399"/>
      <c r="AA22" s="399"/>
      <c r="AB22" s="399"/>
      <c r="AC22" s="399"/>
      <c r="AD22" s="399"/>
      <c r="AE22" s="399"/>
      <c r="AF22" s="399"/>
      <c r="AG22" s="399"/>
      <c r="AH22" s="399"/>
      <c r="AI22" s="399"/>
      <c r="AJ22" s="399"/>
      <c r="AK22" s="399"/>
      <c r="AL22" s="399"/>
      <c r="AM22" s="399"/>
      <c r="AN22" s="399"/>
      <c r="AO22" s="406"/>
      <c r="AP22" s="406"/>
      <c r="AQ22" s="407"/>
    </row>
    <row r="23" spans="1:43" ht="41.25" customHeight="1" x14ac:dyDescent="0.25">
      <c r="A23" s="1676"/>
      <c r="B23" s="467"/>
      <c r="C23" s="467"/>
      <c r="D23" s="2859"/>
      <c r="E23" s="2859"/>
      <c r="F23" s="2859"/>
      <c r="G23" s="2780"/>
      <c r="H23" s="2780"/>
      <c r="I23" s="2780"/>
      <c r="J23" s="2086">
        <v>14</v>
      </c>
      <c r="K23" s="2088" t="s">
        <v>2077</v>
      </c>
      <c r="L23" s="2086" t="s">
        <v>2078</v>
      </c>
      <c r="M23" s="2860">
        <v>6</v>
      </c>
      <c r="N23" s="2861" t="s">
        <v>2079</v>
      </c>
      <c r="O23" s="2243" t="s">
        <v>2080</v>
      </c>
      <c r="P23" s="2057" t="s">
        <v>2081</v>
      </c>
      <c r="Q23" s="2622">
        <f>SUM(V23:V25)/R23</f>
        <v>1</v>
      </c>
      <c r="R23" s="2857">
        <f>SUM(V23:V25)</f>
        <v>529872658</v>
      </c>
      <c r="S23" s="2770" t="s">
        <v>2069</v>
      </c>
      <c r="T23" s="2769" t="s">
        <v>2082</v>
      </c>
      <c r="U23" s="431" t="s">
        <v>2083</v>
      </c>
      <c r="V23" s="1679">
        <v>180725334</v>
      </c>
      <c r="W23" s="1678">
        <v>20</v>
      </c>
      <c r="X23" s="1231" t="s">
        <v>1901</v>
      </c>
      <c r="Y23" s="2858">
        <v>35373</v>
      </c>
      <c r="Z23" s="2803">
        <v>33985</v>
      </c>
      <c r="AA23" s="2785">
        <v>16632</v>
      </c>
      <c r="AB23" s="2803">
        <v>3361</v>
      </c>
      <c r="AC23" s="2803">
        <v>39432</v>
      </c>
      <c r="AD23" s="2803">
        <v>9933</v>
      </c>
      <c r="AE23" s="2803"/>
      <c r="AF23" s="2803"/>
      <c r="AG23" s="2803"/>
      <c r="AH23" s="2803"/>
      <c r="AI23" s="2803"/>
      <c r="AJ23" s="2803"/>
      <c r="AK23" s="2803"/>
      <c r="AL23" s="2803"/>
      <c r="AM23" s="2803"/>
      <c r="AN23" s="2803">
        <f>SUM(AA23:AM25)</f>
        <v>69358</v>
      </c>
      <c r="AO23" s="2787">
        <v>43101</v>
      </c>
      <c r="AP23" s="2774">
        <v>43435</v>
      </c>
      <c r="AQ23" s="2776" t="s">
        <v>2072</v>
      </c>
    </row>
    <row r="24" spans="1:43" ht="60" x14ac:dyDescent="0.25">
      <c r="A24" s="1676"/>
      <c r="B24" s="467"/>
      <c r="C24" s="467"/>
      <c r="D24" s="2859"/>
      <c r="E24" s="2859"/>
      <c r="F24" s="2859"/>
      <c r="G24" s="2780"/>
      <c r="H24" s="2780"/>
      <c r="I24" s="2780"/>
      <c r="J24" s="2247"/>
      <c r="K24" s="2185"/>
      <c r="L24" s="2247"/>
      <c r="M24" s="2860"/>
      <c r="N24" s="2861"/>
      <c r="O24" s="2729"/>
      <c r="P24" s="2630"/>
      <c r="Q24" s="2623"/>
      <c r="R24" s="2857"/>
      <c r="S24" s="2828"/>
      <c r="T24" s="2769"/>
      <c r="U24" s="431" t="s">
        <v>2084</v>
      </c>
      <c r="V24" s="1679">
        <v>180725334</v>
      </c>
      <c r="W24" s="1678">
        <v>20</v>
      </c>
      <c r="X24" s="1231" t="s">
        <v>1901</v>
      </c>
      <c r="Y24" s="2858"/>
      <c r="Z24" s="2803"/>
      <c r="AA24" s="2785"/>
      <c r="AB24" s="2803"/>
      <c r="AC24" s="2803"/>
      <c r="AD24" s="2803"/>
      <c r="AE24" s="2803"/>
      <c r="AF24" s="2803"/>
      <c r="AG24" s="2803"/>
      <c r="AH24" s="2803"/>
      <c r="AI24" s="2803"/>
      <c r="AJ24" s="2803"/>
      <c r="AK24" s="2803"/>
      <c r="AL24" s="2803"/>
      <c r="AM24" s="2803"/>
      <c r="AN24" s="2803"/>
      <c r="AO24" s="2787"/>
      <c r="AP24" s="2774"/>
      <c r="AQ24" s="2776"/>
    </row>
    <row r="25" spans="1:43" ht="63.75" customHeight="1" x14ac:dyDescent="0.25">
      <c r="A25" s="1676"/>
      <c r="B25" s="467"/>
      <c r="C25" s="467"/>
      <c r="D25" s="2859"/>
      <c r="E25" s="2859"/>
      <c r="F25" s="2859"/>
      <c r="G25" s="2780"/>
      <c r="H25" s="2780"/>
      <c r="I25" s="2780"/>
      <c r="J25" s="2087"/>
      <c r="K25" s="2089"/>
      <c r="L25" s="2087"/>
      <c r="M25" s="2860"/>
      <c r="N25" s="2861"/>
      <c r="O25" s="2740"/>
      <c r="P25" s="2648"/>
      <c r="Q25" s="2651"/>
      <c r="R25" s="2857"/>
      <c r="S25" s="2821"/>
      <c r="T25" s="2769"/>
      <c r="U25" s="431" t="s">
        <v>2085</v>
      </c>
      <c r="V25" s="1679">
        <v>168421990</v>
      </c>
      <c r="W25" s="1678">
        <v>20</v>
      </c>
      <c r="X25" s="1231" t="s">
        <v>1901</v>
      </c>
      <c r="Y25" s="2858"/>
      <c r="Z25" s="2803"/>
      <c r="AA25" s="2785"/>
      <c r="AB25" s="2803"/>
      <c r="AC25" s="2803"/>
      <c r="AD25" s="2803"/>
      <c r="AE25" s="2803"/>
      <c r="AF25" s="2803"/>
      <c r="AG25" s="2803"/>
      <c r="AH25" s="2803"/>
      <c r="AI25" s="2803"/>
      <c r="AJ25" s="2803"/>
      <c r="AK25" s="2803"/>
      <c r="AL25" s="2803"/>
      <c r="AM25" s="2803"/>
      <c r="AN25" s="2803"/>
      <c r="AO25" s="2787"/>
      <c r="AP25" s="2774"/>
      <c r="AQ25" s="2776"/>
    </row>
    <row r="26" spans="1:43" ht="77.25" customHeight="1" x14ac:dyDescent="0.25">
      <c r="A26" s="1676"/>
      <c r="B26" s="467"/>
      <c r="C26" s="467"/>
      <c r="D26" s="2859"/>
      <c r="E26" s="2859"/>
      <c r="F26" s="2859"/>
      <c r="G26" s="2780"/>
      <c r="H26" s="2780"/>
      <c r="I26" s="2780"/>
      <c r="J26" s="2206">
        <v>15</v>
      </c>
      <c r="K26" s="2088" t="s">
        <v>2086</v>
      </c>
      <c r="L26" s="2086" t="s">
        <v>2087</v>
      </c>
      <c r="M26" s="2334">
        <v>2</v>
      </c>
      <c r="N26" s="2628" t="s">
        <v>2088</v>
      </c>
      <c r="O26" s="2243" t="s">
        <v>2089</v>
      </c>
      <c r="P26" s="2088" t="s">
        <v>2090</v>
      </c>
      <c r="Q26" s="2488">
        <f>SUM(V26:V27)/R26</f>
        <v>0.86289549376797703</v>
      </c>
      <c r="R26" s="2768">
        <f>SUM(V26:V31)</f>
        <v>208600000</v>
      </c>
      <c r="S26" s="2769" t="s">
        <v>2091</v>
      </c>
      <c r="T26" s="2851" t="s">
        <v>2092</v>
      </c>
      <c r="U26" s="1680" t="s">
        <v>2093</v>
      </c>
      <c r="V26" s="1681">
        <v>170000000</v>
      </c>
      <c r="W26" s="1682">
        <v>20</v>
      </c>
      <c r="X26" s="1230" t="s">
        <v>1901</v>
      </c>
      <c r="Y26" s="2854">
        <v>40906</v>
      </c>
      <c r="Z26" s="2825">
        <v>37728</v>
      </c>
      <c r="AA26" s="2785">
        <v>16790</v>
      </c>
      <c r="AB26" s="2825">
        <v>8871</v>
      </c>
      <c r="AC26" s="2825">
        <v>46240</v>
      </c>
      <c r="AD26" s="2825">
        <v>10814</v>
      </c>
      <c r="AE26" s="2785"/>
      <c r="AF26" s="2785"/>
      <c r="AG26" s="2785"/>
      <c r="AH26" s="2785"/>
      <c r="AI26" s="2785"/>
      <c r="AJ26" s="2785"/>
      <c r="AK26" s="2785"/>
      <c r="AL26" s="2785"/>
      <c r="AM26" s="2785"/>
      <c r="AN26" s="2856">
        <f>SUM(Y26:Z31)</f>
        <v>78634</v>
      </c>
      <c r="AO26" s="2787" t="s">
        <v>2094</v>
      </c>
      <c r="AP26" s="2774">
        <v>43435</v>
      </c>
      <c r="AQ26" s="2776" t="s">
        <v>2072</v>
      </c>
    </row>
    <row r="27" spans="1:43" ht="63.75" customHeight="1" x14ac:dyDescent="0.25">
      <c r="A27" s="1676"/>
      <c r="B27" s="467"/>
      <c r="C27" s="467"/>
      <c r="D27" s="2859"/>
      <c r="E27" s="2859"/>
      <c r="F27" s="2859"/>
      <c r="G27" s="2780"/>
      <c r="H27" s="2780"/>
      <c r="I27" s="2780"/>
      <c r="J27" s="2855"/>
      <c r="K27" s="2185"/>
      <c r="L27" s="2087"/>
      <c r="M27" s="2334"/>
      <c r="N27" s="2629"/>
      <c r="O27" s="2729"/>
      <c r="P27" s="2185"/>
      <c r="Q27" s="2488"/>
      <c r="R27" s="2768"/>
      <c r="S27" s="2769"/>
      <c r="T27" s="2852"/>
      <c r="U27" s="1680" t="s">
        <v>2095</v>
      </c>
      <c r="V27" s="1681">
        <v>10000000</v>
      </c>
      <c r="W27" s="1678">
        <v>20</v>
      </c>
      <c r="X27" s="1217" t="s">
        <v>1901</v>
      </c>
      <c r="Y27" s="2854"/>
      <c r="Z27" s="2825"/>
      <c r="AA27" s="2785"/>
      <c r="AB27" s="2825"/>
      <c r="AC27" s="2825"/>
      <c r="AD27" s="2825"/>
      <c r="AE27" s="2785"/>
      <c r="AF27" s="2785"/>
      <c r="AG27" s="2785"/>
      <c r="AH27" s="2785"/>
      <c r="AI27" s="2785"/>
      <c r="AJ27" s="2785"/>
      <c r="AK27" s="2785"/>
      <c r="AL27" s="2785"/>
      <c r="AM27" s="2785"/>
      <c r="AN27" s="2785"/>
      <c r="AO27" s="2787"/>
      <c r="AP27" s="2774"/>
      <c r="AQ27" s="2776"/>
    </row>
    <row r="28" spans="1:43" ht="105" x14ac:dyDescent="0.25">
      <c r="A28" s="1676"/>
      <c r="B28" s="467"/>
      <c r="C28" s="467"/>
      <c r="D28" s="2859"/>
      <c r="E28" s="2859"/>
      <c r="F28" s="2859"/>
      <c r="G28" s="2780"/>
      <c r="H28" s="2780"/>
      <c r="I28" s="2780"/>
      <c r="J28" s="1567">
        <v>16</v>
      </c>
      <c r="K28" s="1212" t="s">
        <v>2096</v>
      </c>
      <c r="L28" s="1222" t="s">
        <v>2097</v>
      </c>
      <c r="M28" s="1221">
        <v>4</v>
      </c>
      <c r="N28" s="2629"/>
      <c r="O28" s="2729"/>
      <c r="P28" s="2185"/>
      <c r="Q28" s="1225">
        <f>V28/$R$26</f>
        <v>2.8763183125599234E-2</v>
      </c>
      <c r="R28" s="2768"/>
      <c r="S28" s="2769"/>
      <c r="T28" s="2852"/>
      <c r="U28" s="1683" t="s">
        <v>2098</v>
      </c>
      <c r="V28" s="1684">
        <v>6000000</v>
      </c>
      <c r="W28" s="1678">
        <v>20</v>
      </c>
      <c r="X28" s="1217" t="s">
        <v>1901</v>
      </c>
      <c r="Y28" s="2854"/>
      <c r="Z28" s="2825"/>
      <c r="AA28" s="2785"/>
      <c r="AB28" s="2825"/>
      <c r="AC28" s="2825"/>
      <c r="AD28" s="2825"/>
      <c r="AE28" s="2785"/>
      <c r="AF28" s="2785"/>
      <c r="AG28" s="2785"/>
      <c r="AH28" s="2785"/>
      <c r="AI28" s="2785"/>
      <c r="AJ28" s="2785"/>
      <c r="AK28" s="2785"/>
      <c r="AL28" s="2785"/>
      <c r="AM28" s="2785"/>
      <c r="AN28" s="2785"/>
      <c r="AO28" s="2787"/>
      <c r="AP28" s="2774"/>
      <c r="AQ28" s="2776"/>
    </row>
    <row r="29" spans="1:43" ht="60" x14ac:dyDescent="0.25">
      <c r="A29" s="1676"/>
      <c r="B29" s="467"/>
      <c r="C29" s="467"/>
      <c r="D29" s="2859"/>
      <c r="E29" s="2859"/>
      <c r="F29" s="2859"/>
      <c r="G29" s="2780"/>
      <c r="H29" s="2780"/>
      <c r="I29" s="2780"/>
      <c r="J29" s="1567">
        <v>18</v>
      </c>
      <c r="K29" s="1196" t="s">
        <v>2099</v>
      </c>
      <c r="L29" s="1222" t="s">
        <v>2100</v>
      </c>
      <c r="M29" s="1221">
        <v>7</v>
      </c>
      <c r="N29" s="2629"/>
      <c r="O29" s="2729"/>
      <c r="P29" s="2185"/>
      <c r="Q29" s="1225">
        <f>V29/$R$26</f>
        <v>4.1227229146692232E-2</v>
      </c>
      <c r="R29" s="2768"/>
      <c r="S29" s="2769"/>
      <c r="T29" s="2853"/>
      <c r="U29" s="1685" t="s">
        <v>2101</v>
      </c>
      <c r="V29" s="1684">
        <v>8600000</v>
      </c>
      <c r="W29" s="1678">
        <v>20</v>
      </c>
      <c r="X29" s="1217" t="s">
        <v>1901</v>
      </c>
      <c r="Y29" s="2854"/>
      <c r="Z29" s="2825"/>
      <c r="AA29" s="2785"/>
      <c r="AB29" s="2825"/>
      <c r="AC29" s="2825"/>
      <c r="AD29" s="2825"/>
      <c r="AE29" s="2785"/>
      <c r="AF29" s="2785"/>
      <c r="AG29" s="2785"/>
      <c r="AH29" s="2785"/>
      <c r="AI29" s="2785"/>
      <c r="AJ29" s="2785"/>
      <c r="AK29" s="2785"/>
      <c r="AL29" s="2785"/>
      <c r="AM29" s="2785"/>
      <c r="AN29" s="2785"/>
      <c r="AO29" s="2787"/>
      <c r="AP29" s="2774"/>
      <c r="AQ29" s="2776"/>
    </row>
    <row r="30" spans="1:43" ht="90" x14ac:dyDescent="0.25">
      <c r="A30" s="1676"/>
      <c r="B30" s="467"/>
      <c r="C30" s="467"/>
      <c r="D30" s="2859"/>
      <c r="E30" s="2859"/>
      <c r="F30" s="2859"/>
      <c r="G30" s="2780"/>
      <c r="H30" s="2780"/>
      <c r="I30" s="2780"/>
      <c r="J30" s="1567">
        <v>19</v>
      </c>
      <c r="K30" s="1197" t="s">
        <v>2102</v>
      </c>
      <c r="L30" s="1222" t="s">
        <v>2103</v>
      </c>
      <c r="M30" s="1221">
        <v>9</v>
      </c>
      <c r="N30" s="2629"/>
      <c r="O30" s="2729"/>
      <c r="P30" s="2185"/>
      <c r="Q30" s="1225">
        <f t="shared" ref="Q30:Q31" si="0">V30/$R$26</f>
        <v>3.3557046979865772E-2</v>
      </c>
      <c r="R30" s="2768"/>
      <c r="S30" s="2769"/>
      <c r="T30" s="1686" t="s">
        <v>2104</v>
      </c>
      <c r="U30" s="1687" t="s">
        <v>2105</v>
      </c>
      <c r="V30" s="1684">
        <v>7000000</v>
      </c>
      <c r="W30" s="1678">
        <v>20</v>
      </c>
      <c r="X30" s="1217" t="s">
        <v>1901</v>
      </c>
      <c r="Y30" s="2854"/>
      <c r="Z30" s="2825"/>
      <c r="AA30" s="2785"/>
      <c r="AB30" s="2825"/>
      <c r="AC30" s="2825"/>
      <c r="AD30" s="2825"/>
      <c r="AE30" s="2785"/>
      <c r="AF30" s="2785"/>
      <c r="AG30" s="2785"/>
      <c r="AH30" s="2785"/>
      <c r="AI30" s="2785"/>
      <c r="AJ30" s="2785"/>
      <c r="AK30" s="2785"/>
      <c r="AL30" s="2785"/>
      <c r="AM30" s="2785"/>
      <c r="AN30" s="2785"/>
      <c r="AO30" s="2787"/>
      <c r="AP30" s="2774"/>
      <c r="AQ30" s="2776"/>
    </row>
    <row r="31" spans="1:43" ht="105" x14ac:dyDescent="0.25">
      <c r="A31" s="1676"/>
      <c r="B31" s="467"/>
      <c r="C31" s="467"/>
      <c r="D31" s="2859"/>
      <c r="E31" s="2859"/>
      <c r="F31" s="2859"/>
      <c r="G31" s="2780"/>
      <c r="H31" s="2780"/>
      <c r="I31" s="2780"/>
      <c r="J31" s="1567">
        <v>20</v>
      </c>
      <c r="K31" s="1197" t="s">
        <v>2106</v>
      </c>
      <c r="L31" s="1222" t="s">
        <v>2107</v>
      </c>
      <c r="M31" s="1195">
        <v>70</v>
      </c>
      <c r="N31" s="2639"/>
      <c r="O31" s="2740"/>
      <c r="P31" s="2089"/>
      <c r="Q31" s="1225">
        <f t="shared" si="0"/>
        <v>3.3557046979865772E-2</v>
      </c>
      <c r="R31" s="2768"/>
      <c r="S31" s="2769"/>
      <c r="T31" s="1232" t="s">
        <v>2108</v>
      </c>
      <c r="U31" s="1568" t="s">
        <v>2109</v>
      </c>
      <c r="V31" s="1681">
        <v>7000000</v>
      </c>
      <c r="W31" s="1678">
        <v>20</v>
      </c>
      <c r="X31" s="1217" t="s">
        <v>1901</v>
      </c>
      <c r="Y31" s="2854"/>
      <c r="Z31" s="2825"/>
      <c r="AA31" s="2785"/>
      <c r="AB31" s="2825"/>
      <c r="AC31" s="2825"/>
      <c r="AD31" s="2825"/>
      <c r="AE31" s="2785"/>
      <c r="AF31" s="2785"/>
      <c r="AG31" s="2785"/>
      <c r="AH31" s="2785"/>
      <c r="AI31" s="2785"/>
      <c r="AJ31" s="2785"/>
      <c r="AK31" s="2785"/>
      <c r="AL31" s="2785"/>
      <c r="AM31" s="2785"/>
      <c r="AN31" s="2785"/>
      <c r="AO31" s="2787"/>
      <c r="AP31" s="2774"/>
      <c r="AQ31" s="2776"/>
    </row>
    <row r="32" spans="1:43" x14ac:dyDescent="0.25">
      <c r="A32" s="1660">
        <v>2</v>
      </c>
      <c r="B32" s="378" t="s">
        <v>1060</v>
      </c>
      <c r="C32" s="378"/>
      <c r="D32" s="378"/>
      <c r="E32" s="378"/>
      <c r="F32" s="378"/>
      <c r="G32" s="378"/>
      <c r="H32" s="378"/>
      <c r="I32" s="378"/>
      <c r="J32" s="378"/>
      <c r="K32" s="379"/>
      <c r="L32" s="378"/>
      <c r="M32" s="378"/>
      <c r="N32" s="378"/>
      <c r="O32" s="384"/>
      <c r="P32" s="379"/>
      <c r="Q32" s="1133"/>
      <c r="R32" s="1661"/>
      <c r="S32" s="379"/>
      <c r="T32" s="379"/>
      <c r="U32" s="379"/>
      <c r="V32" s="382"/>
      <c r="W32" s="1688"/>
      <c r="X32" s="1689"/>
      <c r="Y32" s="378"/>
      <c r="Z32" s="378"/>
      <c r="AA32" s="378"/>
      <c r="AB32" s="378"/>
      <c r="AC32" s="378"/>
      <c r="AD32" s="378"/>
      <c r="AE32" s="378"/>
      <c r="AF32" s="378"/>
      <c r="AG32" s="378"/>
      <c r="AH32" s="378"/>
      <c r="AI32" s="378"/>
      <c r="AJ32" s="378"/>
      <c r="AK32" s="378"/>
      <c r="AL32" s="378"/>
      <c r="AM32" s="378"/>
      <c r="AN32" s="378"/>
      <c r="AO32" s="385"/>
      <c r="AP32" s="385"/>
      <c r="AQ32" s="386"/>
    </row>
    <row r="33" spans="1:43" x14ac:dyDescent="0.25">
      <c r="A33" s="1201"/>
      <c r="B33" s="1204"/>
      <c r="C33" s="1205"/>
      <c r="D33" s="1690">
        <v>2</v>
      </c>
      <c r="E33" s="510" t="s">
        <v>1061</v>
      </c>
      <c r="F33" s="510"/>
      <c r="G33" s="388"/>
      <c r="H33" s="388"/>
      <c r="I33" s="388"/>
      <c r="J33" s="388"/>
      <c r="K33" s="389"/>
      <c r="L33" s="388"/>
      <c r="M33" s="388"/>
      <c r="N33" s="388"/>
      <c r="O33" s="394"/>
      <c r="P33" s="389"/>
      <c r="Q33" s="1139"/>
      <c r="R33" s="1663"/>
      <c r="S33" s="389"/>
      <c r="T33" s="389"/>
      <c r="U33" s="389"/>
      <c r="V33" s="392"/>
      <c r="W33" s="393"/>
      <c r="X33" s="394"/>
      <c r="Y33" s="388"/>
      <c r="Z33" s="388"/>
      <c r="AA33" s="388"/>
      <c r="AB33" s="388"/>
      <c r="AC33" s="388"/>
      <c r="AD33" s="388"/>
      <c r="AE33" s="388"/>
      <c r="AF33" s="388"/>
      <c r="AG33" s="388"/>
      <c r="AH33" s="388"/>
      <c r="AI33" s="388"/>
      <c r="AJ33" s="388"/>
      <c r="AK33" s="388"/>
      <c r="AL33" s="388"/>
      <c r="AM33" s="388"/>
      <c r="AN33" s="388"/>
      <c r="AO33" s="395"/>
      <c r="AP33" s="395"/>
      <c r="AQ33" s="396"/>
    </row>
    <row r="34" spans="1:43" x14ac:dyDescent="0.25">
      <c r="A34" s="1202"/>
      <c r="B34" s="1207"/>
      <c r="C34" s="1207"/>
      <c r="D34" s="1203"/>
      <c r="E34" s="1204"/>
      <c r="F34" s="1205"/>
      <c r="G34" s="865">
        <v>4</v>
      </c>
      <c r="H34" s="399" t="s">
        <v>2110</v>
      </c>
      <c r="I34" s="399"/>
      <c r="J34" s="399"/>
      <c r="K34" s="400"/>
      <c r="L34" s="399"/>
      <c r="M34" s="399"/>
      <c r="N34" s="399"/>
      <c r="O34" s="1035"/>
      <c r="P34" s="400"/>
      <c r="Q34" s="1145"/>
      <c r="R34" s="1061"/>
      <c r="S34" s="400"/>
      <c r="T34" s="400"/>
      <c r="U34" s="400"/>
      <c r="V34" s="403"/>
      <c r="W34" s="404"/>
      <c r="X34" s="405"/>
      <c r="Y34" s="399"/>
      <c r="Z34" s="399"/>
      <c r="AA34" s="399"/>
      <c r="AB34" s="399"/>
      <c r="AC34" s="399"/>
      <c r="AD34" s="399"/>
      <c r="AE34" s="399"/>
      <c r="AF34" s="399"/>
      <c r="AG34" s="399"/>
      <c r="AH34" s="399"/>
      <c r="AI34" s="399"/>
      <c r="AJ34" s="399"/>
      <c r="AK34" s="399"/>
      <c r="AL34" s="399"/>
      <c r="AM34" s="399"/>
      <c r="AN34" s="399"/>
      <c r="AO34" s="406"/>
      <c r="AP34" s="406"/>
      <c r="AQ34" s="407"/>
    </row>
    <row r="35" spans="1:43" ht="78.75" customHeight="1" x14ac:dyDescent="0.25">
      <c r="A35" s="1691"/>
      <c r="B35" s="843"/>
      <c r="C35" s="843"/>
      <c r="D35" s="985"/>
      <c r="E35" s="843"/>
      <c r="F35" s="986"/>
      <c r="G35" s="984"/>
      <c r="H35" s="484"/>
      <c r="I35" s="833"/>
      <c r="J35" s="2628">
        <v>21</v>
      </c>
      <c r="K35" s="2628" t="s">
        <v>2111</v>
      </c>
      <c r="L35" s="2628" t="s">
        <v>2112</v>
      </c>
      <c r="M35" s="2314">
        <v>100</v>
      </c>
      <c r="N35" s="2055" t="s">
        <v>2113</v>
      </c>
      <c r="O35" s="2243" t="s">
        <v>2114</v>
      </c>
      <c r="P35" s="2088" t="s">
        <v>2115</v>
      </c>
      <c r="Q35" s="2772">
        <f>SUM(V35:V36)*1/R35</f>
        <v>0.19393939393939394</v>
      </c>
      <c r="R35" s="2843">
        <f>SUM(V35:V42)</f>
        <v>330000000</v>
      </c>
      <c r="S35" s="2770" t="s">
        <v>2116</v>
      </c>
      <c r="T35" s="2844" t="s">
        <v>2117</v>
      </c>
      <c r="U35" s="431" t="s">
        <v>2118</v>
      </c>
      <c r="V35" s="1692">
        <f>30000000+20000000</f>
        <v>50000000</v>
      </c>
      <c r="W35" s="1678" t="s">
        <v>2119</v>
      </c>
      <c r="X35" s="1231" t="s">
        <v>2120</v>
      </c>
      <c r="Y35" s="2847">
        <v>40</v>
      </c>
      <c r="Z35" s="2831">
        <v>60</v>
      </c>
      <c r="AA35" s="2834">
        <v>10</v>
      </c>
      <c r="AB35" s="2837">
        <v>20</v>
      </c>
      <c r="AC35" s="2837">
        <v>30</v>
      </c>
      <c r="AD35" s="2837">
        <v>40</v>
      </c>
      <c r="AE35" s="2840">
        <v>5</v>
      </c>
      <c r="AF35" s="2829"/>
      <c r="AG35" s="2829"/>
      <c r="AH35" s="2829"/>
      <c r="AI35" s="2829"/>
      <c r="AJ35" s="2829"/>
      <c r="AK35" s="2850">
        <v>5</v>
      </c>
      <c r="AL35" s="2829"/>
      <c r="AM35" s="2829"/>
      <c r="AN35" s="2830">
        <v>100</v>
      </c>
      <c r="AO35" s="2787">
        <v>43101</v>
      </c>
      <c r="AP35" s="2774">
        <v>43435</v>
      </c>
      <c r="AQ35" s="2776" t="s">
        <v>2072</v>
      </c>
    </row>
    <row r="36" spans="1:43" ht="63" customHeight="1" x14ac:dyDescent="0.25">
      <c r="A36" s="1691"/>
      <c r="B36" s="843"/>
      <c r="C36" s="843"/>
      <c r="D36" s="985"/>
      <c r="E36" s="843"/>
      <c r="F36" s="986"/>
      <c r="G36" s="985"/>
      <c r="H36" s="843"/>
      <c r="I36" s="986"/>
      <c r="J36" s="2639"/>
      <c r="K36" s="2639"/>
      <c r="L36" s="2639"/>
      <c r="M36" s="2317"/>
      <c r="N36" s="2085"/>
      <c r="O36" s="2729"/>
      <c r="P36" s="2185"/>
      <c r="Q36" s="2773"/>
      <c r="R36" s="2843"/>
      <c r="S36" s="2828"/>
      <c r="T36" s="2845"/>
      <c r="U36" s="431" t="s">
        <v>2121</v>
      </c>
      <c r="V36" s="1692">
        <v>14000000</v>
      </c>
      <c r="W36" s="1678">
        <v>20</v>
      </c>
      <c r="X36" s="1231" t="s">
        <v>1901</v>
      </c>
      <c r="Y36" s="2848"/>
      <c r="Z36" s="2832"/>
      <c r="AA36" s="2835"/>
      <c r="AB36" s="2838"/>
      <c r="AC36" s="2838"/>
      <c r="AD36" s="2838"/>
      <c r="AE36" s="2841"/>
      <c r="AF36" s="2829"/>
      <c r="AG36" s="2829"/>
      <c r="AH36" s="2829"/>
      <c r="AI36" s="2829"/>
      <c r="AJ36" s="2829"/>
      <c r="AK36" s="2850"/>
      <c r="AL36" s="2829"/>
      <c r="AM36" s="2829"/>
      <c r="AN36" s="2830"/>
      <c r="AO36" s="2787"/>
      <c r="AP36" s="2774"/>
      <c r="AQ36" s="2776"/>
    </row>
    <row r="37" spans="1:43" ht="135" x14ac:dyDescent="0.25">
      <c r="A37" s="1691"/>
      <c r="B37" s="843"/>
      <c r="C37" s="843"/>
      <c r="D37" s="985"/>
      <c r="E37" s="843"/>
      <c r="F37" s="986"/>
      <c r="G37" s="985"/>
      <c r="H37" s="843"/>
      <c r="I37" s="986"/>
      <c r="J37" s="2314">
        <v>22</v>
      </c>
      <c r="K37" s="2335" t="s">
        <v>2122</v>
      </c>
      <c r="L37" s="2335" t="s">
        <v>2123</v>
      </c>
      <c r="M37" s="2334">
        <v>2</v>
      </c>
      <c r="N37" s="2085"/>
      <c r="O37" s="2729"/>
      <c r="P37" s="2185"/>
      <c r="Q37" s="2772">
        <f>SUM(V37:V38)*1/R35</f>
        <v>8.4848484848484854E-2</v>
      </c>
      <c r="R37" s="2843"/>
      <c r="S37" s="2828"/>
      <c r="T37" s="2845"/>
      <c r="U37" s="1693" t="s">
        <v>2124</v>
      </c>
      <c r="V37" s="1692">
        <v>10000000</v>
      </c>
      <c r="W37" s="1678">
        <v>20</v>
      </c>
      <c r="X37" s="1231" t="s">
        <v>1901</v>
      </c>
      <c r="Y37" s="2848"/>
      <c r="Z37" s="2832"/>
      <c r="AA37" s="2835"/>
      <c r="AB37" s="2838"/>
      <c r="AC37" s="2838"/>
      <c r="AD37" s="2838"/>
      <c r="AE37" s="2841"/>
      <c r="AF37" s="2829"/>
      <c r="AG37" s="2829"/>
      <c r="AH37" s="2829"/>
      <c r="AI37" s="2829"/>
      <c r="AJ37" s="2829"/>
      <c r="AK37" s="2850"/>
      <c r="AL37" s="2829"/>
      <c r="AM37" s="2829"/>
      <c r="AN37" s="2830"/>
      <c r="AO37" s="2787"/>
      <c r="AP37" s="2774"/>
      <c r="AQ37" s="2776"/>
    </row>
    <row r="38" spans="1:43" ht="105" x14ac:dyDescent="0.25">
      <c r="A38" s="1691"/>
      <c r="B38" s="843"/>
      <c r="C38" s="843"/>
      <c r="D38" s="985"/>
      <c r="E38" s="843"/>
      <c r="F38" s="986"/>
      <c r="G38" s="985"/>
      <c r="H38" s="843"/>
      <c r="I38" s="986"/>
      <c r="J38" s="2317"/>
      <c r="K38" s="2335"/>
      <c r="L38" s="2335"/>
      <c r="M38" s="2334"/>
      <c r="N38" s="2085"/>
      <c r="O38" s="2729"/>
      <c r="P38" s="2185"/>
      <c r="Q38" s="2773"/>
      <c r="R38" s="2843"/>
      <c r="S38" s="2828"/>
      <c r="T38" s="2846"/>
      <c r="U38" s="1693" t="s">
        <v>2125</v>
      </c>
      <c r="V38" s="1692">
        <v>18000000</v>
      </c>
      <c r="W38" s="1678">
        <v>20</v>
      </c>
      <c r="X38" s="1231" t="s">
        <v>1901</v>
      </c>
      <c r="Y38" s="2848"/>
      <c r="Z38" s="2832"/>
      <c r="AA38" s="2835"/>
      <c r="AB38" s="2838"/>
      <c r="AC38" s="2838"/>
      <c r="AD38" s="2838"/>
      <c r="AE38" s="2841"/>
      <c r="AF38" s="2829"/>
      <c r="AG38" s="2829"/>
      <c r="AH38" s="2829"/>
      <c r="AI38" s="2829"/>
      <c r="AJ38" s="2829"/>
      <c r="AK38" s="2850"/>
      <c r="AL38" s="2829"/>
      <c r="AM38" s="2829"/>
      <c r="AN38" s="2830"/>
      <c r="AO38" s="2787"/>
      <c r="AP38" s="2774"/>
      <c r="AQ38" s="2776"/>
    </row>
    <row r="39" spans="1:43" ht="82.5" customHeight="1" x14ac:dyDescent="0.25">
      <c r="A39" s="1691"/>
      <c r="B39" s="843"/>
      <c r="C39" s="843"/>
      <c r="D39" s="985"/>
      <c r="E39" s="843"/>
      <c r="F39" s="986"/>
      <c r="G39" s="985"/>
      <c r="H39" s="843"/>
      <c r="I39" s="986"/>
      <c r="J39" s="2314">
        <v>23</v>
      </c>
      <c r="K39" s="2308" t="s">
        <v>2126</v>
      </c>
      <c r="L39" s="2308" t="s">
        <v>2127</v>
      </c>
      <c r="M39" s="2047">
        <v>1</v>
      </c>
      <c r="N39" s="2085"/>
      <c r="O39" s="2729"/>
      <c r="P39" s="2185"/>
      <c r="Q39" s="2488">
        <f>SUM(V39:V41)*1/R35</f>
        <v>0.43636363636363634</v>
      </c>
      <c r="R39" s="2843"/>
      <c r="S39" s="2828"/>
      <c r="T39" s="2088" t="s">
        <v>2128</v>
      </c>
      <c r="U39" s="431" t="s">
        <v>2129</v>
      </c>
      <c r="V39" s="1694">
        <v>60000000</v>
      </c>
      <c r="W39" s="1678">
        <v>20</v>
      </c>
      <c r="X39" s="1231" t="s">
        <v>1901</v>
      </c>
      <c r="Y39" s="2848"/>
      <c r="Z39" s="2832"/>
      <c r="AA39" s="2835"/>
      <c r="AB39" s="2838"/>
      <c r="AC39" s="2838"/>
      <c r="AD39" s="2838"/>
      <c r="AE39" s="2841"/>
      <c r="AF39" s="2829"/>
      <c r="AG39" s="2829"/>
      <c r="AH39" s="2829"/>
      <c r="AI39" s="2829"/>
      <c r="AJ39" s="2829"/>
      <c r="AK39" s="2850"/>
      <c r="AL39" s="2829"/>
      <c r="AM39" s="2829"/>
      <c r="AN39" s="2830"/>
      <c r="AO39" s="2787"/>
      <c r="AP39" s="2774"/>
      <c r="AQ39" s="2776"/>
    </row>
    <row r="40" spans="1:43" ht="90" x14ac:dyDescent="0.25">
      <c r="A40" s="1691"/>
      <c r="B40" s="843"/>
      <c r="C40" s="843"/>
      <c r="D40" s="985"/>
      <c r="E40" s="843"/>
      <c r="F40" s="986"/>
      <c r="G40" s="985"/>
      <c r="H40" s="843"/>
      <c r="I40" s="986"/>
      <c r="J40" s="2307"/>
      <c r="K40" s="2309"/>
      <c r="L40" s="2309"/>
      <c r="M40" s="2047"/>
      <c r="N40" s="2085"/>
      <c r="O40" s="2729"/>
      <c r="P40" s="2185"/>
      <c r="Q40" s="2488"/>
      <c r="R40" s="2843"/>
      <c r="S40" s="2828"/>
      <c r="T40" s="2185"/>
      <c r="U40" s="1212" t="s">
        <v>2130</v>
      </c>
      <c r="V40" s="1694">
        <f>14000000+20000000</f>
        <v>34000000</v>
      </c>
      <c r="W40" s="1678" t="s">
        <v>2119</v>
      </c>
      <c r="X40" s="1231" t="s">
        <v>2120</v>
      </c>
      <c r="Y40" s="2848"/>
      <c r="Z40" s="2832"/>
      <c r="AA40" s="2835"/>
      <c r="AB40" s="2838"/>
      <c r="AC40" s="2838"/>
      <c r="AD40" s="2838"/>
      <c r="AE40" s="2841"/>
      <c r="AF40" s="2829"/>
      <c r="AG40" s="2829"/>
      <c r="AH40" s="2829"/>
      <c r="AI40" s="2829"/>
      <c r="AJ40" s="2829"/>
      <c r="AK40" s="2850"/>
      <c r="AL40" s="2829"/>
      <c r="AM40" s="2829"/>
      <c r="AN40" s="2830"/>
      <c r="AO40" s="2787"/>
      <c r="AP40" s="2774"/>
      <c r="AQ40" s="2776"/>
    </row>
    <row r="41" spans="1:43" ht="45" x14ac:dyDescent="0.25">
      <c r="A41" s="1691"/>
      <c r="B41" s="843"/>
      <c r="C41" s="843"/>
      <c r="D41" s="985"/>
      <c r="E41" s="843"/>
      <c r="F41" s="986"/>
      <c r="G41" s="985"/>
      <c r="H41" s="843"/>
      <c r="I41" s="986"/>
      <c r="J41" s="2317"/>
      <c r="K41" s="2310"/>
      <c r="L41" s="2310"/>
      <c r="M41" s="2047"/>
      <c r="N41" s="2085"/>
      <c r="O41" s="2729"/>
      <c r="P41" s="2185"/>
      <c r="Q41" s="2488"/>
      <c r="R41" s="2843"/>
      <c r="S41" s="2828"/>
      <c r="T41" s="2185"/>
      <c r="U41" s="431" t="s">
        <v>2131</v>
      </c>
      <c r="V41" s="1692">
        <f>40000000+10000000</f>
        <v>50000000</v>
      </c>
      <c r="W41" s="1678" t="s">
        <v>2119</v>
      </c>
      <c r="X41" s="1231" t="s">
        <v>2120</v>
      </c>
      <c r="Y41" s="2848"/>
      <c r="Z41" s="2832"/>
      <c r="AA41" s="2835"/>
      <c r="AB41" s="2838"/>
      <c r="AC41" s="2838"/>
      <c r="AD41" s="2838"/>
      <c r="AE41" s="2841"/>
      <c r="AF41" s="2829"/>
      <c r="AG41" s="2829"/>
      <c r="AH41" s="2829"/>
      <c r="AI41" s="2829"/>
      <c r="AJ41" s="2829"/>
      <c r="AK41" s="2850"/>
      <c r="AL41" s="2829"/>
      <c r="AM41" s="2829"/>
      <c r="AN41" s="2830"/>
      <c r="AO41" s="2787"/>
      <c r="AP41" s="2774"/>
      <c r="AQ41" s="2776"/>
    </row>
    <row r="42" spans="1:43" ht="99.75" customHeight="1" x14ac:dyDescent="0.25">
      <c r="A42" s="1691"/>
      <c r="B42" s="843"/>
      <c r="C42" s="843"/>
      <c r="D42" s="985"/>
      <c r="E42" s="843"/>
      <c r="F42" s="986"/>
      <c r="G42" s="998"/>
      <c r="H42" s="1695"/>
      <c r="I42" s="999"/>
      <c r="J42" s="1221">
        <v>24</v>
      </c>
      <c r="K42" s="1222" t="s">
        <v>2132</v>
      </c>
      <c r="L42" s="1222" t="s">
        <v>2133</v>
      </c>
      <c r="M42" s="1195">
        <v>0</v>
      </c>
      <c r="N42" s="2737"/>
      <c r="O42" s="2740"/>
      <c r="P42" s="2089"/>
      <c r="Q42" s="1225">
        <f>V42*1/R35</f>
        <v>0.28484848484848485</v>
      </c>
      <c r="R42" s="2843"/>
      <c r="S42" s="2821"/>
      <c r="T42" s="2089"/>
      <c r="U42" s="1197" t="s">
        <v>2134</v>
      </c>
      <c r="V42" s="1696">
        <f>44000000+50000000</f>
        <v>94000000</v>
      </c>
      <c r="W42" s="1678" t="s">
        <v>2119</v>
      </c>
      <c r="X42" s="1231" t="s">
        <v>2120</v>
      </c>
      <c r="Y42" s="2849"/>
      <c r="Z42" s="2833"/>
      <c r="AA42" s="2836"/>
      <c r="AB42" s="2839"/>
      <c r="AC42" s="2839"/>
      <c r="AD42" s="2839"/>
      <c r="AE42" s="2842"/>
      <c r="AF42" s="2829"/>
      <c r="AG42" s="2829"/>
      <c r="AH42" s="2829"/>
      <c r="AI42" s="2829"/>
      <c r="AJ42" s="2829"/>
      <c r="AK42" s="2850"/>
      <c r="AL42" s="2829"/>
      <c r="AM42" s="2829"/>
      <c r="AN42" s="2830"/>
      <c r="AO42" s="2787"/>
      <c r="AP42" s="2774"/>
      <c r="AQ42" s="2776"/>
    </row>
    <row r="43" spans="1:43" x14ac:dyDescent="0.25">
      <c r="A43" s="1202"/>
      <c r="B43" s="1207"/>
      <c r="C43" s="1207"/>
      <c r="D43" s="1206"/>
      <c r="E43" s="1207"/>
      <c r="F43" s="1208"/>
      <c r="G43" s="1697">
        <v>5</v>
      </c>
      <c r="H43" s="754" t="s">
        <v>2135</v>
      </c>
      <c r="I43" s="754"/>
      <c r="J43" s="399"/>
      <c r="K43" s="400"/>
      <c r="L43" s="399"/>
      <c r="M43" s="399"/>
      <c r="N43" s="399"/>
      <c r="O43" s="1035"/>
      <c r="P43" s="400"/>
      <c r="Q43" s="1145"/>
      <c r="R43" s="1061"/>
      <c r="S43" s="400"/>
      <c r="T43" s="400"/>
      <c r="U43" s="400"/>
      <c r="V43" s="403"/>
      <c r="W43" s="1698"/>
      <c r="X43" s="1699"/>
      <c r="Y43" s="399"/>
      <c r="Z43" s="399"/>
      <c r="AA43" s="399"/>
      <c r="AB43" s="399"/>
      <c r="AC43" s="399"/>
      <c r="AD43" s="399"/>
      <c r="AE43" s="399"/>
      <c r="AF43" s="399"/>
      <c r="AG43" s="399"/>
      <c r="AH43" s="399"/>
      <c r="AI43" s="399"/>
      <c r="AJ43" s="399"/>
      <c r="AK43" s="399"/>
      <c r="AL43" s="399"/>
      <c r="AM43" s="399"/>
      <c r="AN43" s="399"/>
      <c r="AO43" s="406"/>
      <c r="AP43" s="406"/>
      <c r="AQ43" s="407"/>
    </row>
    <row r="44" spans="1:43" ht="151.5" customHeight="1" x14ac:dyDescent="0.25">
      <c r="A44" s="1691"/>
      <c r="B44" s="843"/>
      <c r="C44" s="843"/>
      <c r="D44" s="985"/>
      <c r="E44" s="843"/>
      <c r="F44" s="843"/>
      <c r="G44" s="984"/>
      <c r="H44" s="484"/>
      <c r="I44" s="833"/>
      <c r="J44" s="2439">
        <v>25</v>
      </c>
      <c r="K44" s="2308" t="s">
        <v>2136</v>
      </c>
      <c r="L44" s="2308" t="s">
        <v>2137</v>
      </c>
      <c r="M44" s="2334">
        <v>2</v>
      </c>
      <c r="N44" s="440"/>
      <c r="O44" s="2243" t="s">
        <v>2138</v>
      </c>
      <c r="P44" s="2057" t="s">
        <v>2139</v>
      </c>
      <c r="Q44" s="2488">
        <f>SUM(V44:V46)*1/R44</f>
        <v>0.62552126772310257</v>
      </c>
      <c r="R44" s="2801">
        <f>SUM(V44:V50)</f>
        <v>1199000000</v>
      </c>
      <c r="S44" s="2769" t="s">
        <v>2140</v>
      </c>
      <c r="T44" s="2770" t="s">
        <v>2141</v>
      </c>
      <c r="U44" s="1199" t="s">
        <v>2142</v>
      </c>
      <c r="V44" s="1700">
        <v>530000000</v>
      </c>
      <c r="W44" s="1217">
        <v>20</v>
      </c>
      <c r="X44" s="1228" t="s">
        <v>2143</v>
      </c>
      <c r="Y44" s="2789">
        <v>600</v>
      </c>
      <c r="Z44" s="2789">
        <v>600</v>
      </c>
      <c r="AA44" s="2825">
        <v>125</v>
      </c>
      <c r="AB44" s="2789">
        <v>75</v>
      </c>
      <c r="AC44" s="2789">
        <v>300</v>
      </c>
      <c r="AD44" s="2789">
        <v>700</v>
      </c>
      <c r="AE44" s="2789">
        <v>50</v>
      </c>
      <c r="AF44" s="2789">
        <v>30</v>
      </c>
      <c r="AG44" s="2825"/>
      <c r="AH44" s="2825"/>
      <c r="AI44" s="2825"/>
      <c r="AJ44" s="2825"/>
      <c r="AK44" s="2782">
        <v>10</v>
      </c>
      <c r="AL44" s="2782">
        <v>10</v>
      </c>
      <c r="AM44" s="2786"/>
      <c r="AN44" s="2822">
        <f>SUM(Y44:Z50)</f>
        <v>1200</v>
      </c>
      <c r="AO44" s="2787">
        <v>43101</v>
      </c>
      <c r="AP44" s="2774">
        <v>43435</v>
      </c>
      <c r="AQ44" s="2212" t="s">
        <v>2072</v>
      </c>
    </row>
    <row r="45" spans="1:43" ht="75" x14ac:dyDescent="0.25">
      <c r="A45" s="1691"/>
      <c r="B45" s="843"/>
      <c r="C45" s="843"/>
      <c r="D45" s="985"/>
      <c r="E45" s="843"/>
      <c r="F45" s="843"/>
      <c r="G45" s="985"/>
      <c r="H45" s="843"/>
      <c r="I45" s="986"/>
      <c r="J45" s="2442"/>
      <c r="K45" s="2309"/>
      <c r="L45" s="2309"/>
      <c r="M45" s="2334"/>
      <c r="N45" s="443"/>
      <c r="O45" s="2729"/>
      <c r="P45" s="2630"/>
      <c r="Q45" s="2488"/>
      <c r="R45" s="2826"/>
      <c r="S45" s="2769"/>
      <c r="T45" s="2828"/>
      <c r="U45" s="1199" t="s">
        <v>2144</v>
      </c>
      <c r="V45" s="1700">
        <v>20000000</v>
      </c>
      <c r="W45" s="1217">
        <v>20</v>
      </c>
      <c r="X45" s="1228" t="s">
        <v>2143</v>
      </c>
      <c r="Y45" s="2789"/>
      <c r="Z45" s="2789"/>
      <c r="AA45" s="2825"/>
      <c r="AB45" s="2789"/>
      <c r="AC45" s="2789"/>
      <c r="AD45" s="2789"/>
      <c r="AE45" s="2789"/>
      <c r="AF45" s="2789"/>
      <c r="AG45" s="2825"/>
      <c r="AH45" s="2825"/>
      <c r="AI45" s="2825"/>
      <c r="AJ45" s="2825"/>
      <c r="AK45" s="2782"/>
      <c r="AL45" s="2782"/>
      <c r="AM45" s="2809"/>
      <c r="AN45" s="2823"/>
      <c r="AO45" s="2787"/>
      <c r="AP45" s="2774"/>
      <c r="AQ45" s="2212"/>
    </row>
    <row r="46" spans="1:43" ht="75" x14ac:dyDescent="0.25">
      <c r="A46" s="1691"/>
      <c r="B46" s="843"/>
      <c r="C46" s="843"/>
      <c r="D46" s="985"/>
      <c r="E46" s="843"/>
      <c r="F46" s="843"/>
      <c r="G46" s="985"/>
      <c r="H46" s="843"/>
      <c r="I46" s="986"/>
      <c r="J46" s="2442"/>
      <c r="K46" s="2309"/>
      <c r="L46" s="2309"/>
      <c r="M46" s="2334"/>
      <c r="N46" s="443" t="s">
        <v>2145</v>
      </c>
      <c r="O46" s="2729"/>
      <c r="P46" s="2630"/>
      <c r="Q46" s="2488"/>
      <c r="R46" s="2826"/>
      <c r="S46" s="2769"/>
      <c r="T46" s="2828"/>
      <c r="U46" s="520" t="s">
        <v>2146</v>
      </c>
      <c r="V46" s="1700">
        <v>200000000</v>
      </c>
      <c r="W46" s="1217">
        <v>20</v>
      </c>
      <c r="X46" s="1228" t="s">
        <v>2143</v>
      </c>
      <c r="Y46" s="2789"/>
      <c r="Z46" s="2789"/>
      <c r="AA46" s="2825"/>
      <c r="AB46" s="2789"/>
      <c r="AC46" s="2789"/>
      <c r="AD46" s="2789"/>
      <c r="AE46" s="2789"/>
      <c r="AF46" s="2789"/>
      <c r="AG46" s="2825"/>
      <c r="AH46" s="2825"/>
      <c r="AI46" s="2825"/>
      <c r="AJ46" s="2825"/>
      <c r="AK46" s="2782"/>
      <c r="AL46" s="2782"/>
      <c r="AM46" s="2809"/>
      <c r="AN46" s="2823"/>
      <c r="AO46" s="2787"/>
      <c r="AP46" s="2774"/>
      <c r="AQ46" s="2212"/>
    </row>
    <row r="47" spans="1:43" ht="88.5" customHeight="1" x14ac:dyDescent="0.25">
      <c r="A47" s="1691"/>
      <c r="B47" s="843"/>
      <c r="C47" s="843"/>
      <c r="D47" s="985"/>
      <c r="E47" s="843"/>
      <c r="F47" s="843"/>
      <c r="G47" s="985"/>
      <c r="H47" s="843"/>
      <c r="I47" s="986"/>
      <c r="J47" s="1224">
        <v>26</v>
      </c>
      <c r="K47" s="2314" t="s">
        <v>2147</v>
      </c>
      <c r="L47" s="2314" t="s">
        <v>2148</v>
      </c>
      <c r="M47" s="2314">
        <v>1</v>
      </c>
      <c r="N47" s="443" t="s">
        <v>2145</v>
      </c>
      <c r="O47" s="2729"/>
      <c r="P47" s="2630"/>
      <c r="Q47" s="2772">
        <f>SUM(V47:V48*1/R44)</f>
        <v>0.35446205170975814</v>
      </c>
      <c r="R47" s="2826"/>
      <c r="S47" s="2769"/>
      <c r="T47" s="2770" t="s">
        <v>2149</v>
      </c>
      <c r="U47" s="519" t="s">
        <v>2150</v>
      </c>
      <c r="V47" s="1700">
        <v>425000000</v>
      </c>
      <c r="W47" s="1217">
        <v>20</v>
      </c>
      <c r="X47" s="1228" t="s">
        <v>2143</v>
      </c>
      <c r="Y47" s="2789"/>
      <c r="Z47" s="2789"/>
      <c r="AA47" s="2825"/>
      <c r="AB47" s="2789"/>
      <c r="AC47" s="2789"/>
      <c r="AD47" s="2789"/>
      <c r="AE47" s="2789"/>
      <c r="AF47" s="2789"/>
      <c r="AG47" s="2825"/>
      <c r="AH47" s="2825"/>
      <c r="AI47" s="2825"/>
      <c r="AJ47" s="2825"/>
      <c r="AK47" s="2782"/>
      <c r="AL47" s="2782"/>
      <c r="AM47" s="2809"/>
      <c r="AN47" s="2823"/>
      <c r="AO47" s="2787"/>
      <c r="AP47" s="2774"/>
      <c r="AQ47" s="2212"/>
    </row>
    <row r="48" spans="1:43" ht="46.5" customHeight="1" x14ac:dyDescent="0.25">
      <c r="A48" s="1691"/>
      <c r="B48" s="843"/>
      <c r="C48" s="843"/>
      <c r="D48" s="985"/>
      <c r="E48" s="843"/>
      <c r="F48" s="843"/>
      <c r="G48" s="985"/>
      <c r="H48" s="843"/>
      <c r="I48" s="986"/>
      <c r="J48" s="1701"/>
      <c r="K48" s="2317"/>
      <c r="L48" s="2317"/>
      <c r="M48" s="2317"/>
      <c r="N48" s="443"/>
      <c r="O48" s="2729"/>
      <c r="P48" s="2630"/>
      <c r="Q48" s="2773"/>
      <c r="R48" s="2826"/>
      <c r="S48" s="2769"/>
      <c r="T48" s="2821"/>
      <c r="U48" s="520" t="s">
        <v>2151</v>
      </c>
      <c r="V48" s="1700">
        <v>3000000</v>
      </c>
      <c r="W48" s="1217">
        <v>20</v>
      </c>
      <c r="X48" s="1228" t="s">
        <v>2143</v>
      </c>
      <c r="Y48" s="2789"/>
      <c r="Z48" s="2789"/>
      <c r="AA48" s="2825"/>
      <c r="AB48" s="2789"/>
      <c r="AC48" s="2789"/>
      <c r="AD48" s="2789"/>
      <c r="AE48" s="2789"/>
      <c r="AF48" s="2789"/>
      <c r="AG48" s="2825"/>
      <c r="AH48" s="2825"/>
      <c r="AI48" s="2825"/>
      <c r="AJ48" s="2825"/>
      <c r="AK48" s="2782"/>
      <c r="AL48" s="2782"/>
      <c r="AM48" s="2809"/>
      <c r="AN48" s="2823"/>
      <c r="AO48" s="2787"/>
      <c r="AP48" s="2774"/>
      <c r="AQ48" s="2212"/>
    </row>
    <row r="49" spans="1:43" ht="60" x14ac:dyDescent="0.25">
      <c r="A49" s="1691"/>
      <c r="B49" s="843"/>
      <c r="C49" s="843"/>
      <c r="D49" s="985"/>
      <c r="E49" s="843"/>
      <c r="F49" s="843"/>
      <c r="G49" s="985"/>
      <c r="H49" s="843"/>
      <c r="I49" s="986"/>
      <c r="J49" s="1219">
        <v>27</v>
      </c>
      <c r="K49" s="1222" t="s">
        <v>2152</v>
      </c>
      <c r="L49" s="1196" t="s">
        <v>2153</v>
      </c>
      <c r="M49" s="1195">
        <v>2</v>
      </c>
      <c r="N49" s="443"/>
      <c r="O49" s="2729"/>
      <c r="P49" s="2630"/>
      <c r="Q49" s="1225">
        <f>V49*1/R44</f>
        <v>0</v>
      </c>
      <c r="R49" s="2826"/>
      <c r="S49" s="2769"/>
      <c r="T49" s="1702" t="s">
        <v>2154</v>
      </c>
      <c r="U49" s="1703"/>
      <c r="V49" s="1700">
        <v>0</v>
      </c>
      <c r="W49" s="1217">
        <v>20</v>
      </c>
      <c r="X49" s="1228" t="s">
        <v>2143</v>
      </c>
      <c r="Y49" s="2789"/>
      <c r="Z49" s="2789"/>
      <c r="AA49" s="2825"/>
      <c r="AB49" s="2789"/>
      <c r="AC49" s="2789"/>
      <c r="AD49" s="2789"/>
      <c r="AE49" s="2789"/>
      <c r="AF49" s="2789"/>
      <c r="AG49" s="2825"/>
      <c r="AH49" s="2825"/>
      <c r="AI49" s="2825"/>
      <c r="AJ49" s="2825"/>
      <c r="AK49" s="2782"/>
      <c r="AL49" s="2782"/>
      <c r="AM49" s="2809"/>
      <c r="AN49" s="2823"/>
      <c r="AO49" s="2787"/>
      <c r="AP49" s="2774"/>
      <c r="AQ49" s="2212"/>
    </row>
    <row r="50" spans="1:43" ht="45" x14ac:dyDescent="0.25">
      <c r="A50" s="1691"/>
      <c r="B50" s="843"/>
      <c r="C50" s="843"/>
      <c r="D50" s="985"/>
      <c r="E50" s="843"/>
      <c r="F50" s="843"/>
      <c r="G50" s="985"/>
      <c r="H50" s="843"/>
      <c r="I50" s="986"/>
      <c r="J50" s="1219">
        <v>28</v>
      </c>
      <c r="K50" s="1199" t="s">
        <v>2155</v>
      </c>
      <c r="L50" s="1222" t="s">
        <v>2156</v>
      </c>
      <c r="M50" s="1221">
        <v>2</v>
      </c>
      <c r="N50" s="852"/>
      <c r="O50" s="2740"/>
      <c r="P50" s="2648"/>
      <c r="Q50" s="1225">
        <f>V50*1/R44</f>
        <v>1.7514595496246871E-2</v>
      </c>
      <c r="R50" s="2827"/>
      <c r="S50" s="2769"/>
      <c r="T50" s="1704"/>
      <c r="U50" s="1705" t="s">
        <v>2157</v>
      </c>
      <c r="V50" s="1700">
        <v>21000000</v>
      </c>
      <c r="W50" s="1217">
        <v>20</v>
      </c>
      <c r="X50" s="1228" t="s">
        <v>2143</v>
      </c>
      <c r="Y50" s="2789"/>
      <c r="Z50" s="2789"/>
      <c r="AA50" s="2825"/>
      <c r="AB50" s="2789"/>
      <c r="AC50" s="2789"/>
      <c r="AD50" s="2789"/>
      <c r="AE50" s="2789"/>
      <c r="AF50" s="2789"/>
      <c r="AG50" s="2825"/>
      <c r="AH50" s="2825"/>
      <c r="AI50" s="2825"/>
      <c r="AJ50" s="2825"/>
      <c r="AK50" s="2782"/>
      <c r="AL50" s="2782"/>
      <c r="AM50" s="2810"/>
      <c r="AN50" s="2824"/>
      <c r="AO50" s="2787"/>
      <c r="AP50" s="2774"/>
      <c r="AQ50" s="2212"/>
    </row>
    <row r="51" spans="1:43" ht="133.5" customHeight="1" x14ac:dyDescent="0.25">
      <c r="A51" s="1691"/>
      <c r="B51" s="843"/>
      <c r="C51" s="843"/>
      <c r="D51" s="985"/>
      <c r="E51" s="843"/>
      <c r="F51" s="843"/>
      <c r="G51" s="985"/>
      <c r="H51" s="843"/>
      <c r="I51" s="986"/>
      <c r="J51" s="1219">
        <v>29</v>
      </c>
      <c r="K51" s="1222" t="s">
        <v>2158</v>
      </c>
      <c r="L51" s="1222" t="s">
        <v>2159</v>
      </c>
      <c r="M51" s="1221">
        <v>1</v>
      </c>
      <c r="N51" s="1198" t="s">
        <v>2160</v>
      </c>
      <c r="O51" s="1217" t="s">
        <v>2161</v>
      </c>
      <c r="P51" s="1229" t="s">
        <v>2162</v>
      </c>
      <c r="Q51" s="1225">
        <v>1</v>
      </c>
      <c r="R51" s="1706">
        <f>SUM(V51)</f>
        <v>14000000</v>
      </c>
      <c r="S51" s="1199" t="s">
        <v>2163</v>
      </c>
      <c r="T51" s="1199" t="s">
        <v>2164</v>
      </c>
      <c r="U51" s="520" t="s">
        <v>2165</v>
      </c>
      <c r="V51" s="1706">
        <v>14000000</v>
      </c>
      <c r="W51" s="1217">
        <v>20</v>
      </c>
      <c r="X51" s="1228" t="s">
        <v>2143</v>
      </c>
      <c r="Y51" s="1707">
        <v>210</v>
      </c>
      <c r="Z51" s="1707">
        <v>140</v>
      </c>
      <c r="AA51" s="623"/>
      <c r="AB51" s="623"/>
      <c r="AC51" s="623"/>
      <c r="AD51" s="623"/>
      <c r="AE51" s="623"/>
      <c r="AF51" s="623"/>
      <c r="AG51" s="623"/>
      <c r="AH51" s="623"/>
      <c r="AI51" s="623"/>
      <c r="AJ51" s="623"/>
      <c r="AK51" s="623"/>
      <c r="AL51" s="623"/>
      <c r="AM51" s="623"/>
      <c r="AN51" s="1659">
        <v>350</v>
      </c>
      <c r="AO51" s="1708">
        <v>43101</v>
      </c>
      <c r="AP51" s="1709">
        <v>43435</v>
      </c>
      <c r="AQ51" s="1710" t="s">
        <v>2072</v>
      </c>
    </row>
    <row r="52" spans="1:43" ht="90" x14ac:dyDescent="0.25">
      <c r="A52" s="1691"/>
      <c r="B52" s="843"/>
      <c r="C52" s="843"/>
      <c r="D52" s="985"/>
      <c r="E52" s="843"/>
      <c r="F52" s="843"/>
      <c r="G52" s="985"/>
      <c r="H52" s="843"/>
      <c r="I52" s="986"/>
      <c r="J52" s="1219">
        <v>30</v>
      </c>
      <c r="K52" s="2334" t="s">
        <v>2166</v>
      </c>
      <c r="L52" s="2334" t="s">
        <v>2167</v>
      </c>
      <c r="M52" s="2047">
        <v>1</v>
      </c>
      <c r="N52" s="2754" t="s">
        <v>2168</v>
      </c>
      <c r="O52" s="2242" t="s">
        <v>2169</v>
      </c>
      <c r="P52" s="2770" t="s">
        <v>2170</v>
      </c>
      <c r="Q52" s="2488">
        <v>1</v>
      </c>
      <c r="R52" s="2768">
        <f>SUM(V52:V53)</f>
        <v>64000000</v>
      </c>
      <c r="S52" s="2754" t="s">
        <v>2171</v>
      </c>
      <c r="T52" s="1711" t="s">
        <v>2172</v>
      </c>
      <c r="U52" s="520" t="s">
        <v>2173</v>
      </c>
      <c r="V52" s="1700">
        <v>10000000</v>
      </c>
      <c r="W52" s="1217">
        <v>20</v>
      </c>
      <c r="X52" s="1228" t="s">
        <v>2143</v>
      </c>
      <c r="Y52" s="2818">
        <v>8</v>
      </c>
      <c r="Z52" s="2819">
        <v>12</v>
      </c>
      <c r="AA52" s="2776"/>
      <c r="AB52" s="2776"/>
      <c r="AC52" s="2776"/>
      <c r="AD52" s="2776"/>
      <c r="AE52" s="2776"/>
      <c r="AF52" s="2776"/>
      <c r="AG52" s="2776"/>
      <c r="AH52" s="2776"/>
      <c r="AI52" s="2776"/>
      <c r="AJ52" s="2776"/>
      <c r="AK52" s="2776"/>
      <c r="AL52" s="2776"/>
      <c r="AM52" s="2776"/>
      <c r="AN52" s="2044">
        <f>SUM(Y52:AM53)</f>
        <v>20</v>
      </c>
      <c r="AO52" s="2787">
        <v>43101</v>
      </c>
      <c r="AP52" s="2774">
        <v>43435</v>
      </c>
      <c r="AQ52" s="2776" t="s">
        <v>2072</v>
      </c>
    </row>
    <row r="53" spans="1:43" ht="92.25" customHeight="1" x14ac:dyDescent="0.25">
      <c r="A53" s="1691"/>
      <c r="B53" s="843"/>
      <c r="C53" s="843"/>
      <c r="D53" s="985"/>
      <c r="E53" s="843"/>
      <c r="F53" s="843"/>
      <c r="G53" s="998"/>
      <c r="H53" s="1695"/>
      <c r="I53" s="999"/>
      <c r="J53" s="1219"/>
      <c r="K53" s="2334"/>
      <c r="L53" s="2334"/>
      <c r="M53" s="2047"/>
      <c r="N53" s="2754"/>
      <c r="O53" s="2242"/>
      <c r="P53" s="2821"/>
      <c r="Q53" s="2488"/>
      <c r="R53" s="2768"/>
      <c r="S53" s="2754"/>
      <c r="T53" s="1711" t="s">
        <v>2174</v>
      </c>
      <c r="U53" s="520" t="s">
        <v>2175</v>
      </c>
      <c r="V53" s="1712">
        <f>4000000+50000000</f>
        <v>54000000</v>
      </c>
      <c r="W53" s="1217" t="s">
        <v>64</v>
      </c>
      <c r="X53" s="1228" t="s">
        <v>2176</v>
      </c>
      <c r="Y53" s="2607"/>
      <c r="Z53" s="2820"/>
      <c r="AA53" s="2776"/>
      <c r="AB53" s="2776"/>
      <c r="AC53" s="2776"/>
      <c r="AD53" s="2776"/>
      <c r="AE53" s="2776"/>
      <c r="AF53" s="2776"/>
      <c r="AG53" s="2776"/>
      <c r="AH53" s="2776"/>
      <c r="AI53" s="2776"/>
      <c r="AJ53" s="2776"/>
      <c r="AK53" s="2776"/>
      <c r="AL53" s="2776"/>
      <c r="AM53" s="2776"/>
      <c r="AN53" s="2810"/>
      <c r="AO53" s="2787"/>
      <c r="AP53" s="2774"/>
      <c r="AQ53" s="2776"/>
    </row>
    <row r="54" spans="1:43" ht="16.5" thickBot="1" x14ac:dyDescent="0.3">
      <c r="A54" s="1202"/>
      <c r="B54" s="1207"/>
      <c r="C54" s="1207"/>
      <c r="D54" s="1206"/>
      <c r="E54" s="1207"/>
      <c r="F54" s="1208"/>
      <c r="G54" s="1713">
        <v>6</v>
      </c>
      <c r="H54" s="1155" t="s">
        <v>2177</v>
      </c>
      <c r="I54" s="1155"/>
      <c r="J54" s="399"/>
      <c r="K54" s="400"/>
      <c r="L54" s="399"/>
      <c r="M54" s="399"/>
      <c r="N54" s="399"/>
      <c r="O54" s="1035"/>
      <c r="P54" s="400"/>
      <c r="Q54" s="1145"/>
      <c r="R54" s="1061"/>
      <c r="S54" s="400"/>
      <c r="T54" s="400"/>
      <c r="U54" s="400"/>
      <c r="V54" s="403"/>
      <c r="W54" s="1147"/>
      <c r="X54" s="1035"/>
      <c r="Y54" s="399"/>
      <c r="Z54" s="399"/>
      <c r="AA54" s="399"/>
      <c r="AB54" s="399"/>
      <c r="AC54" s="399"/>
      <c r="AD54" s="399"/>
      <c r="AE54" s="399"/>
      <c r="AF54" s="399"/>
      <c r="AG54" s="399"/>
      <c r="AH54" s="399"/>
      <c r="AI54" s="399"/>
      <c r="AJ54" s="399"/>
      <c r="AK54" s="399"/>
      <c r="AL54" s="399"/>
      <c r="AM54" s="399"/>
      <c r="AN54" s="399"/>
      <c r="AO54" s="406"/>
      <c r="AP54" s="406"/>
      <c r="AQ54" s="407"/>
    </row>
    <row r="55" spans="1:43" ht="203.25" customHeight="1" x14ac:dyDescent="0.25">
      <c r="A55" s="1691"/>
      <c r="B55" s="843"/>
      <c r="C55" s="843"/>
      <c r="D55" s="985"/>
      <c r="E55" s="843"/>
      <c r="F55" s="986"/>
      <c r="G55" s="984"/>
      <c r="H55" s="484"/>
      <c r="I55" s="833"/>
      <c r="J55" s="1233">
        <v>31</v>
      </c>
      <c r="K55" s="1199" t="s">
        <v>2178</v>
      </c>
      <c r="L55" s="1222" t="s">
        <v>2179</v>
      </c>
      <c r="M55" s="1714">
        <v>4</v>
      </c>
      <c r="N55" s="2055" t="s">
        <v>2180</v>
      </c>
      <c r="O55" s="2814" t="s">
        <v>2181</v>
      </c>
      <c r="P55" s="2088" t="s">
        <v>2182</v>
      </c>
      <c r="Q55" s="1225">
        <f>V55*1/R55</f>
        <v>0.34666666666666668</v>
      </c>
      <c r="R55" s="2817">
        <f>SUM(V55:V58)</f>
        <v>300000000</v>
      </c>
      <c r="S55" s="2769" t="s">
        <v>2183</v>
      </c>
      <c r="T55" s="1711" t="s">
        <v>2184</v>
      </c>
      <c r="U55" s="520" t="s">
        <v>2185</v>
      </c>
      <c r="V55" s="1700">
        <v>104000000</v>
      </c>
      <c r="W55" s="1217">
        <v>20</v>
      </c>
      <c r="X55" s="1228" t="s">
        <v>2143</v>
      </c>
      <c r="Y55" s="2803">
        <f>150+20</f>
        <v>170</v>
      </c>
      <c r="Z55" s="2803">
        <f>160+40</f>
        <v>200</v>
      </c>
      <c r="AA55" s="2780"/>
      <c r="AB55" s="2780"/>
      <c r="AC55" s="2803">
        <v>300</v>
      </c>
      <c r="AD55" s="2803">
        <v>10</v>
      </c>
      <c r="AE55" s="2780"/>
      <c r="AF55" s="2780"/>
      <c r="AG55" s="2780"/>
      <c r="AH55" s="2780"/>
      <c r="AI55" s="2780"/>
      <c r="AJ55" s="2780"/>
      <c r="AK55" s="2780"/>
      <c r="AL55" s="2780"/>
      <c r="AM55" s="2780"/>
      <c r="AN55" s="2808">
        <v>370</v>
      </c>
      <c r="AO55" s="2811">
        <f>$AO$52</f>
        <v>43101</v>
      </c>
      <c r="AP55" s="2812">
        <f>$AP$52</f>
        <v>43435</v>
      </c>
      <c r="AQ55" s="2777" t="s">
        <v>2072</v>
      </c>
    </row>
    <row r="56" spans="1:43" ht="204" customHeight="1" x14ac:dyDescent="0.25">
      <c r="A56" s="1691"/>
      <c r="B56" s="843"/>
      <c r="C56" s="843"/>
      <c r="D56" s="985"/>
      <c r="E56" s="843"/>
      <c r="F56" s="986"/>
      <c r="G56" s="985"/>
      <c r="H56" s="843"/>
      <c r="I56" s="986"/>
      <c r="J56" s="1233">
        <v>32</v>
      </c>
      <c r="K56" s="1199" t="s">
        <v>2186</v>
      </c>
      <c r="L56" s="1222" t="s">
        <v>2187</v>
      </c>
      <c r="M56" s="1221">
        <v>30</v>
      </c>
      <c r="N56" s="2085"/>
      <c r="O56" s="2815"/>
      <c r="P56" s="2185"/>
      <c r="Q56" s="1225">
        <f>V56*1/R55</f>
        <v>0.46666666666666667</v>
      </c>
      <c r="R56" s="2817"/>
      <c r="S56" s="2769"/>
      <c r="T56" s="1711" t="s">
        <v>2188</v>
      </c>
      <c r="U56" s="1199" t="s">
        <v>2189</v>
      </c>
      <c r="V56" s="1700">
        <v>140000000</v>
      </c>
      <c r="W56" s="1217">
        <v>20</v>
      </c>
      <c r="X56" s="1228" t="s">
        <v>2143</v>
      </c>
      <c r="Y56" s="2803"/>
      <c r="Z56" s="2803"/>
      <c r="AA56" s="2780"/>
      <c r="AB56" s="2780"/>
      <c r="AC56" s="2803"/>
      <c r="AD56" s="2803"/>
      <c r="AE56" s="2780"/>
      <c r="AF56" s="2780"/>
      <c r="AG56" s="2780"/>
      <c r="AH56" s="2780"/>
      <c r="AI56" s="2780"/>
      <c r="AJ56" s="2780"/>
      <c r="AK56" s="2780"/>
      <c r="AL56" s="2780"/>
      <c r="AM56" s="2780"/>
      <c r="AN56" s="2809"/>
      <c r="AO56" s="2809"/>
      <c r="AP56" s="2785"/>
      <c r="AQ56" s="2784"/>
    </row>
    <row r="57" spans="1:43" ht="60.75" customHeight="1" x14ac:dyDescent="0.25">
      <c r="A57" s="1691"/>
      <c r="B57" s="843"/>
      <c r="C57" s="843"/>
      <c r="D57" s="985"/>
      <c r="E57" s="843"/>
      <c r="F57" s="986"/>
      <c r="G57" s="985"/>
      <c r="H57" s="843"/>
      <c r="I57" s="986"/>
      <c r="J57" s="1233">
        <v>33</v>
      </c>
      <c r="K57" s="1199" t="s">
        <v>2190</v>
      </c>
      <c r="L57" s="1222" t="s">
        <v>2191</v>
      </c>
      <c r="M57" s="1221">
        <v>400</v>
      </c>
      <c r="N57" s="2085"/>
      <c r="O57" s="2815"/>
      <c r="P57" s="2185"/>
      <c r="Q57" s="1225">
        <f>V57*1/R55</f>
        <v>9.3333333333333338E-2</v>
      </c>
      <c r="R57" s="2817"/>
      <c r="S57" s="2769"/>
      <c r="T57" s="2804" t="s">
        <v>2192</v>
      </c>
      <c r="U57" s="1199" t="s">
        <v>2193</v>
      </c>
      <c r="V57" s="1700">
        <v>28000000</v>
      </c>
      <c r="W57" s="1217">
        <v>20</v>
      </c>
      <c r="X57" s="1228" t="s">
        <v>2143</v>
      </c>
      <c r="Y57" s="2803"/>
      <c r="Z57" s="2803"/>
      <c r="AA57" s="2780"/>
      <c r="AB57" s="2780"/>
      <c r="AC57" s="2803"/>
      <c r="AD57" s="2803"/>
      <c r="AE57" s="2780"/>
      <c r="AF57" s="2780"/>
      <c r="AG57" s="2780"/>
      <c r="AH57" s="2780"/>
      <c r="AI57" s="2780"/>
      <c r="AJ57" s="2780"/>
      <c r="AK57" s="2780"/>
      <c r="AL57" s="2780"/>
      <c r="AM57" s="2780"/>
      <c r="AN57" s="2809"/>
      <c r="AO57" s="2809"/>
      <c r="AP57" s="2785"/>
      <c r="AQ57" s="2784"/>
    </row>
    <row r="58" spans="1:43" ht="128.25" customHeight="1" x14ac:dyDescent="0.25">
      <c r="A58" s="1691"/>
      <c r="B58" s="843"/>
      <c r="C58" s="843"/>
      <c r="D58" s="985"/>
      <c r="E58" s="843"/>
      <c r="F58" s="986"/>
      <c r="G58" s="998"/>
      <c r="H58" s="1695"/>
      <c r="I58" s="999"/>
      <c r="J58" s="1233">
        <v>34</v>
      </c>
      <c r="K58" s="1199" t="s">
        <v>2194</v>
      </c>
      <c r="L58" s="1222" t="s">
        <v>2195</v>
      </c>
      <c r="M58" s="1221">
        <v>600</v>
      </c>
      <c r="N58" s="2737"/>
      <c r="O58" s="2816"/>
      <c r="P58" s="2089"/>
      <c r="Q58" s="1225">
        <f>V58*1/R55</f>
        <v>9.3333333333333338E-2</v>
      </c>
      <c r="R58" s="2817"/>
      <c r="S58" s="2769"/>
      <c r="T58" s="2804"/>
      <c r="U58" s="520" t="s">
        <v>2196</v>
      </c>
      <c r="V58" s="1700">
        <v>28000000</v>
      </c>
      <c r="W58" s="1217">
        <v>20</v>
      </c>
      <c r="X58" s="1228" t="s">
        <v>2143</v>
      </c>
      <c r="Y58" s="2803"/>
      <c r="Z58" s="2803"/>
      <c r="AA58" s="2780"/>
      <c r="AB58" s="2780"/>
      <c r="AC58" s="2803"/>
      <c r="AD58" s="2803"/>
      <c r="AE58" s="2780"/>
      <c r="AF58" s="2780"/>
      <c r="AG58" s="2780"/>
      <c r="AH58" s="2780"/>
      <c r="AI58" s="2780"/>
      <c r="AJ58" s="2780"/>
      <c r="AK58" s="2780"/>
      <c r="AL58" s="2780"/>
      <c r="AM58" s="2780"/>
      <c r="AN58" s="2810"/>
      <c r="AO58" s="2810"/>
      <c r="AP58" s="2785"/>
      <c r="AQ58" s="2813"/>
    </row>
    <row r="59" spans="1:43" x14ac:dyDescent="0.25">
      <c r="A59" s="1202"/>
      <c r="B59" s="1207"/>
      <c r="C59" s="1207"/>
      <c r="D59" s="1206"/>
      <c r="E59" s="1207"/>
      <c r="F59" s="1208"/>
      <c r="G59" s="865">
        <v>7</v>
      </c>
      <c r="H59" s="399" t="s">
        <v>2197</v>
      </c>
      <c r="I59" s="399"/>
      <c r="J59" s="399"/>
      <c r="K59" s="400"/>
      <c r="L59" s="399"/>
      <c r="M59" s="399"/>
      <c r="N59" s="399"/>
      <c r="O59" s="1035"/>
      <c r="P59" s="400"/>
      <c r="Q59" s="1145"/>
      <c r="R59" s="1061"/>
      <c r="S59" s="400"/>
      <c r="T59" s="400"/>
      <c r="U59" s="400"/>
      <c r="V59" s="403"/>
      <c r="W59" s="1147"/>
      <c r="X59" s="1035"/>
      <c r="Y59" s="399"/>
      <c r="Z59" s="399"/>
      <c r="AA59" s="399"/>
      <c r="AB59" s="399"/>
      <c r="AC59" s="399"/>
      <c r="AD59" s="399"/>
      <c r="AE59" s="399"/>
      <c r="AF59" s="399"/>
      <c r="AG59" s="399"/>
      <c r="AH59" s="399"/>
      <c r="AI59" s="399"/>
      <c r="AJ59" s="399"/>
      <c r="AK59" s="399"/>
      <c r="AL59" s="399"/>
      <c r="AM59" s="399"/>
      <c r="AN59" s="399"/>
      <c r="AO59" s="406"/>
      <c r="AP59" s="406"/>
      <c r="AQ59" s="407"/>
    </row>
    <row r="60" spans="1:43" ht="72.75" customHeight="1" x14ac:dyDescent="0.25">
      <c r="A60" s="1691"/>
      <c r="B60" s="843"/>
      <c r="C60" s="843"/>
      <c r="D60" s="985"/>
      <c r="E60" s="843"/>
      <c r="F60" s="986"/>
      <c r="G60" s="984"/>
      <c r="H60" s="484"/>
      <c r="I60" s="833"/>
      <c r="J60" s="1231">
        <v>35</v>
      </c>
      <c r="K60" s="1199" t="s">
        <v>2198</v>
      </c>
      <c r="L60" s="1222" t="s">
        <v>2148</v>
      </c>
      <c r="M60" s="1220">
        <v>5</v>
      </c>
      <c r="N60" s="2805" t="s">
        <v>2199</v>
      </c>
      <c r="O60" s="2243" t="s">
        <v>2200</v>
      </c>
      <c r="P60" s="2088" t="s">
        <v>2201</v>
      </c>
      <c r="Q60" s="1225">
        <f>V60*1/R60</f>
        <v>0.35199999999999998</v>
      </c>
      <c r="R60" s="2768">
        <f>SUM(V60:V62)</f>
        <v>125000000</v>
      </c>
      <c r="S60" s="2754" t="s">
        <v>2202</v>
      </c>
      <c r="T60" s="1711" t="s">
        <v>2203</v>
      </c>
      <c r="U60" s="520" t="s">
        <v>2204</v>
      </c>
      <c r="V60" s="1700">
        <v>44000000</v>
      </c>
      <c r="W60" s="1217">
        <v>20</v>
      </c>
      <c r="X60" s="1228" t="s">
        <v>2143</v>
      </c>
      <c r="Y60" s="2803">
        <v>100</v>
      </c>
      <c r="Z60" s="2803">
        <v>60</v>
      </c>
      <c r="AA60" s="2780"/>
      <c r="AB60" s="2780"/>
      <c r="AC60" s="2803">
        <v>110</v>
      </c>
      <c r="AD60" s="2803">
        <v>50</v>
      </c>
      <c r="AE60" s="2780"/>
      <c r="AF60" s="2780"/>
      <c r="AG60" s="2780"/>
      <c r="AH60" s="2780"/>
      <c r="AI60" s="2780"/>
      <c r="AJ60" s="2780"/>
      <c r="AK60" s="2780"/>
      <c r="AL60" s="2780"/>
      <c r="AM60" s="2780"/>
      <c r="AN60" s="2802">
        <v>160</v>
      </c>
      <c r="AO60" s="2787">
        <v>43101</v>
      </c>
      <c r="AP60" s="2774">
        <v>43435</v>
      </c>
      <c r="AQ60" s="2776" t="s">
        <v>2072</v>
      </c>
    </row>
    <row r="61" spans="1:43" ht="63.75" customHeight="1" x14ac:dyDescent="0.25">
      <c r="A61" s="1691"/>
      <c r="B61" s="843"/>
      <c r="C61" s="843"/>
      <c r="D61" s="985"/>
      <c r="E61" s="843"/>
      <c r="F61" s="986"/>
      <c r="G61" s="985"/>
      <c r="H61" s="843"/>
      <c r="I61" s="986"/>
      <c r="J61" s="1231">
        <v>36</v>
      </c>
      <c r="K61" s="1199" t="s">
        <v>2205</v>
      </c>
      <c r="L61" s="1196" t="s">
        <v>2206</v>
      </c>
      <c r="M61" s="1221">
        <v>1</v>
      </c>
      <c r="N61" s="2806"/>
      <c r="O61" s="2729"/>
      <c r="P61" s="2185"/>
      <c r="Q61" s="1225">
        <f>V61*1/R60</f>
        <v>0.23200000000000001</v>
      </c>
      <c r="R61" s="2768"/>
      <c r="S61" s="2754"/>
      <c r="T61" s="2057" t="s">
        <v>2207</v>
      </c>
      <c r="U61" s="520" t="s">
        <v>2208</v>
      </c>
      <c r="V61" s="1700">
        <v>29000000</v>
      </c>
      <c r="W61" s="1217">
        <v>20</v>
      </c>
      <c r="X61" s="1228" t="s">
        <v>2143</v>
      </c>
      <c r="Y61" s="2803"/>
      <c r="Z61" s="2803"/>
      <c r="AA61" s="2780"/>
      <c r="AB61" s="2780"/>
      <c r="AC61" s="2803"/>
      <c r="AD61" s="2803"/>
      <c r="AE61" s="2780"/>
      <c r="AF61" s="2780"/>
      <c r="AG61" s="2780"/>
      <c r="AH61" s="2780"/>
      <c r="AI61" s="2780"/>
      <c r="AJ61" s="2780"/>
      <c r="AK61" s="2780"/>
      <c r="AL61" s="2780"/>
      <c r="AM61" s="2780"/>
      <c r="AN61" s="2785"/>
      <c r="AO61" s="2787"/>
      <c r="AP61" s="2774"/>
      <c r="AQ61" s="2776"/>
    </row>
    <row r="62" spans="1:43" ht="90" x14ac:dyDescent="0.25">
      <c r="A62" s="1715"/>
      <c r="B62" s="1695"/>
      <c r="C62" s="1695"/>
      <c r="D62" s="998"/>
      <c r="E62" s="1695"/>
      <c r="F62" s="999"/>
      <c r="G62" s="998"/>
      <c r="H62" s="1695"/>
      <c r="I62" s="999"/>
      <c r="J62" s="1231">
        <v>37</v>
      </c>
      <c r="K62" s="1222" t="s">
        <v>2209</v>
      </c>
      <c r="L62" s="1222" t="s">
        <v>2210</v>
      </c>
      <c r="M62" s="1221">
        <v>1</v>
      </c>
      <c r="N62" s="2807"/>
      <c r="O62" s="2740"/>
      <c r="P62" s="2089"/>
      <c r="Q62" s="1225">
        <f>V62*1/R60</f>
        <v>0.41599999999999998</v>
      </c>
      <c r="R62" s="2768"/>
      <c r="S62" s="2754"/>
      <c r="T62" s="2648"/>
      <c r="U62" s="520" t="s">
        <v>2211</v>
      </c>
      <c r="V62" s="1700">
        <v>52000000</v>
      </c>
      <c r="W62" s="1217">
        <v>20</v>
      </c>
      <c r="X62" s="1228" t="s">
        <v>2143</v>
      </c>
      <c r="Y62" s="2803"/>
      <c r="Z62" s="2803"/>
      <c r="AA62" s="2780"/>
      <c r="AB62" s="2780"/>
      <c r="AC62" s="2803"/>
      <c r="AD62" s="2803"/>
      <c r="AE62" s="2780"/>
      <c r="AF62" s="2780"/>
      <c r="AG62" s="2780"/>
      <c r="AH62" s="2780"/>
      <c r="AI62" s="2780"/>
      <c r="AJ62" s="2780"/>
      <c r="AK62" s="2780"/>
      <c r="AL62" s="2780"/>
      <c r="AM62" s="2780"/>
      <c r="AN62" s="2785"/>
      <c r="AO62" s="2787"/>
      <c r="AP62" s="2774"/>
      <c r="AQ62" s="2776"/>
    </row>
    <row r="63" spans="1:43" x14ac:dyDescent="0.25">
      <c r="A63" s="1660">
        <v>3</v>
      </c>
      <c r="B63" s="378" t="s">
        <v>1314</v>
      </c>
      <c r="C63" s="378"/>
      <c r="D63" s="1716"/>
      <c r="E63" s="1716"/>
      <c r="F63" s="1716"/>
      <c r="G63" s="378"/>
      <c r="H63" s="378"/>
      <c r="I63" s="378"/>
      <c r="J63" s="378"/>
      <c r="K63" s="379"/>
      <c r="L63" s="378"/>
      <c r="M63" s="378"/>
      <c r="N63" s="378"/>
      <c r="O63" s="384"/>
      <c r="P63" s="379"/>
      <c r="Q63" s="1133"/>
      <c r="R63" s="1661"/>
      <c r="S63" s="379"/>
      <c r="T63" s="379"/>
      <c r="U63" s="379"/>
      <c r="V63" s="382"/>
      <c r="W63" s="383"/>
      <c r="X63" s="384"/>
      <c r="Y63" s="378"/>
      <c r="Z63" s="378"/>
      <c r="AA63" s="378"/>
      <c r="AB63" s="378"/>
      <c r="AC63" s="378"/>
      <c r="AD63" s="378"/>
      <c r="AE63" s="378"/>
      <c r="AF63" s="378"/>
      <c r="AG63" s="378"/>
      <c r="AH63" s="378"/>
      <c r="AI63" s="378"/>
      <c r="AJ63" s="378"/>
      <c r="AK63" s="378"/>
      <c r="AL63" s="378"/>
      <c r="AM63" s="378"/>
      <c r="AN63" s="378"/>
      <c r="AO63" s="385"/>
      <c r="AP63" s="385"/>
      <c r="AQ63" s="386"/>
    </row>
    <row r="64" spans="1:43" x14ac:dyDescent="0.25">
      <c r="A64" s="1201"/>
      <c r="B64" s="1204"/>
      <c r="C64" s="1205"/>
      <c r="D64" s="1717">
        <v>11</v>
      </c>
      <c r="E64" s="388" t="s">
        <v>1315</v>
      </c>
      <c r="F64" s="388"/>
      <c r="G64" s="388"/>
      <c r="H64" s="388"/>
      <c r="I64" s="388"/>
      <c r="J64" s="388"/>
      <c r="K64" s="389"/>
      <c r="L64" s="388"/>
      <c r="M64" s="388"/>
      <c r="N64" s="388"/>
      <c r="O64" s="394"/>
      <c r="P64" s="389"/>
      <c r="Q64" s="1139"/>
      <c r="R64" s="1663"/>
      <c r="S64" s="389"/>
      <c r="T64" s="389"/>
      <c r="U64" s="389"/>
      <c r="V64" s="392"/>
      <c r="W64" s="393"/>
      <c r="X64" s="394"/>
      <c r="Y64" s="388"/>
      <c r="Z64" s="388"/>
      <c r="AA64" s="388"/>
      <c r="AB64" s="388"/>
      <c r="AC64" s="388"/>
      <c r="AD64" s="388"/>
      <c r="AE64" s="388"/>
      <c r="AF64" s="388"/>
      <c r="AG64" s="388"/>
      <c r="AH64" s="388"/>
      <c r="AI64" s="388"/>
      <c r="AJ64" s="388"/>
      <c r="AK64" s="388"/>
      <c r="AL64" s="388"/>
      <c r="AM64" s="388"/>
      <c r="AN64" s="388"/>
      <c r="AO64" s="395"/>
      <c r="AP64" s="395"/>
      <c r="AQ64" s="396"/>
    </row>
    <row r="65" spans="1:43" ht="16.5" thickBot="1" x14ac:dyDescent="0.3">
      <c r="A65" s="1202"/>
      <c r="B65" s="1207"/>
      <c r="C65" s="1208"/>
      <c r="D65" s="1203"/>
      <c r="E65" s="1204"/>
      <c r="F65" s="1205"/>
      <c r="G65" s="865">
        <v>34</v>
      </c>
      <c r="H65" s="399" t="s">
        <v>2212</v>
      </c>
      <c r="I65" s="399"/>
      <c r="J65" s="399"/>
      <c r="K65" s="400"/>
      <c r="L65" s="399"/>
      <c r="M65" s="399"/>
      <c r="N65" s="399"/>
      <c r="O65" s="1035"/>
      <c r="P65" s="400"/>
      <c r="Q65" s="1145"/>
      <c r="R65" s="1061"/>
      <c r="S65" s="400"/>
      <c r="T65" s="400"/>
      <c r="U65" s="400"/>
      <c r="V65" s="753"/>
      <c r="W65" s="1147"/>
      <c r="X65" s="405"/>
      <c r="Y65" s="399"/>
      <c r="Z65" s="399"/>
      <c r="AA65" s="399"/>
      <c r="AB65" s="399"/>
      <c r="AC65" s="399"/>
      <c r="AD65" s="399"/>
      <c r="AE65" s="399"/>
      <c r="AF65" s="399"/>
      <c r="AG65" s="399"/>
      <c r="AH65" s="399"/>
      <c r="AI65" s="399"/>
      <c r="AJ65" s="399"/>
      <c r="AK65" s="399"/>
      <c r="AL65" s="399"/>
      <c r="AM65" s="399"/>
      <c r="AN65" s="399"/>
      <c r="AO65" s="406"/>
      <c r="AP65" s="406"/>
      <c r="AQ65" s="407"/>
    </row>
    <row r="66" spans="1:43" ht="49.5" customHeight="1" x14ac:dyDescent="0.25">
      <c r="A66" s="1691"/>
      <c r="B66" s="843"/>
      <c r="C66" s="986"/>
      <c r="D66" s="985"/>
      <c r="E66" s="843"/>
      <c r="F66" s="986"/>
      <c r="G66" s="984"/>
      <c r="H66" s="484"/>
      <c r="I66" s="833"/>
      <c r="J66" s="2628">
        <v>122</v>
      </c>
      <c r="K66" s="2057" t="s">
        <v>2213</v>
      </c>
      <c r="L66" s="2314" t="s">
        <v>2214</v>
      </c>
      <c r="M66" s="2771">
        <v>1</v>
      </c>
      <c r="N66" s="2754" t="s">
        <v>2215</v>
      </c>
      <c r="O66" s="2242" t="s">
        <v>2216</v>
      </c>
      <c r="P66" s="2056" t="s">
        <v>2217</v>
      </c>
      <c r="Q66" s="2772">
        <f>V66*1/R66</f>
        <v>0.48087333500000001</v>
      </c>
      <c r="R66" s="2768">
        <f>SUM(V66:V76)</f>
        <v>200000000</v>
      </c>
      <c r="S66" s="2769" t="s">
        <v>2218</v>
      </c>
      <c r="T66" s="2057" t="s">
        <v>2213</v>
      </c>
      <c r="U66" s="2794" t="s">
        <v>2219</v>
      </c>
      <c r="V66" s="2795">
        <f>26174667+70000000</f>
        <v>96174667</v>
      </c>
      <c r="W66" s="2796" t="s">
        <v>2220</v>
      </c>
      <c r="X66" s="2754" t="s">
        <v>2221</v>
      </c>
      <c r="Y66" s="2791">
        <v>4608</v>
      </c>
      <c r="Z66" s="2792">
        <v>4992</v>
      </c>
      <c r="AA66" s="2785">
        <v>2741</v>
      </c>
      <c r="AB66" s="2789">
        <v>765</v>
      </c>
      <c r="AC66" s="2789">
        <v>5500</v>
      </c>
      <c r="AD66" s="2789">
        <v>594</v>
      </c>
      <c r="AE66" s="2789">
        <v>40</v>
      </c>
      <c r="AF66" s="2789">
        <v>50</v>
      </c>
      <c r="AG66" s="2780"/>
      <c r="AH66" s="2780"/>
      <c r="AI66" s="2780"/>
      <c r="AJ66" s="2780"/>
      <c r="AK66" s="2782">
        <v>100</v>
      </c>
      <c r="AL66" s="2782">
        <v>10</v>
      </c>
      <c r="AM66" s="2777"/>
      <c r="AN66" s="2043">
        <v>9600</v>
      </c>
      <c r="AO66" s="2787">
        <v>43101</v>
      </c>
      <c r="AP66" s="2774">
        <v>43435</v>
      </c>
      <c r="AQ66" s="2776" t="s">
        <v>2072</v>
      </c>
    </row>
    <row r="67" spans="1:43" ht="44.25" customHeight="1" x14ac:dyDescent="0.25">
      <c r="A67" s="1691"/>
      <c r="B67" s="843"/>
      <c r="C67" s="986"/>
      <c r="D67" s="985"/>
      <c r="E67" s="843"/>
      <c r="F67" s="986"/>
      <c r="G67" s="985"/>
      <c r="H67" s="843"/>
      <c r="I67" s="986"/>
      <c r="J67" s="2639"/>
      <c r="K67" s="2648"/>
      <c r="L67" s="2317"/>
      <c r="M67" s="2771"/>
      <c r="N67" s="2754"/>
      <c r="O67" s="2242"/>
      <c r="P67" s="2056"/>
      <c r="Q67" s="2773"/>
      <c r="R67" s="2768"/>
      <c r="S67" s="2769"/>
      <c r="T67" s="2648"/>
      <c r="U67" s="2794"/>
      <c r="V67" s="2779"/>
      <c r="W67" s="2796"/>
      <c r="X67" s="2754"/>
      <c r="Y67" s="2791"/>
      <c r="Z67" s="2792"/>
      <c r="AA67" s="2785"/>
      <c r="AB67" s="2789"/>
      <c r="AC67" s="2789"/>
      <c r="AD67" s="2789"/>
      <c r="AE67" s="2789"/>
      <c r="AF67" s="2789"/>
      <c r="AG67" s="2780"/>
      <c r="AH67" s="2780"/>
      <c r="AI67" s="2780"/>
      <c r="AJ67" s="2780"/>
      <c r="AK67" s="2782"/>
      <c r="AL67" s="2782"/>
      <c r="AM67" s="2784"/>
      <c r="AN67" s="2785"/>
      <c r="AO67" s="2787"/>
      <c r="AP67" s="2774"/>
      <c r="AQ67" s="2776"/>
    </row>
    <row r="68" spans="1:43" ht="38.25" customHeight="1" x14ac:dyDescent="0.25">
      <c r="A68" s="1691"/>
      <c r="B68" s="843"/>
      <c r="C68" s="986"/>
      <c r="D68" s="985"/>
      <c r="E68" s="843"/>
      <c r="F68" s="986"/>
      <c r="G68" s="985"/>
      <c r="H68" s="843"/>
      <c r="I68" s="986"/>
      <c r="J68" s="2314">
        <v>123</v>
      </c>
      <c r="K68" s="2308" t="s">
        <v>2222</v>
      </c>
      <c r="L68" s="2314" t="s">
        <v>2223</v>
      </c>
      <c r="M68" s="2771">
        <v>4</v>
      </c>
      <c r="N68" s="2754"/>
      <c r="O68" s="2242"/>
      <c r="P68" s="2056"/>
      <c r="Q68" s="2772">
        <f>V68*1/R66</f>
        <v>0.06</v>
      </c>
      <c r="R68" s="2768"/>
      <c r="S68" s="2769"/>
      <c r="T68" s="2308" t="s">
        <v>2222</v>
      </c>
      <c r="U68" s="2778" t="s">
        <v>2224</v>
      </c>
      <c r="V68" s="2779">
        <v>12000000</v>
      </c>
      <c r="W68" s="2797">
        <v>20</v>
      </c>
      <c r="X68" s="2629" t="s">
        <v>2143</v>
      </c>
      <c r="Y68" s="2792"/>
      <c r="Z68" s="2792"/>
      <c r="AA68" s="2785"/>
      <c r="AB68" s="2789"/>
      <c r="AC68" s="2789"/>
      <c r="AD68" s="2789"/>
      <c r="AE68" s="2789"/>
      <c r="AF68" s="2789"/>
      <c r="AG68" s="2780"/>
      <c r="AH68" s="2780"/>
      <c r="AI68" s="2780"/>
      <c r="AJ68" s="2780"/>
      <c r="AK68" s="2782"/>
      <c r="AL68" s="2782"/>
      <c r="AM68" s="2784"/>
      <c r="AN68" s="2785"/>
      <c r="AO68" s="2787"/>
      <c r="AP68" s="2774"/>
      <c r="AQ68" s="2776"/>
    </row>
    <row r="69" spans="1:43" ht="49.5" customHeight="1" x14ac:dyDescent="0.25">
      <c r="A69" s="1691"/>
      <c r="B69" s="843"/>
      <c r="C69" s="986"/>
      <c r="D69" s="985"/>
      <c r="E69" s="843"/>
      <c r="F69" s="986"/>
      <c r="G69" s="985"/>
      <c r="H69" s="843"/>
      <c r="I69" s="986"/>
      <c r="J69" s="2307"/>
      <c r="K69" s="2309"/>
      <c r="L69" s="2307"/>
      <c r="M69" s="2771"/>
      <c r="N69" s="2754"/>
      <c r="O69" s="2242"/>
      <c r="P69" s="2056"/>
      <c r="Q69" s="2466"/>
      <c r="R69" s="2768"/>
      <c r="S69" s="2769"/>
      <c r="T69" s="2309"/>
      <c r="U69" s="2778"/>
      <c r="V69" s="2779"/>
      <c r="W69" s="2797"/>
      <c r="X69" s="2629"/>
      <c r="Y69" s="2792"/>
      <c r="Z69" s="2792"/>
      <c r="AA69" s="2785"/>
      <c r="AB69" s="2789"/>
      <c r="AC69" s="2789"/>
      <c r="AD69" s="2789"/>
      <c r="AE69" s="2789"/>
      <c r="AF69" s="2789"/>
      <c r="AG69" s="2780"/>
      <c r="AH69" s="2780"/>
      <c r="AI69" s="2780"/>
      <c r="AJ69" s="2780"/>
      <c r="AK69" s="2782"/>
      <c r="AL69" s="2782"/>
      <c r="AM69" s="2784"/>
      <c r="AN69" s="2785"/>
      <c r="AO69" s="2787"/>
      <c r="AP69" s="2774"/>
      <c r="AQ69" s="2776"/>
    </row>
    <row r="70" spans="1:43" ht="39.75" customHeight="1" x14ac:dyDescent="0.25">
      <c r="A70" s="1691"/>
      <c r="B70" s="843"/>
      <c r="C70" s="986"/>
      <c r="D70" s="985"/>
      <c r="E70" s="843"/>
      <c r="F70" s="986"/>
      <c r="G70" s="985"/>
      <c r="H70" s="843"/>
      <c r="I70" s="986"/>
      <c r="J70" s="2317"/>
      <c r="K70" s="2310"/>
      <c r="L70" s="2317"/>
      <c r="M70" s="2771"/>
      <c r="N70" s="2754"/>
      <c r="O70" s="2242"/>
      <c r="P70" s="2056"/>
      <c r="Q70" s="2773"/>
      <c r="R70" s="2768"/>
      <c r="S70" s="2769"/>
      <c r="T70" s="2310"/>
      <c r="U70" s="2778"/>
      <c r="V70" s="2779"/>
      <c r="W70" s="2797"/>
      <c r="X70" s="2639"/>
      <c r="Y70" s="2792"/>
      <c r="Z70" s="2792"/>
      <c r="AA70" s="2785"/>
      <c r="AB70" s="2789"/>
      <c r="AC70" s="2789"/>
      <c r="AD70" s="2789"/>
      <c r="AE70" s="2789"/>
      <c r="AF70" s="2789"/>
      <c r="AG70" s="2780"/>
      <c r="AH70" s="2780"/>
      <c r="AI70" s="2780"/>
      <c r="AJ70" s="2780"/>
      <c r="AK70" s="2782"/>
      <c r="AL70" s="2782"/>
      <c r="AM70" s="2784"/>
      <c r="AN70" s="2785"/>
      <c r="AO70" s="2787"/>
      <c r="AP70" s="2774"/>
      <c r="AQ70" s="2776"/>
    </row>
    <row r="71" spans="1:43" ht="50.25" customHeight="1" x14ac:dyDescent="0.25">
      <c r="A71" s="1691"/>
      <c r="B71" s="843"/>
      <c r="C71" s="986"/>
      <c r="D71" s="985"/>
      <c r="E71" s="843"/>
      <c r="F71" s="986"/>
      <c r="G71" s="985"/>
      <c r="H71" s="843"/>
      <c r="I71" s="986"/>
      <c r="J71" s="2314">
        <v>124</v>
      </c>
      <c r="K71" s="2308" t="s">
        <v>2225</v>
      </c>
      <c r="L71" s="2308" t="s">
        <v>2226</v>
      </c>
      <c r="M71" s="2771">
        <v>200</v>
      </c>
      <c r="N71" s="2754"/>
      <c r="O71" s="2242"/>
      <c r="P71" s="2056"/>
      <c r="Q71" s="2772">
        <f>V71*1/R66</f>
        <v>0.28999999999999998</v>
      </c>
      <c r="R71" s="2768"/>
      <c r="S71" s="2769"/>
      <c r="T71" s="2308" t="s">
        <v>2222</v>
      </c>
      <c r="U71" s="2778" t="s">
        <v>2227</v>
      </c>
      <c r="V71" s="2779">
        <f>28000000+30000000</f>
        <v>58000000</v>
      </c>
      <c r="W71" s="2797" t="s">
        <v>2220</v>
      </c>
      <c r="X71" s="2628" t="s">
        <v>2221</v>
      </c>
      <c r="Y71" s="2792"/>
      <c r="Z71" s="2792"/>
      <c r="AA71" s="2785"/>
      <c r="AB71" s="2789"/>
      <c r="AC71" s="2789"/>
      <c r="AD71" s="2789"/>
      <c r="AE71" s="2789"/>
      <c r="AF71" s="2789"/>
      <c r="AG71" s="2780"/>
      <c r="AH71" s="2780"/>
      <c r="AI71" s="2780"/>
      <c r="AJ71" s="2780"/>
      <c r="AK71" s="2782"/>
      <c r="AL71" s="2782"/>
      <c r="AM71" s="2784"/>
      <c r="AN71" s="2785"/>
      <c r="AO71" s="2787"/>
      <c r="AP71" s="2774"/>
      <c r="AQ71" s="2776"/>
    </row>
    <row r="72" spans="1:43" ht="76.5" customHeight="1" thickBot="1" x14ac:dyDescent="0.3">
      <c r="A72" s="1691"/>
      <c r="B72" s="843"/>
      <c r="C72" s="986"/>
      <c r="D72" s="985"/>
      <c r="E72" s="843"/>
      <c r="F72" s="986"/>
      <c r="G72" s="985"/>
      <c r="H72" s="843"/>
      <c r="I72" s="986"/>
      <c r="J72" s="2317"/>
      <c r="K72" s="2310"/>
      <c r="L72" s="2310"/>
      <c r="M72" s="2771"/>
      <c r="N72" s="2754"/>
      <c r="O72" s="2242"/>
      <c r="P72" s="2056"/>
      <c r="Q72" s="2773"/>
      <c r="R72" s="2768"/>
      <c r="S72" s="2769"/>
      <c r="T72" s="2310"/>
      <c r="U72" s="2778"/>
      <c r="V72" s="2798"/>
      <c r="W72" s="2797"/>
      <c r="X72" s="2639"/>
      <c r="Y72" s="2792"/>
      <c r="Z72" s="2792"/>
      <c r="AA72" s="2785"/>
      <c r="AB72" s="2789"/>
      <c r="AC72" s="2789"/>
      <c r="AD72" s="2789"/>
      <c r="AE72" s="2789"/>
      <c r="AF72" s="2789"/>
      <c r="AG72" s="2780"/>
      <c r="AH72" s="2780"/>
      <c r="AI72" s="2780"/>
      <c r="AJ72" s="2780"/>
      <c r="AK72" s="2782"/>
      <c r="AL72" s="2782"/>
      <c r="AM72" s="2784"/>
      <c r="AN72" s="2785"/>
      <c r="AO72" s="2787"/>
      <c r="AP72" s="2774"/>
      <c r="AQ72" s="2776"/>
    </row>
    <row r="73" spans="1:43" ht="99" customHeight="1" x14ac:dyDescent="0.25">
      <c r="A73" s="1691"/>
      <c r="B73" s="843"/>
      <c r="C73" s="986"/>
      <c r="D73" s="985"/>
      <c r="E73" s="843"/>
      <c r="F73" s="986"/>
      <c r="G73" s="985"/>
      <c r="H73" s="843"/>
      <c r="I73" s="986"/>
      <c r="J73" s="2628">
        <v>125</v>
      </c>
      <c r="K73" s="2056" t="s">
        <v>2228</v>
      </c>
      <c r="L73" s="2056" t="s">
        <v>2229</v>
      </c>
      <c r="M73" s="2767">
        <v>761</v>
      </c>
      <c r="N73" s="2754"/>
      <c r="O73" s="2242"/>
      <c r="P73" s="2056"/>
      <c r="Q73" s="2488">
        <f>SUM(V73:V74)*1/R66</f>
        <v>0.13912666500000001</v>
      </c>
      <c r="R73" s="2768"/>
      <c r="S73" s="2769"/>
      <c r="T73" s="2057" t="s">
        <v>2228</v>
      </c>
      <c r="U73" s="1718" t="s">
        <v>2230</v>
      </c>
      <c r="V73" s="1719">
        <v>17825333</v>
      </c>
      <c r="W73" s="1217">
        <v>20</v>
      </c>
      <c r="X73" s="1228" t="s">
        <v>2143</v>
      </c>
      <c r="Y73" s="2792"/>
      <c r="Z73" s="2792"/>
      <c r="AA73" s="2785"/>
      <c r="AB73" s="2789"/>
      <c r="AC73" s="2789"/>
      <c r="AD73" s="2789"/>
      <c r="AE73" s="2789"/>
      <c r="AF73" s="2789"/>
      <c r="AG73" s="2780"/>
      <c r="AH73" s="2780"/>
      <c r="AI73" s="2780"/>
      <c r="AJ73" s="2780"/>
      <c r="AK73" s="2782"/>
      <c r="AL73" s="2782"/>
      <c r="AM73" s="2784"/>
      <c r="AN73" s="2785"/>
      <c r="AO73" s="2787"/>
      <c r="AP73" s="2774"/>
      <c r="AQ73" s="2776"/>
    </row>
    <row r="74" spans="1:43" ht="123.75" customHeight="1" x14ac:dyDescent="0.25">
      <c r="A74" s="1691"/>
      <c r="B74" s="843"/>
      <c r="C74" s="986"/>
      <c r="D74" s="985"/>
      <c r="E74" s="843"/>
      <c r="F74" s="986"/>
      <c r="G74" s="985"/>
      <c r="H74" s="843"/>
      <c r="I74" s="986"/>
      <c r="J74" s="2639"/>
      <c r="K74" s="2056"/>
      <c r="L74" s="2056"/>
      <c r="M74" s="2767"/>
      <c r="N74" s="2754"/>
      <c r="O74" s="2242"/>
      <c r="P74" s="2056"/>
      <c r="Q74" s="2488"/>
      <c r="R74" s="2768"/>
      <c r="S74" s="2769"/>
      <c r="T74" s="2630"/>
      <c r="U74" s="1718" t="s">
        <v>2231</v>
      </c>
      <c r="V74" s="1700">
        <v>10000000</v>
      </c>
      <c r="W74" s="1217">
        <v>20</v>
      </c>
      <c r="X74" s="1228" t="s">
        <v>2143</v>
      </c>
      <c r="Y74" s="2792"/>
      <c r="Z74" s="2792"/>
      <c r="AA74" s="2785"/>
      <c r="AB74" s="2789"/>
      <c r="AC74" s="2789"/>
      <c r="AD74" s="2789"/>
      <c r="AE74" s="2789"/>
      <c r="AF74" s="2789"/>
      <c r="AG74" s="2780"/>
      <c r="AH74" s="2780"/>
      <c r="AI74" s="2780"/>
      <c r="AJ74" s="2780"/>
      <c r="AK74" s="2782"/>
      <c r="AL74" s="2782"/>
      <c r="AM74" s="2784"/>
      <c r="AN74" s="2785"/>
      <c r="AO74" s="2787"/>
      <c r="AP74" s="2774"/>
      <c r="AQ74" s="2776"/>
    </row>
    <row r="75" spans="1:43" ht="68.25" customHeight="1" x14ac:dyDescent="0.25">
      <c r="A75" s="1691"/>
      <c r="B75" s="843"/>
      <c r="C75" s="986"/>
      <c r="D75" s="985"/>
      <c r="E75" s="843"/>
      <c r="F75" s="986"/>
      <c r="G75" s="985"/>
      <c r="H75" s="843"/>
      <c r="I75" s="986"/>
      <c r="J75" s="2314">
        <v>126</v>
      </c>
      <c r="K75" s="2308" t="s">
        <v>2232</v>
      </c>
      <c r="L75" s="2308" t="s">
        <v>2233</v>
      </c>
      <c r="M75" s="2401" t="s">
        <v>2234</v>
      </c>
      <c r="N75" s="2754"/>
      <c r="O75" s="2242"/>
      <c r="P75" s="2056"/>
      <c r="Q75" s="2488">
        <f>V75*1/R66</f>
        <v>0.03</v>
      </c>
      <c r="R75" s="2768"/>
      <c r="S75" s="2769"/>
      <c r="T75" s="2308" t="s">
        <v>2232</v>
      </c>
      <c r="U75" s="2799" t="s">
        <v>2235</v>
      </c>
      <c r="V75" s="2768">
        <v>6000000</v>
      </c>
      <c r="W75" s="2242">
        <v>20</v>
      </c>
      <c r="X75" s="2628" t="s">
        <v>2143</v>
      </c>
      <c r="Y75" s="2792"/>
      <c r="Z75" s="2792"/>
      <c r="AA75" s="2785"/>
      <c r="AB75" s="2789"/>
      <c r="AC75" s="2789"/>
      <c r="AD75" s="2789"/>
      <c r="AE75" s="2789"/>
      <c r="AF75" s="2789"/>
      <c r="AG75" s="2780"/>
      <c r="AH75" s="2780"/>
      <c r="AI75" s="2780"/>
      <c r="AJ75" s="2780"/>
      <c r="AK75" s="2782"/>
      <c r="AL75" s="2782"/>
      <c r="AM75" s="2784"/>
      <c r="AN75" s="2785"/>
      <c r="AO75" s="2787"/>
      <c r="AP75" s="2774"/>
      <c r="AQ75" s="2776"/>
    </row>
    <row r="76" spans="1:43" ht="16.5" thickBot="1" x14ac:dyDescent="0.3">
      <c r="A76" s="1715"/>
      <c r="B76" s="1695"/>
      <c r="C76" s="999"/>
      <c r="D76" s="998"/>
      <c r="E76" s="1695"/>
      <c r="F76" s="999"/>
      <c r="G76" s="998"/>
      <c r="H76" s="1695"/>
      <c r="I76" s="999"/>
      <c r="J76" s="2317"/>
      <c r="K76" s="2310"/>
      <c r="L76" s="2310"/>
      <c r="M76" s="2401"/>
      <c r="N76" s="2754"/>
      <c r="O76" s="2242"/>
      <c r="P76" s="2056"/>
      <c r="Q76" s="2488"/>
      <c r="R76" s="2768"/>
      <c r="S76" s="2770"/>
      <c r="T76" s="2309"/>
      <c r="U76" s="2800"/>
      <c r="V76" s="2801"/>
      <c r="W76" s="2243"/>
      <c r="X76" s="2629"/>
      <c r="Y76" s="2793"/>
      <c r="Z76" s="2793"/>
      <c r="AA76" s="2786"/>
      <c r="AB76" s="2790"/>
      <c r="AC76" s="2790"/>
      <c r="AD76" s="2790"/>
      <c r="AE76" s="2790"/>
      <c r="AF76" s="2790"/>
      <c r="AG76" s="2781"/>
      <c r="AH76" s="2781"/>
      <c r="AI76" s="2781"/>
      <c r="AJ76" s="2781"/>
      <c r="AK76" s="2783"/>
      <c r="AL76" s="2783"/>
      <c r="AM76" s="2784"/>
      <c r="AN76" s="2786"/>
      <c r="AO76" s="2788"/>
      <c r="AP76" s="2775"/>
      <c r="AQ76" s="2777"/>
    </row>
    <row r="77" spans="1:43" ht="16.5" thickBot="1" x14ac:dyDescent="0.3">
      <c r="A77" s="1720"/>
      <c r="B77" s="1721"/>
      <c r="C77" s="1721"/>
      <c r="D77" s="1721"/>
      <c r="E77" s="1721"/>
      <c r="F77" s="1721"/>
      <c r="G77" s="1721"/>
      <c r="H77" s="1721"/>
      <c r="I77" s="1721"/>
      <c r="J77" s="1721"/>
      <c r="K77" s="1721"/>
      <c r="L77" s="1721"/>
      <c r="M77" s="1721"/>
      <c r="N77" s="1721"/>
      <c r="O77" s="1721"/>
      <c r="P77" s="1721"/>
      <c r="Q77" s="1722"/>
      <c r="R77" s="1723">
        <f>SUM(R12:R76)</f>
        <v>3255472658</v>
      </c>
      <c r="S77" s="1720"/>
      <c r="T77" s="1721"/>
      <c r="U77" s="1722"/>
      <c r="V77" s="1724">
        <f>SUM(V11:V76)</f>
        <v>3255472658</v>
      </c>
      <c r="W77" s="1720"/>
      <c r="X77" s="1721"/>
      <c r="Y77" s="1721"/>
      <c r="Z77" s="1721"/>
      <c r="AA77" s="1721"/>
      <c r="AB77" s="1721"/>
      <c r="AC77" s="1721"/>
      <c r="AD77" s="1721"/>
      <c r="AE77" s="1721"/>
      <c r="AF77" s="1721"/>
      <c r="AG77" s="1721"/>
      <c r="AH77" s="1721"/>
      <c r="AI77" s="1721"/>
      <c r="AJ77" s="1721"/>
      <c r="AK77" s="1721"/>
      <c r="AL77" s="1721"/>
      <c r="AM77" s="1721"/>
      <c r="AN77" s="1721"/>
      <c r="AO77" s="1721"/>
      <c r="AP77" s="1721"/>
      <c r="AQ77" s="1722"/>
    </row>
    <row r="78" spans="1:43" ht="51.75" customHeight="1" x14ac:dyDescent="0.25">
      <c r="A78" s="2765" t="s">
        <v>2236</v>
      </c>
      <c r="B78" s="2765"/>
      <c r="C78" s="2765"/>
      <c r="D78" s="2765"/>
      <c r="E78" s="2765"/>
      <c r="F78" s="2765"/>
      <c r="G78" s="2765"/>
      <c r="H78" s="2765"/>
      <c r="I78" s="2765"/>
      <c r="J78" s="2765"/>
    </row>
    <row r="79" spans="1:43" x14ac:dyDescent="0.25">
      <c r="A79" s="2766" t="s">
        <v>2237</v>
      </c>
      <c r="B79" s="2766"/>
      <c r="C79" s="2766"/>
      <c r="D79" s="2766"/>
      <c r="E79" s="2766"/>
      <c r="F79" s="2766"/>
      <c r="G79" s="2766"/>
      <c r="H79" s="2766"/>
      <c r="I79" s="2766"/>
      <c r="J79" s="2766"/>
    </row>
  </sheetData>
  <sheetProtection password="CBEB" sheet="1" objects="1" scenarios="1"/>
  <mergeCells count="379">
    <mergeCell ref="A1:AO4"/>
    <mergeCell ref="A5:M6"/>
    <mergeCell ref="N5:AQ5"/>
    <mergeCell ref="Y6:AM6"/>
    <mergeCell ref="A7:A8"/>
    <mergeCell ref="B7:C8"/>
    <mergeCell ref="D7:D8"/>
    <mergeCell ref="E7:F8"/>
    <mergeCell ref="G7:G8"/>
    <mergeCell ref="H7:I8"/>
    <mergeCell ref="J12:J13"/>
    <mergeCell ref="K12:K13"/>
    <mergeCell ref="L12:L13"/>
    <mergeCell ref="M12:M13"/>
    <mergeCell ref="N12:N18"/>
    <mergeCell ref="O12:O18"/>
    <mergeCell ref="V7:V8"/>
    <mergeCell ref="X7:X8"/>
    <mergeCell ref="Y7:Z7"/>
    <mergeCell ref="P7:P8"/>
    <mergeCell ref="Q7:Q8"/>
    <mergeCell ref="R7:R8"/>
    <mergeCell ref="S7:S8"/>
    <mergeCell ref="T7:T8"/>
    <mergeCell ref="U7:U8"/>
    <mergeCell ref="J7:J8"/>
    <mergeCell ref="K7:K8"/>
    <mergeCell ref="L7:L8"/>
    <mergeCell ref="M7:M8"/>
    <mergeCell ref="N7:N8"/>
    <mergeCell ref="O7:O8"/>
    <mergeCell ref="Q12:Q13"/>
    <mergeCell ref="R12:R18"/>
    <mergeCell ref="S12:S18"/>
    <mergeCell ref="T12:T14"/>
    <mergeCell ref="Y12:Y18"/>
    <mergeCell ref="AN7:AN8"/>
    <mergeCell ref="AO7:AO8"/>
    <mergeCell ref="AP7:AP8"/>
    <mergeCell ref="AQ7:AQ8"/>
    <mergeCell ref="AA7:AD7"/>
    <mergeCell ref="AE7:AJ7"/>
    <mergeCell ref="AK7:AM7"/>
    <mergeCell ref="AL12:AL18"/>
    <mergeCell ref="AM12:AM18"/>
    <mergeCell ref="AN12:AN18"/>
    <mergeCell ref="AO12:AO18"/>
    <mergeCell ref="AP12:AP18"/>
    <mergeCell ref="AQ12:AQ18"/>
    <mergeCell ref="AF12:AF18"/>
    <mergeCell ref="AG12:AG18"/>
    <mergeCell ref="AH12:AH18"/>
    <mergeCell ref="AI12:AI18"/>
    <mergeCell ref="AJ12:AJ18"/>
    <mergeCell ref="AK12:AK18"/>
    <mergeCell ref="AI20:AI21"/>
    <mergeCell ref="T20:T21"/>
    <mergeCell ref="Y20:Y21"/>
    <mergeCell ref="Z20:Z21"/>
    <mergeCell ref="AA20:AA21"/>
    <mergeCell ref="AB20:AB21"/>
    <mergeCell ref="AC20:AC21"/>
    <mergeCell ref="B13:C13"/>
    <mergeCell ref="T15:T18"/>
    <mergeCell ref="B18:C18"/>
    <mergeCell ref="D20:F22"/>
    <mergeCell ref="G20:I21"/>
    <mergeCell ref="N20:N21"/>
    <mergeCell ref="O20:O21"/>
    <mergeCell ref="P20:P21"/>
    <mergeCell ref="R20:R21"/>
    <mergeCell ref="S20:S21"/>
    <mergeCell ref="Z12:Z18"/>
    <mergeCell ref="AA12:AA18"/>
    <mergeCell ref="AB12:AB18"/>
    <mergeCell ref="AC12:AC18"/>
    <mergeCell ref="AD12:AD18"/>
    <mergeCell ref="AE12:AE18"/>
    <mergeCell ref="P12:P18"/>
    <mergeCell ref="S23:S25"/>
    <mergeCell ref="T23:T25"/>
    <mergeCell ref="Y23:Y25"/>
    <mergeCell ref="AP20:AP21"/>
    <mergeCell ref="AQ20:AQ21"/>
    <mergeCell ref="D23:F31"/>
    <mergeCell ref="G23:I31"/>
    <mergeCell ref="J23:J25"/>
    <mergeCell ref="K23:K25"/>
    <mergeCell ref="L23:L25"/>
    <mergeCell ref="M23:M25"/>
    <mergeCell ref="N23:N25"/>
    <mergeCell ref="O23:O25"/>
    <mergeCell ref="AJ20:AJ21"/>
    <mergeCell ref="AK20:AK21"/>
    <mergeCell ref="AL20:AL21"/>
    <mergeCell ref="AM20:AM21"/>
    <mergeCell ref="AN20:AN21"/>
    <mergeCell ref="AO20:AO21"/>
    <mergeCell ref="AD20:AD21"/>
    <mergeCell ref="AE20:AE21"/>
    <mergeCell ref="AF20:AF21"/>
    <mergeCell ref="AG20:AG21"/>
    <mergeCell ref="AH20:AH21"/>
    <mergeCell ref="M26:M27"/>
    <mergeCell ref="N26:N31"/>
    <mergeCell ref="O26:O31"/>
    <mergeCell ref="AL23:AL25"/>
    <mergeCell ref="AM23:AM25"/>
    <mergeCell ref="AN23:AN25"/>
    <mergeCell ref="AO23:AO25"/>
    <mergeCell ref="AP23:AP25"/>
    <mergeCell ref="AQ23:AQ25"/>
    <mergeCell ref="AF23:AF25"/>
    <mergeCell ref="AG23:AG25"/>
    <mergeCell ref="AH23:AH25"/>
    <mergeCell ref="AI23:AI25"/>
    <mergeCell ref="AJ23:AJ25"/>
    <mergeCell ref="AK23:AK25"/>
    <mergeCell ref="Z23:Z25"/>
    <mergeCell ref="AA23:AA25"/>
    <mergeCell ref="AB23:AB25"/>
    <mergeCell ref="AC23:AC25"/>
    <mergeCell ref="AD23:AD25"/>
    <mergeCell ref="AE23:AE25"/>
    <mergeCell ref="P23:P25"/>
    <mergeCell ref="Q23:Q25"/>
    <mergeCell ref="R23:R25"/>
    <mergeCell ref="AM26:AM31"/>
    <mergeCell ref="AN26:AN31"/>
    <mergeCell ref="AO26:AO31"/>
    <mergeCell ref="AP26:AP31"/>
    <mergeCell ref="AQ26:AQ31"/>
    <mergeCell ref="AF26:AF31"/>
    <mergeCell ref="AG26:AG31"/>
    <mergeCell ref="AH26:AH31"/>
    <mergeCell ref="AI26:AI31"/>
    <mergeCell ref="AJ26:AJ31"/>
    <mergeCell ref="AK26:AK31"/>
    <mergeCell ref="L35:L36"/>
    <mergeCell ref="M35:M36"/>
    <mergeCell ref="N35:N42"/>
    <mergeCell ref="O35:O42"/>
    <mergeCell ref="J37:J38"/>
    <mergeCell ref="K37:K38"/>
    <mergeCell ref="L37:L38"/>
    <mergeCell ref="M37:M38"/>
    <mergeCell ref="AL26:AL31"/>
    <mergeCell ref="Z26:Z31"/>
    <mergeCell ref="AA26:AA31"/>
    <mergeCell ref="AB26:AB31"/>
    <mergeCell ref="AC26:AC31"/>
    <mergeCell ref="AD26:AD31"/>
    <mergeCell ref="AE26:AE31"/>
    <mergeCell ref="P26:P31"/>
    <mergeCell ref="Q26:Q27"/>
    <mergeCell ref="R26:R31"/>
    <mergeCell ref="S26:S31"/>
    <mergeCell ref="T26:T29"/>
    <mergeCell ref="Y26:Y31"/>
    <mergeCell ref="J26:J27"/>
    <mergeCell ref="K26:K27"/>
    <mergeCell ref="L26:L27"/>
    <mergeCell ref="AO35:AO42"/>
    <mergeCell ref="AP35:AP42"/>
    <mergeCell ref="AQ35:AQ42"/>
    <mergeCell ref="AF35:AF42"/>
    <mergeCell ref="AG35:AG42"/>
    <mergeCell ref="AH35:AH42"/>
    <mergeCell ref="AI35:AI42"/>
    <mergeCell ref="AJ35:AJ42"/>
    <mergeCell ref="AK35:AK42"/>
    <mergeCell ref="J39:J41"/>
    <mergeCell ref="K39:K41"/>
    <mergeCell ref="L39:L41"/>
    <mergeCell ref="M39:M41"/>
    <mergeCell ref="Q39:Q41"/>
    <mergeCell ref="T39:T42"/>
    <mergeCell ref="AL35:AL42"/>
    <mergeCell ref="AM35:AM42"/>
    <mergeCell ref="AN35:AN42"/>
    <mergeCell ref="Z35:Z42"/>
    <mergeCell ref="AA35:AA42"/>
    <mergeCell ref="AB35:AB42"/>
    <mergeCell ref="AC35:AC42"/>
    <mergeCell ref="AD35:AD42"/>
    <mergeCell ref="AE35:AE42"/>
    <mergeCell ref="P35:P42"/>
    <mergeCell ref="Q35:Q36"/>
    <mergeCell ref="R35:R42"/>
    <mergeCell ref="S35:S42"/>
    <mergeCell ref="T35:T38"/>
    <mergeCell ref="Y35:Y42"/>
    <mergeCell ref="Q37:Q38"/>
    <mergeCell ref="J35:J36"/>
    <mergeCell ref="K35:K36"/>
    <mergeCell ref="S44:S50"/>
    <mergeCell ref="T44:T46"/>
    <mergeCell ref="Y44:Y50"/>
    <mergeCell ref="Z44:Z50"/>
    <mergeCell ref="J44:J46"/>
    <mergeCell ref="K44:K46"/>
    <mergeCell ref="L44:L46"/>
    <mergeCell ref="M44:M46"/>
    <mergeCell ref="O44:O50"/>
    <mergeCell ref="P44:P50"/>
    <mergeCell ref="AM44:AM50"/>
    <mergeCell ref="AN44:AN50"/>
    <mergeCell ref="AO44:AO50"/>
    <mergeCell ref="AP44:AP50"/>
    <mergeCell ref="AQ44:AQ50"/>
    <mergeCell ref="K47:K48"/>
    <mergeCell ref="L47:L48"/>
    <mergeCell ref="M47:M48"/>
    <mergeCell ref="Q47:Q48"/>
    <mergeCell ref="T47:T48"/>
    <mergeCell ref="AG44:AG50"/>
    <mergeCell ref="AH44:AH50"/>
    <mergeCell ref="AI44:AI50"/>
    <mergeCell ref="AJ44:AJ50"/>
    <mergeCell ref="AK44:AK50"/>
    <mergeCell ref="AL44:AL50"/>
    <mergeCell ref="AA44:AA50"/>
    <mergeCell ref="AB44:AB50"/>
    <mergeCell ref="AC44:AC50"/>
    <mergeCell ref="AD44:AD50"/>
    <mergeCell ref="AE44:AE50"/>
    <mergeCell ref="AF44:AF50"/>
    <mergeCell ref="Q44:Q46"/>
    <mergeCell ref="R44:R50"/>
    <mergeCell ref="R52:R53"/>
    <mergeCell ref="S52:S53"/>
    <mergeCell ref="Y52:Y53"/>
    <mergeCell ref="Z52:Z53"/>
    <mergeCell ref="AA52:AA53"/>
    <mergeCell ref="K52:K53"/>
    <mergeCell ref="L52:L53"/>
    <mergeCell ref="M52:M53"/>
    <mergeCell ref="N52:N53"/>
    <mergeCell ref="O52:O53"/>
    <mergeCell ref="P52:P53"/>
    <mergeCell ref="AE55:AE58"/>
    <mergeCell ref="AN52:AN53"/>
    <mergeCell ref="AO52:AO53"/>
    <mergeCell ref="AP52:AP53"/>
    <mergeCell ref="AQ52:AQ53"/>
    <mergeCell ref="N55:N58"/>
    <mergeCell ref="O55:O58"/>
    <mergeCell ref="P55:P58"/>
    <mergeCell ref="R55:R58"/>
    <mergeCell ref="S55:S58"/>
    <mergeCell ref="Y55:Y58"/>
    <mergeCell ref="AH52:AH53"/>
    <mergeCell ref="AI52:AI53"/>
    <mergeCell ref="AJ52:AJ53"/>
    <mergeCell ref="AK52:AK53"/>
    <mergeCell ref="AL52:AL53"/>
    <mergeCell ref="AM52:AM53"/>
    <mergeCell ref="AB52:AB53"/>
    <mergeCell ref="AC52:AC53"/>
    <mergeCell ref="AD52:AD53"/>
    <mergeCell ref="AE52:AE53"/>
    <mergeCell ref="AF52:AF53"/>
    <mergeCell ref="AG52:AG53"/>
    <mergeCell ref="Q52:Q53"/>
    <mergeCell ref="AL55:AL58"/>
    <mergeCell ref="AM55:AM58"/>
    <mergeCell ref="AN55:AN58"/>
    <mergeCell ref="AO55:AO58"/>
    <mergeCell ref="AP55:AP58"/>
    <mergeCell ref="AQ55:AQ58"/>
    <mergeCell ref="AF55:AF58"/>
    <mergeCell ref="AG55:AG58"/>
    <mergeCell ref="AH55:AH58"/>
    <mergeCell ref="AI55:AI58"/>
    <mergeCell ref="AJ55:AJ58"/>
    <mergeCell ref="AK55:AK58"/>
    <mergeCell ref="AA60:AA62"/>
    <mergeCell ref="AB60:AB62"/>
    <mergeCell ref="AC60:AC62"/>
    <mergeCell ref="AD60:AD62"/>
    <mergeCell ref="T57:T58"/>
    <mergeCell ref="N60:N62"/>
    <mergeCell ref="O60:O62"/>
    <mergeCell ref="P60:P62"/>
    <mergeCell ref="R60:R62"/>
    <mergeCell ref="S60:S62"/>
    <mergeCell ref="Z55:Z58"/>
    <mergeCell ref="AA55:AA58"/>
    <mergeCell ref="AB55:AB58"/>
    <mergeCell ref="AC55:AC58"/>
    <mergeCell ref="AD55:AD58"/>
    <mergeCell ref="AQ60:AQ62"/>
    <mergeCell ref="T61:T62"/>
    <mergeCell ref="J66:J67"/>
    <mergeCell ref="K66:K67"/>
    <mergeCell ref="L66:L67"/>
    <mergeCell ref="M66:M67"/>
    <mergeCell ref="N66:N76"/>
    <mergeCell ref="O66:O76"/>
    <mergeCell ref="P66:P76"/>
    <mergeCell ref="Q66:Q67"/>
    <mergeCell ref="AK60:AK62"/>
    <mergeCell ref="AL60:AL62"/>
    <mergeCell ref="AM60:AM62"/>
    <mergeCell ref="AN60:AN62"/>
    <mergeCell ref="AO60:AO62"/>
    <mergeCell ref="AP60:AP62"/>
    <mergeCell ref="AE60:AE62"/>
    <mergeCell ref="AF60:AF62"/>
    <mergeCell ref="AG60:AG62"/>
    <mergeCell ref="AH60:AH62"/>
    <mergeCell ref="AI60:AI62"/>
    <mergeCell ref="AJ60:AJ62"/>
    <mergeCell ref="Y60:Y62"/>
    <mergeCell ref="Z60:Z62"/>
    <mergeCell ref="Z66:Z76"/>
    <mergeCell ref="AA66:AA76"/>
    <mergeCell ref="AB66:AB76"/>
    <mergeCell ref="AC66:AC76"/>
    <mergeCell ref="X68:X70"/>
    <mergeCell ref="X71:X72"/>
    <mergeCell ref="X75:X76"/>
    <mergeCell ref="U66:U67"/>
    <mergeCell ref="V66:V67"/>
    <mergeCell ref="W66:W67"/>
    <mergeCell ref="W68:W70"/>
    <mergeCell ref="U71:U72"/>
    <mergeCell ref="V71:V72"/>
    <mergeCell ref="W71:W72"/>
    <mergeCell ref="U75:U76"/>
    <mergeCell ref="V75:V76"/>
    <mergeCell ref="W75:W76"/>
    <mergeCell ref="AP66:AP76"/>
    <mergeCell ref="AQ66:AQ76"/>
    <mergeCell ref="J68:J70"/>
    <mergeCell ref="K68:K70"/>
    <mergeCell ref="L68:L70"/>
    <mergeCell ref="M68:M70"/>
    <mergeCell ref="Q68:Q70"/>
    <mergeCell ref="T68:T70"/>
    <mergeCell ref="U68:U70"/>
    <mergeCell ref="V68:V70"/>
    <mergeCell ref="AJ66:AJ76"/>
    <mergeCell ref="AK66:AK76"/>
    <mergeCell ref="AL66:AL76"/>
    <mergeCell ref="AM66:AM76"/>
    <mergeCell ref="AN66:AN76"/>
    <mergeCell ref="AO66:AO76"/>
    <mergeCell ref="AD66:AD76"/>
    <mergeCell ref="AE66:AE76"/>
    <mergeCell ref="AF66:AF76"/>
    <mergeCell ref="AG66:AG76"/>
    <mergeCell ref="AH66:AH76"/>
    <mergeCell ref="AI66:AI76"/>
    <mergeCell ref="X66:X67"/>
    <mergeCell ref="Y66:Y76"/>
    <mergeCell ref="A78:J78"/>
    <mergeCell ref="A79:J79"/>
    <mergeCell ref="J75:J76"/>
    <mergeCell ref="K75:K76"/>
    <mergeCell ref="L75:L76"/>
    <mergeCell ref="M75:M76"/>
    <mergeCell ref="Q75:Q76"/>
    <mergeCell ref="T75:T76"/>
    <mergeCell ref="J73:J74"/>
    <mergeCell ref="K73:K74"/>
    <mergeCell ref="L73:L74"/>
    <mergeCell ref="M73:M74"/>
    <mergeCell ref="Q73:Q74"/>
    <mergeCell ref="T73:T74"/>
    <mergeCell ref="R66:R76"/>
    <mergeCell ref="S66:S76"/>
    <mergeCell ref="T66:T67"/>
    <mergeCell ref="J71:J72"/>
    <mergeCell ref="K71:K72"/>
    <mergeCell ref="L71:L72"/>
    <mergeCell ref="M71:M72"/>
    <mergeCell ref="Q71:Q72"/>
    <mergeCell ref="T71:T7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K87"/>
  <sheetViews>
    <sheetView showGridLines="0" topLeftCell="P1" zoomScale="50" zoomScaleNormal="50" workbookViewId="0">
      <selection activeCell="N12" sqref="N12:N15"/>
    </sheetView>
  </sheetViews>
  <sheetFormatPr baseColWidth="10" defaultColWidth="11.42578125" defaultRowHeight="14.25" x14ac:dyDescent="0.2"/>
  <cols>
    <col min="1" max="1" width="15.28515625" style="135" customWidth="1"/>
    <col min="2" max="2" width="7.28515625" style="4" customWidth="1"/>
    <col min="3" max="3" width="10.5703125" style="4" customWidth="1"/>
    <col min="4" max="4" width="13.140625" style="4" customWidth="1"/>
    <col min="5" max="5" width="16.28515625" style="4" customWidth="1"/>
    <col min="6" max="6" width="5.5703125" style="4" hidden="1" customWidth="1"/>
    <col min="7" max="7" width="14.28515625" style="4" customWidth="1"/>
    <col min="8" max="8" width="7.5703125" style="4" customWidth="1"/>
    <col min="9" max="9" width="15.140625" style="4" customWidth="1"/>
    <col min="10" max="10" width="13.42578125" style="4" customWidth="1"/>
    <col min="11" max="11" width="32.7109375" style="111" customWidth="1"/>
    <col min="12" max="12" width="18.5703125" style="112" customWidth="1"/>
    <col min="13" max="13" width="20.28515625" style="3" customWidth="1"/>
    <col min="14" max="14" width="28.42578125" style="3" customWidth="1"/>
    <col min="15" max="15" width="15.7109375" style="13" customWidth="1"/>
    <col min="16" max="16" width="31" style="111" customWidth="1"/>
    <col min="17" max="17" width="17" style="113" customWidth="1"/>
    <col min="18" max="18" width="16.42578125" style="114" customWidth="1"/>
    <col min="19" max="19" width="21.42578125" style="111" customWidth="1"/>
    <col min="20" max="20" width="25.7109375" style="111" customWidth="1"/>
    <col min="21" max="21" width="25.85546875" style="111" customWidth="1"/>
    <col min="22" max="22" width="27.140625" style="132" customWidth="1"/>
    <col min="23" max="23" width="12.42578125" style="116" customWidth="1"/>
    <col min="24" max="24" width="19.42578125" style="111" customWidth="1"/>
    <col min="25" max="27" width="13.140625" style="4" bestFit="1" customWidth="1"/>
    <col min="28" max="28" width="11.5703125" style="4" bestFit="1" customWidth="1"/>
    <col min="29" max="29" width="13.140625" style="4" bestFit="1" customWidth="1"/>
    <col min="30" max="30" width="11.5703125" style="4" bestFit="1" customWidth="1"/>
    <col min="31" max="31" width="8.28515625" style="4" customWidth="1"/>
    <col min="32" max="32" width="11.5703125" style="4" bestFit="1" customWidth="1"/>
    <col min="33" max="36" width="8.28515625" style="4" customWidth="1"/>
    <col min="37" max="38" width="11.5703125" style="4" bestFit="1" customWidth="1"/>
    <col min="39" max="39" width="10" style="4" bestFit="1" customWidth="1"/>
    <col min="40" max="40" width="13.140625" style="4" bestFit="1" customWidth="1"/>
    <col min="41" max="41" width="12.5703125" style="4" customWidth="1"/>
    <col min="42" max="42" width="20.28515625" style="4" customWidth="1"/>
    <col min="43" max="43" width="26.28515625" style="134" customWidth="1"/>
    <col min="44" max="256" width="11.42578125" style="4"/>
    <col min="257" max="257" width="10.5703125" style="4" bestFit="1" customWidth="1"/>
    <col min="258" max="258" width="16.5703125" style="4" bestFit="1" customWidth="1"/>
    <col min="259" max="259" width="16.5703125" style="4" customWidth="1"/>
    <col min="260" max="261" width="14.7109375" style="4" customWidth="1"/>
    <col min="262" max="262" width="15.28515625" style="4" bestFit="1" customWidth="1"/>
    <col min="263" max="264" width="14.42578125" style="4" customWidth="1"/>
    <col min="265" max="265" width="21.5703125" style="4" customWidth="1"/>
    <col min="266" max="266" width="11.5703125" style="4" customWidth="1"/>
    <col min="267" max="267" width="18.140625" style="4" customWidth="1"/>
    <col min="268" max="268" width="15" style="4" customWidth="1"/>
    <col min="269" max="269" width="18.140625" style="4" customWidth="1"/>
    <col min="270" max="270" width="20.28515625" style="4" customWidth="1"/>
    <col min="271" max="271" width="8.28515625" style="4" customWidth="1"/>
    <col min="272" max="272" width="15.28515625" style="4" customWidth="1"/>
    <col min="273" max="273" width="12.7109375" style="4" customWidth="1"/>
    <col min="274" max="274" width="16.42578125" style="4" customWidth="1"/>
    <col min="275" max="275" width="15.7109375" style="4" customWidth="1"/>
    <col min="276" max="276" width="18.7109375" style="4" customWidth="1"/>
    <col min="277" max="277" width="21.42578125" style="4" customWidth="1"/>
    <col min="278" max="278" width="22" style="4" customWidth="1"/>
    <col min="279" max="279" width="12.42578125" style="4" customWidth="1"/>
    <col min="280" max="280" width="14" style="4" customWidth="1"/>
    <col min="281" max="283" width="10.5703125" style="4" bestFit="1" customWidth="1"/>
    <col min="284" max="284" width="9.28515625" style="4" bestFit="1" customWidth="1"/>
    <col min="285" max="285" width="12.85546875" style="4" bestFit="1" customWidth="1"/>
    <col min="286" max="286" width="9.28515625" style="4" bestFit="1" customWidth="1"/>
    <col min="287" max="287" width="8.28515625" style="4" customWidth="1"/>
    <col min="288" max="288" width="9.28515625" style="4" bestFit="1" customWidth="1"/>
    <col min="289" max="292" width="8.28515625" style="4" customWidth="1"/>
    <col min="293" max="295" width="9.28515625" style="4" bestFit="1" customWidth="1"/>
    <col min="296" max="296" width="10.5703125" style="4" bestFit="1" customWidth="1"/>
    <col min="297" max="297" width="12.5703125" style="4" customWidth="1"/>
    <col min="298" max="298" width="20.28515625" style="4" customWidth="1"/>
    <col min="299" max="299" width="19.5703125" style="4" customWidth="1"/>
    <col min="300" max="512" width="11.42578125" style="4"/>
    <col min="513" max="513" width="10.5703125" style="4" bestFit="1" customWidth="1"/>
    <col min="514" max="514" width="16.5703125" style="4" bestFit="1" customWidth="1"/>
    <col min="515" max="515" width="16.5703125" style="4" customWidth="1"/>
    <col min="516" max="517" width="14.7109375" style="4" customWidth="1"/>
    <col min="518" max="518" width="15.28515625" style="4" bestFit="1" customWidth="1"/>
    <col min="519" max="520" width="14.42578125" style="4" customWidth="1"/>
    <col min="521" max="521" width="21.5703125" style="4" customWidth="1"/>
    <col min="522" max="522" width="11.5703125" style="4" customWidth="1"/>
    <col min="523" max="523" width="18.140625" style="4" customWidth="1"/>
    <col min="524" max="524" width="15" style="4" customWidth="1"/>
    <col min="525" max="525" width="18.140625" style="4" customWidth="1"/>
    <col min="526" max="526" width="20.28515625" style="4" customWidth="1"/>
    <col min="527" max="527" width="8.28515625" style="4" customWidth="1"/>
    <col min="528" max="528" width="15.28515625" style="4" customWidth="1"/>
    <col min="529" max="529" width="12.7109375" style="4" customWidth="1"/>
    <col min="530" max="530" width="16.42578125" style="4" customWidth="1"/>
    <col min="531" max="531" width="15.7109375" style="4" customWidth="1"/>
    <col min="532" max="532" width="18.7109375" style="4" customWidth="1"/>
    <col min="533" max="533" width="21.42578125" style="4" customWidth="1"/>
    <col min="534" max="534" width="22" style="4" customWidth="1"/>
    <col min="535" max="535" width="12.42578125" style="4" customWidth="1"/>
    <col min="536" max="536" width="14" style="4" customWidth="1"/>
    <col min="537" max="539" width="10.5703125" style="4" bestFit="1" customWidth="1"/>
    <col min="540" max="540" width="9.28515625" style="4" bestFit="1" customWidth="1"/>
    <col min="541" max="541" width="12.85546875" style="4" bestFit="1" customWidth="1"/>
    <col min="542" max="542" width="9.28515625" style="4" bestFit="1" customWidth="1"/>
    <col min="543" max="543" width="8.28515625" style="4" customWidth="1"/>
    <col min="544" max="544" width="9.28515625" style="4" bestFit="1" customWidth="1"/>
    <col min="545" max="548" width="8.28515625" style="4" customWidth="1"/>
    <col min="549" max="551" width="9.28515625" style="4" bestFit="1" customWidth="1"/>
    <col min="552" max="552" width="10.5703125" style="4" bestFit="1" customWidth="1"/>
    <col min="553" max="553" width="12.5703125" style="4" customWidth="1"/>
    <col min="554" max="554" width="20.28515625" style="4" customWidth="1"/>
    <col min="555" max="555" width="19.5703125" style="4" customWidth="1"/>
    <col min="556" max="768" width="11.42578125" style="4"/>
    <col min="769" max="769" width="10.5703125" style="4" bestFit="1" customWidth="1"/>
    <col min="770" max="770" width="16.5703125" style="4" bestFit="1" customWidth="1"/>
    <col min="771" max="771" width="16.5703125" style="4" customWidth="1"/>
    <col min="772" max="773" width="14.7109375" style="4" customWidth="1"/>
    <col min="774" max="774" width="15.28515625" style="4" bestFit="1" customWidth="1"/>
    <col min="775" max="776" width="14.42578125" style="4" customWidth="1"/>
    <col min="777" max="777" width="21.5703125" style="4" customWidth="1"/>
    <col min="778" max="778" width="11.5703125" style="4" customWidth="1"/>
    <col min="779" max="779" width="18.140625" style="4" customWidth="1"/>
    <col min="780" max="780" width="15" style="4" customWidth="1"/>
    <col min="781" max="781" width="18.140625" style="4" customWidth="1"/>
    <col min="782" max="782" width="20.28515625" style="4" customWidth="1"/>
    <col min="783" max="783" width="8.28515625" style="4" customWidth="1"/>
    <col min="784" max="784" width="15.28515625" style="4" customWidth="1"/>
    <col min="785" max="785" width="12.7109375" style="4" customWidth="1"/>
    <col min="786" max="786" width="16.42578125" style="4" customWidth="1"/>
    <col min="787" max="787" width="15.7109375" style="4" customWidth="1"/>
    <col min="788" max="788" width="18.7109375" style="4" customWidth="1"/>
    <col min="789" max="789" width="21.42578125" style="4" customWidth="1"/>
    <col min="790" max="790" width="22" style="4" customWidth="1"/>
    <col min="791" max="791" width="12.42578125" style="4" customWidth="1"/>
    <col min="792" max="792" width="14" style="4" customWidth="1"/>
    <col min="793" max="795" width="10.5703125" style="4" bestFit="1" customWidth="1"/>
    <col min="796" max="796" width="9.28515625" style="4" bestFit="1" customWidth="1"/>
    <col min="797" max="797" width="12.85546875" style="4" bestFit="1" customWidth="1"/>
    <col min="798" max="798" width="9.28515625" style="4" bestFit="1" customWidth="1"/>
    <col min="799" max="799" width="8.28515625" style="4" customWidth="1"/>
    <col min="800" max="800" width="9.28515625" style="4" bestFit="1" customWidth="1"/>
    <col min="801" max="804" width="8.28515625" style="4" customWidth="1"/>
    <col min="805" max="807" width="9.28515625" style="4" bestFit="1" customWidth="1"/>
    <col min="808" max="808" width="10.5703125" style="4" bestFit="1" customWidth="1"/>
    <col min="809" max="809" width="12.5703125" style="4" customWidth="1"/>
    <col min="810" max="810" width="20.28515625" style="4" customWidth="1"/>
    <col min="811" max="811" width="19.5703125" style="4" customWidth="1"/>
    <col min="812" max="1024" width="11.42578125" style="4"/>
    <col min="1025" max="1025" width="10.5703125" style="4" bestFit="1" customWidth="1"/>
    <col min="1026" max="1026" width="16.5703125" style="4" bestFit="1" customWidth="1"/>
    <col min="1027" max="1027" width="16.5703125" style="4" customWidth="1"/>
    <col min="1028" max="1029" width="14.7109375" style="4" customWidth="1"/>
    <col min="1030" max="1030" width="15.28515625" style="4" bestFit="1" customWidth="1"/>
    <col min="1031" max="1032" width="14.42578125" style="4" customWidth="1"/>
    <col min="1033" max="1033" width="21.5703125" style="4" customWidth="1"/>
    <col min="1034" max="1034" width="11.5703125" style="4" customWidth="1"/>
    <col min="1035" max="1035" width="18.140625" style="4" customWidth="1"/>
    <col min="1036" max="1036" width="15" style="4" customWidth="1"/>
    <col min="1037" max="1037" width="18.140625" style="4" customWidth="1"/>
    <col min="1038" max="1038" width="20.28515625" style="4" customWidth="1"/>
    <col min="1039" max="1039" width="8.28515625" style="4" customWidth="1"/>
    <col min="1040" max="1040" width="15.28515625" style="4" customWidth="1"/>
    <col min="1041" max="1041" width="12.7109375" style="4" customWidth="1"/>
    <col min="1042" max="1042" width="16.42578125" style="4" customWidth="1"/>
    <col min="1043" max="1043" width="15.7109375" style="4" customWidth="1"/>
    <col min="1044" max="1044" width="18.7109375" style="4" customWidth="1"/>
    <col min="1045" max="1045" width="21.42578125" style="4" customWidth="1"/>
    <col min="1046" max="1046" width="22" style="4" customWidth="1"/>
    <col min="1047" max="1047" width="12.42578125" style="4" customWidth="1"/>
    <col min="1048" max="1048" width="14" style="4" customWidth="1"/>
    <col min="1049" max="1051" width="10.5703125" style="4" bestFit="1" customWidth="1"/>
    <col min="1052" max="1052" width="9.28515625" style="4" bestFit="1" customWidth="1"/>
    <col min="1053" max="1053" width="12.85546875" style="4" bestFit="1" customWidth="1"/>
    <col min="1054" max="1054" width="9.28515625" style="4" bestFit="1" customWidth="1"/>
    <col min="1055" max="1055" width="8.28515625" style="4" customWidth="1"/>
    <col min="1056" max="1056" width="9.28515625" style="4" bestFit="1" customWidth="1"/>
    <col min="1057" max="1060" width="8.28515625" style="4" customWidth="1"/>
    <col min="1061" max="1063" width="9.28515625" style="4" bestFit="1" customWidth="1"/>
    <col min="1064" max="1064" width="10.5703125" style="4" bestFit="1" customWidth="1"/>
    <col min="1065" max="1065" width="12.5703125" style="4" customWidth="1"/>
    <col min="1066" max="1066" width="20.28515625" style="4" customWidth="1"/>
    <col min="1067" max="1067" width="19.5703125" style="4" customWidth="1"/>
    <col min="1068" max="1280" width="11.42578125" style="4"/>
    <col min="1281" max="1281" width="10.5703125" style="4" bestFit="1" customWidth="1"/>
    <col min="1282" max="1282" width="16.5703125" style="4" bestFit="1" customWidth="1"/>
    <col min="1283" max="1283" width="16.5703125" style="4" customWidth="1"/>
    <col min="1284" max="1285" width="14.7109375" style="4" customWidth="1"/>
    <col min="1286" max="1286" width="15.28515625" style="4" bestFit="1" customWidth="1"/>
    <col min="1287" max="1288" width="14.42578125" style="4" customWidth="1"/>
    <col min="1289" max="1289" width="21.5703125" style="4" customWidth="1"/>
    <col min="1290" max="1290" width="11.5703125" style="4" customWidth="1"/>
    <col min="1291" max="1291" width="18.140625" style="4" customWidth="1"/>
    <col min="1292" max="1292" width="15" style="4" customWidth="1"/>
    <col min="1293" max="1293" width="18.140625" style="4" customWidth="1"/>
    <col min="1294" max="1294" width="20.28515625" style="4" customWidth="1"/>
    <col min="1295" max="1295" width="8.28515625" style="4" customWidth="1"/>
    <col min="1296" max="1296" width="15.28515625" style="4" customWidth="1"/>
    <col min="1297" max="1297" width="12.7109375" style="4" customWidth="1"/>
    <col min="1298" max="1298" width="16.42578125" style="4" customWidth="1"/>
    <col min="1299" max="1299" width="15.7109375" style="4" customWidth="1"/>
    <col min="1300" max="1300" width="18.7109375" style="4" customWidth="1"/>
    <col min="1301" max="1301" width="21.42578125" style="4" customWidth="1"/>
    <col min="1302" max="1302" width="22" style="4" customWidth="1"/>
    <col min="1303" max="1303" width="12.42578125" style="4" customWidth="1"/>
    <col min="1304" max="1304" width="14" style="4" customWidth="1"/>
    <col min="1305" max="1307" width="10.5703125" style="4" bestFit="1" customWidth="1"/>
    <col min="1308" max="1308" width="9.28515625" style="4" bestFit="1" customWidth="1"/>
    <col min="1309" max="1309" width="12.85546875" style="4" bestFit="1" customWidth="1"/>
    <col min="1310" max="1310" width="9.28515625" style="4" bestFit="1" customWidth="1"/>
    <col min="1311" max="1311" width="8.28515625" style="4" customWidth="1"/>
    <col min="1312" max="1312" width="9.28515625" style="4" bestFit="1" customWidth="1"/>
    <col min="1313" max="1316" width="8.28515625" style="4" customWidth="1"/>
    <col min="1317" max="1319" width="9.28515625" style="4" bestFit="1" customWidth="1"/>
    <col min="1320" max="1320" width="10.5703125" style="4" bestFit="1" customWidth="1"/>
    <col min="1321" max="1321" width="12.5703125" style="4" customWidth="1"/>
    <col min="1322" max="1322" width="20.28515625" style="4" customWidth="1"/>
    <col min="1323" max="1323" width="19.5703125" style="4" customWidth="1"/>
    <col min="1324" max="1536" width="11.42578125" style="4"/>
    <col min="1537" max="1537" width="10.5703125" style="4" bestFit="1" customWidth="1"/>
    <col min="1538" max="1538" width="16.5703125" style="4" bestFit="1" customWidth="1"/>
    <col min="1539" max="1539" width="16.5703125" style="4" customWidth="1"/>
    <col min="1540" max="1541" width="14.7109375" style="4" customWidth="1"/>
    <col min="1542" max="1542" width="15.28515625" style="4" bestFit="1" customWidth="1"/>
    <col min="1543" max="1544" width="14.42578125" style="4" customWidth="1"/>
    <col min="1545" max="1545" width="21.5703125" style="4" customWidth="1"/>
    <col min="1546" max="1546" width="11.5703125" style="4" customWidth="1"/>
    <col min="1547" max="1547" width="18.140625" style="4" customWidth="1"/>
    <col min="1548" max="1548" width="15" style="4" customWidth="1"/>
    <col min="1549" max="1549" width="18.140625" style="4" customWidth="1"/>
    <col min="1550" max="1550" width="20.28515625" style="4" customWidth="1"/>
    <col min="1551" max="1551" width="8.28515625" style="4" customWidth="1"/>
    <col min="1552" max="1552" width="15.28515625" style="4" customWidth="1"/>
    <col min="1553" max="1553" width="12.7109375" style="4" customWidth="1"/>
    <col min="1554" max="1554" width="16.42578125" style="4" customWidth="1"/>
    <col min="1555" max="1555" width="15.7109375" style="4" customWidth="1"/>
    <col min="1556" max="1556" width="18.7109375" style="4" customWidth="1"/>
    <col min="1557" max="1557" width="21.42578125" style="4" customWidth="1"/>
    <col min="1558" max="1558" width="22" style="4" customWidth="1"/>
    <col min="1559" max="1559" width="12.42578125" style="4" customWidth="1"/>
    <col min="1560" max="1560" width="14" style="4" customWidth="1"/>
    <col min="1561" max="1563" width="10.5703125" style="4" bestFit="1" customWidth="1"/>
    <col min="1564" max="1564" width="9.28515625" style="4" bestFit="1" customWidth="1"/>
    <col min="1565" max="1565" width="12.85546875" style="4" bestFit="1" customWidth="1"/>
    <col min="1566" max="1566" width="9.28515625" style="4" bestFit="1" customWidth="1"/>
    <col min="1567" max="1567" width="8.28515625" style="4" customWidth="1"/>
    <col min="1568" max="1568" width="9.28515625" style="4" bestFit="1" customWidth="1"/>
    <col min="1569" max="1572" width="8.28515625" style="4" customWidth="1"/>
    <col min="1573" max="1575" width="9.28515625" style="4" bestFit="1" customWidth="1"/>
    <col min="1576" max="1576" width="10.5703125" style="4" bestFit="1" customWidth="1"/>
    <col min="1577" max="1577" width="12.5703125" style="4" customWidth="1"/>
    <col min="1578" max="1578" width="20.28515625" style="4" customWidth="1"/>
    <col min="1579" max="1579" width="19.5703125" style="4" customWidth="1"/>
    <col min="1580" max="1792" width="11.42578125" style="4"/>
    <col min="1793" max="1793" width="10.5703125" style="4" bestFit="1" customWidth="1"/>
    <col min="1794" max="1794" width="16.5703125" style="4" bestFit="1" customWidth="1"/>
    <col min="1795" max="1795" width="16.5703125" style="4" customWidth="1"/>
    <col min="1796" max="1797" width="14.7109375" style="4" customWidth="1"/>
    <col min="1798" max="1798" width="15.28515625" style="4" bestFit="1" customWidth="1"/>
    <col min="1799" max="1800" width="14.42578125" style="4" customWidth="1"/>
    <col min="1801" max="1801" width="21.5703125" style="4" customWidth="1"/>
    <col min="1802" max="1802" width="11.5703125" style="4" customWidth="1"/>
    <col min="1803" max="1803" width="18.140625" style="4" customWidth="1"/>
    <col min="1804" max="1804" width="15" style="4" customWidth="1"/>
    <col min="1805" max="1805" width="18.140625" style="4" customWidth="1"/>
    <col min="1806" max="1806" width="20.28515625" style="4" customWidth="1"/>
    <col min="1807" max="1807" width="8.28515625" style="4" customWidth="1"/>
    <col min="1808" max="1808" width="15.28515625" style="4" customWidth="1"/>
    <col min="1809" max="1809" width="12.7109375" style="4" customWidth="1"/>
    <col min="1810" max="1810" width="16.42578125" style="4" customWidth="1"/>
    <col min="1811" max="1811" width="15.7109375" style="4" customWidth="1"/>
    <col min="1812" max="1812" width="18.7109375" style="4" customWidth="1"/>
    <col min="1813" max="1813" width="21.42578125" style="4" customWidth="1"/>
    <col min="1814" max="1814" width="22" style="4" customWidth="1"/>
    <col min="1815" max="1815" width="12.42578125" style="4" customWidth="1"/>
    <col min="1816" max="1816" width="14" style="4" customWidth="1"/>
    <col min="1817" max="1819" width="10.5703125" style="4" bestFit="1" customWidth="1"/>
    <col min="1820" max="1820" width="9.28515625" style="4" bestFit="1" customWidth="1"/>
    <col min="1821" max="1821" width="12.85546875" style="4" bestFit="1" customWidth="1"/>
    <col min="1822" max="1822" width="9.28515625" style="4" bestFit="1" customWidth="1"/>
    <col min="1823" max="1823" width="8.28515625" style="4" customWidth="1"/>
    <col min="1824" max="1824" width="9.28515625" style="4" bestFit="1" customWidth="1"/>
    <col min="1825" max="1828" width="8.28515625" style="4" customWidth="1"/>
    <col min="1829" max="1831" width="9.28515625" style="4" bestFit="1" customWidth="1"/>
    <col min="1832" max="1832" width="10.5703125" style="4" bestFit="1" customWidth="1"/>
    <col min="1833" max="1833" width="12.5703125" style="4" customWidth="1"/>
    <col min="1834" max="1834" width="20.28515625" style="4" customWidth="1"/>
    <col min="1835" max="1835" width="19.5703125" style="4" customWidth="1"/>
    <col min="1836" max="2048" width="11.42578125" style="4"/>
    <col min="2049" max="2049" width="10.5703125" style="4" bestFit="1" customWidth="1"/>
    <col min="2050" max="2050" width="16.5703125" style="4" bestFit="1" customWidth="1"/>
    <col min="2051" max="2051" width="16.5703125" style="4" customWidth="1"/>
    <col min="2052" max="2053" width="14.7109375" style="4" customWidth="1"/>
    <col min="2054" max="2054" width="15.28515625" style="4" bestFit="1" customWidth="1"/>
    <col min="2055" max="2056" width="14.42578125" style="4" customWidth="1"/>
    <col min="2057" max="2057" width="21.5703125" style="4" customWidth="1"/>
    <col min="2058" max="2058" width="11.5703125" style="4" customWidth="1"/>
    <col min="2059" max="2059" width="18.140625" style="4" customWidth="1"/>
    <col min="2060" max="2060" width="15" style="4" customWidth="1"/>
    <col min="2061" max="2061" width="18.140625" style="4" customWidth="1"/>
    <col min="2062" max="2062" width="20.28515625" style="4" customWidth="1"/>
    <col min="2063" max="2063" width="8.28515625" style="4" customWidth="1"/>
    <col min="2064" max="2064" width="15.28515625" style="4" customWidth="1"/>
    <col min="2065" max="2065" width="12.7109375" style="4" customWidth="1"/>
    <col min="2066" max="2066" width="16.42578125" style="4" customWidth="1"/>
    <col min="2067" max="2067" width="15.7109375" style="4" customWidth="1"/>
    <col min="2068" max="2068" width="18.7109375" style="4" customWidth="1"/>
    <col min="2069" max="2069" width="21.42578125" style="4" customWidth="1"/>
    <col min="2070" max="2070" width="22" style="4" customWidth="1"/>
    <col min="2071" max="2071" width="12.42578125" style="4" customWidth="1"/>
    <col min="2072" max="2072" width="14" style="4" customWidth="1"/>
    <col min="2073" max="2075" width="10.5703125" style="4" bestFit="1" customWidth="1"/>
    <col min="2076" max="2076" width="9.28515625" style="4" bestFit="1" customWidth="1"/>
    <col min="2077" max="2077" width="12.85546875" style="4" bestFit="1" customWidth="1"/>
    <col min="2078" max="2078" width="9.28515625" style="4" bestFit="1" customWidth="1"/>
    <col min="2079" max="2079" width="8.28515625" style="4" customWidth="1"/>
    <col min="2080" max="2080" width="9.28515625" style="4" bestFit="1" customWidth="1"/>
    <col min="2081" max="2084" width="8.28515625" style="4" customWidth="1"/>
    <col min="2085" max="2087" width="9.28515625" style="4" bestFit="1" customWidth="1"/>
    <col min="2088" max="2088" width="10.5703125" style="4" bestFit="1" customWidth="1"/>
    <col min="2089" max="2089" width="12.5703125" style="4" customWidth="1"/>
    <col min="2090" max="2090" width="20.28515625" style="4" customWidth="1"/>
    <col min="2091" max="2091" width="19.5703125" style="4" customWidth="1"/>
    <col min="2092" max="2304" width="11.42578125" style="4"/>
    <col min="2305" max="2305" width="10.5703125" style="4" bestFit="1" customWidth="1"/>
    <col min="2306" max="2306" width="16.5703125" style="4" bestFit="1" customWidth="1"/>
    <col min="2307" max="2307" width="16.5703125" style="4" customWidth="1"/>
    <col min="2308" max="2309" width="14.7109375" style="4" customWidth="1"/>
    <col min="2310" max="2310" width="15.28515625" style="4" bestFit="1" customWidth="1"/>
    <col min="2311" max="2312" width="14.42578125" style="4" customWidth="1"/>
    <col min="2313" max="2313" width="21.5703125" style="4" customWidth="1"/>
    <col min="2314" max="2314" width="11.5703125" style="4" customWidth="1"/>
    <col min="2315" max="2315" width="18.140625" style="4" customWidth="1"/>
    <col min="2316" max="2316" width="15" style="4" customWidth="1"/>
    <col min="2317" max="2317" width="18.140625" style="4" customWidth="1"/>
    <col min="2318" max="2318" width="20.28515625" style="4" customWidth="1"/>
    <col min="2319" max="2319" width="8.28515625" style="4" customWidth="1"/>
    <col min="2320" max="2320" width="15.28515625" style="4" customWidth="1"/>
    <col min="2321" max="2321" width="12.7109375" style="4" customWidth="1"/>
    <col min="2322" max="2322" width="16.42578125" style="4" customWidth="1"/>
    <col min="2323" max="2323" width="15.7109375" style="4" customWidth="1"/>
    <col min="2324" max="2324" width="18.7109375" style="4" customWidth="1"/>
    <col min="2325" max="2325" width="21.42578125" style="4" customWidth="1"/>
    <col min="2326" max="2326" width="22" style="4" customWidth="1"/>
    <col min="2327" max="2327" width="12.42578125" style="4" customWidth="1"/>
    <col min="2328" max="2328" width="14" style="4" customWidth="1"/>
    <col min="2329" max="2331" width="10.5703125" style="4" bestFit="1" customWidth="1"/>
    <col min="2332" max="2332" width="9.28515625" style="4" bestFit="1" customWidth="1"/>
    <col min="2333" max="2333" width="12.85546875" style="4" bestFit="1" customWidth="1"/>
    <col min="2334" max="2334" width="9.28515625" style="4" bestFit="1" customWidth="1"/>
    <col min="2335" max="2335" width="8.28515625" style="4" customWidth="1"/>
    <col min="2336" max="2336" width="9.28515625" style="4" bestFit="1" customWidth="1"/>
    <col min="2337" max="2340" width="8.28515625" style="4" customWidth="1"/>
    <col min="2341" max="2343" width="9.28515625" style="4" bestFit="1" customWidth="1"/>
    <col min="2344" max="2344" width="10.5703125" style="4" bestFit="1" customWidth="1"/>
    <col min="2345" max="2345" width="12.5703125" style="4" customWidth="1"/>
    <col min="2346" max="2346" width="20.28515625" style="4" customWidth="1"/>
    <col min="2347" max="2347" width="19.5703125" style="4" customWidth="1"/>
    <col min="2348" max="2560" width="11.42578125" style="4"/>
    <col min="2561" max="2561" width="10.5703125" style="4" bestFit="1" customWidth="1"/>
    <col min="2562" max="2562" width="16.5703125" style="4" bestFit="1" customWidth="1"/>
    <col min="2563" max="2563" width="16.5703125" style="4" customWidth="1"/>
    <col min="2564" max="2565" width="14.7109375" style="4" customWidth="1"/>
    <col min="2566" max="2566" width="15.28515625" style="4" bestFit="1" customWidth="1"/>
    <col min="2567" max="2568" width="14.42578125" style="4" customWidth="1"/>
    <col min="2569" max="2569" width="21.5703125" style="4" customWidth="1"/>
    <col min="2570" max="2570" width="11.5703125" style="4" customWidth="1"/>
    <col min="2571" max="2571" width="18.140625" style="4" customWidth="1"/>
    <col min="2572" max="2572" width="15" style="4" customWidth="1"/>
    <col min="2573" max="2573" width="18.140625" style="4" customWidth="1"/>
    <col min="2574" max="2574" width="20.28515625" style="4" customWidth="1"/>
    <col min="2575" max="2575" width="8.28515625" style="4" customWidth="1"/>
    <col min="2576" max="2576" width="15.28515625" style="4" customWidth="1"/>
    <col min="2577" max="2577" width="12.7109375" style="4" customWidth="1"/>
    <col min="2578" max="2578" width="16.42578125" style="4" customWidth="1"/>
    <col min="2579" max="2579" width="15.7109375" style="4" customWidth="1"/>
    <col min="2580" max="2580" width="18.7109375" style="4" customWidth="1"/>
    <col min="2581" max="2581" width="21.42578125" style="4" customWidth="1"/>
    <col min="2582" max="2582" width="22" style="4" customWidth="1"/>
    <col min="2583" max="2583" width="12.42578125" style="4" customWidth="1"/>
    <col min="2584" max="2584" width="14" style="4" customWidth="1"/>
    <col min="2585" max="2587" width="10.5703125" style="4" bestFit="1" customWidth="1"/>
    <col min="2588" max="2588" width="9.28515625" style="4" bestFit="1" customWidth="1"/>
    <col min="2589" max="2589" width="12.85546875" style="4" bestFit="1" customWidth="1"/>
    <col min="2590" max="2590" width="9.28515625" style="4" bestFit="1" customWidth="1"/>
    <col min="2591" max="2591" width="8.28515625" style="4" customWidth="1"/>
    <col min="2592" max="2592" width="9.28515625" style="4" bestFit="1" customWidth="1"/>
    <col min="2593" max="2596" width="8.28515625" style="4" customWidth="1"/>
    <col min="2597" max="2599" width="9.28515625" style="4" bestFit="1" customWidth="1"/>
    <col min="2600" max="2600" width="10.5703125" style="4" bestFit="1" customWidth="1"/>
    <col min="2601" max="2601" width="12.5703125" style="4" customWidth="1"/>
    <col min="2602" max="2602" width="20.28515625" style="4" customWidth="1"/>
    <col min="2603" max="2603" width="19.5703125" style="4" customWidth="1"/>
    <col min="2604" max="2816" width="11.42578125" style="4"/>
    <col min="2817" max="2817" width="10.5703125" style="4" bestFit="1" customWidth="1"/>
    <col min="2818" max="2818" width="16.5703125" style="4" bestFit="1" customWidth="1"/>
    <col min="2819" max="2819" width="16.5703125" style="4" customWidth="1"/>
    <col min="2820" max="2821" width="14.7109375" style="4" customWidth="1"/>
    <col min="2822" max="2822" width="15.28515625" style="4" bestFit="1" customWidth="1"/>
    <col min="2823" max="2824" width="14.42578125" style="4" customWidth="1"/>
    <col min="2825" max="2825" width="21.5703125" style="4" customWidth="1"/>
    <col min="2826" max="2826" width="11.5703125" style="4" customWidth="1"/>
    <col min="2827" max="2827" width="18.140625" style="4" customWidth="1"/>
    <col min="2828" max="2828" width="15" style="4" customWidth="1"/>
    <col min="2829" max="2829" width="18.140625" style="4" customWidth="1"/>
    <col min="2830" max="2830" width="20.28515625" style="4" customWidth="1"/>
    <col min="2831" max="2831" width="8.28515625" style="4" customWidth="1"/>
    <col min="2832" max="2832" width="15.28515625" style="4" customWidth="1"/>
    <col min="2833" max="2833" width="12.7109375" style="4" customWidth="1"/>
    <col min="2834" max="2834" width="16.42578125" style="4" customWidth="1"/>
    <col min="2835" max="2835" width="15.7109375" style="4" customWidth="1"/>
    <col min="2836" max="2836" width="18.7109375" style="4" customWidth="1"/>
    <col min="2837" max="2837" width="21.42578125" style="4" customWidth="1"/>
    <col min="2838" max="2838" width="22" style="4" customWidth="1"/>
    <col min="2839" max="2839" width="12.42578125" style="4" customWidth="1"/>
    <col min="2840" max="2840" width="14" style="4" customWidth="1"/>
    <col min="2841" max="2843" width="10.5703125" style="4" bestFit="1" customWidth="1"/>
    <col min="2844" max="2844" width="9.28515625" style="4" bestFit="1" customWidth="1"/>
    <col min="2845" max="2845" width="12.85546875" style="4" bestFit="1" customWidth="1"/>
    <col min="2846" max="2846" width="9.28515625" style="4" bestFit="1" customWidth="1"/>
    <col min="2847" max="2847" width="8.28515625" style="4" customWidth="1"/>
    <col min="2848" max="2848" width="9.28515625" style="4" bestFit="1" customWidth="1"/>
    <col min="2849" max="2852" width="8.28515625" style="4" customWidth="1"/>
    <col min="2853" max="2855" width="9.28515625" style="4" bestFit="1" customWidth="1"/>
    <col min="2856" max="2856" width="10.5703125" style="4" bestFit="1" customWidth="1"/>
    <col min="2857" max="2857" width="12.5703125" style="4" customWidth="1"/>
    <col min="2858" max="2858" width="20.28515625" style="4" customWidth="1"/>
    <col min="2859" max="2859" width="19.5703125" style="4" customWidth="1"/>
    <col min="2860" max="3072" width="11.42578125" style="4"/>
    <col min="3073" max="3073" width="10.5703125" style="4" bestFit="1" customWidth="1"/>
    <col min="3074" max="3074" width="16.5703125" style="4" bestFit="1" customWidth="1"/>
    <col min="3075" max="3075" width="16.5703125" style="4" customWidth="1"/>
    <col min="3076" max="3077" width="14.7109375" style="4" customWidth="1"/>
    <col min="3078" max="3078" width="15.28515625" style="4" bestFit="1" customWidth="1"/>
    <col min="3079" max="3080" width="14.42578125" style="4" customWidth="1"/>
    <col min="3081" max="3081" width="21.5703125" style="4" customWidth="1"/>
    <col min="3082" max="3082" width="11.5703125" style="4" customWidth="1"/>
    <col min="3083" max="3083" width="18.140625" style="4" customWidth="1"/>
    <col min="3084" max="3084" width="15" style="4" customWidth="1"/>
    <col min="3085" max="3085" width="18.140625" style="4" customWidth="1"/>
    <col min="3086" max="3086" width="20.28515625" style="4" customWidth="1"/>
    <col min="3087" max="3087" width="8.28515625" style="4" customWidth="1"/>
    <col min="3088" max="3088" width="15.28515625" style="4" customWidth="1"/>
    <col min="3089" max="3089" width="12.7109375" style="4" customWidth="1"/>
    <col min="3090" max="3090" width="16.42578125" style="4" customWidth="1"/>
    <col min="3091" max="3091" width="15.7109375" style="4" customWidth="1"/>
    <col min="3092" max="3092" width="18.7109375" style="4" customWidth="1"/>
    <col min="3093" max="3093" width="21.42578125" style="4" customWidth="1"/>
    <col min="3094" max="3094" width="22" style="4" customWidth="1"/>
    <col min="3095" max="3095" width="12.42578125" style="4" customWidth="1"/>
    <col min="3096" max="3096" width="14" style="4" customWidth="1"/>
    <col min="3097" max="3099" width="10.5703125" style="4" bestFit="1" customWidth="1"/>
    <col min="3100" max="3100" width="9.28515625" style="4" bestFit="1" customWidth="1"/>
    <col min="3101" max="3101" width="12.85546875" style="4" bestFit="1" customWidth="1"/>
    <col min="3102" max="3102" width="9.28515625" style="4" bestFit="1" customWidth="1"/>
    <col min="3103" max="3103" width="8.28515625" style="4" customWidth="1"/>
    <col min="3104" max="3104" width="9.28515625" style="4" bestFit="1" customWidth="1"/>
    <col min="3105" max="3108" width="8.28515625" style="4" customWidth="1"/>
    <col min="3109" max="3111" width="9.28515625" style="4" bestFit="1" customWidth="1"/>
    <col min="3112" max="3112" width="10.5703125" style="4" bestFit="1" customWidth="1"/>
    <col min="3113" max="3113" width="12.5703125" style="4" customWidth="1"/>
    <col min="3114" max="3114" width="20.28515625" style="4" customWidth="1"/>
    <col min="3115" max="3115" width="19.5703125" style="4" customWidth="1"/>
    <col min="3116" max="3328" width="11.42578125" style="4"/>
    <col min="3329" max="3329" width="10.5703125" style="4" bestFit="1" customWidth="1"/>
    <col min="3330" max="3330" width="16.5703125" style="4" bestFit="1" customWidth="1"/>
    <col min="3331" max="3331" width="16.5703125" style="4" customWidth="1"/>
    <col min="3332" max="3333" width="14.7109375" style="4" customWidth="1"/>
    <col min="3334" max="3334" width="15.28515625" style="4" bestFit="1" customWidth="1"/>
    <col min="3335" max="3336" width="14.42578125" style="4" customWidth="1"/>
    <col min="3337" max="3337" width="21.5703125" style="4" customWidth="1"/>
    <col min="3338" max="3338" width="11.5703125" style="4" customWidth="1"/>
    <col min="3339" max="3339" width="18.140625" style="4" customWidth="1"/>
    <col min="3340" max="3340" width="15" style="4" customWidth="1"/>
    <col min="3341" max="3341" width="18.140625" style="4" customWidth="1"/>
    <col min="3342" max="3342" width="20.28515625" style="4" customWidth="1"/>
    <col min="3343" max="3343" width="8.28515625" style="4" customWidth="1"/>
    <col min="3344" max="3344" width="15.28515625" style="4" customWidth="1"/>
    <col min="3345" max="3345" width="12.7109375" style="4" customWidth="1"/>
    <col min="3346" max="3346" width="16.42578125" style="4" customWidth="1"/>
    <col min="3347" max="3347" width="15.7109375" style="4" customWidth="1"/>
    <col min="3348" max="3348" width="18.7109375" style="4" customWidth="1"/>
    <col min="3349" max="3349" width="21.42578125" style="4" customWidth="1"/>
    <col min="3350" max="3350" width="22" style="4" customWidth="1"/>
    <col min="3351" max="3351" width="12.42578125" style="4" customWidth="1"/>
    <col min="3352" max="3352" width="14" style="4" customWidth="1"/>
    <col min="3353" max="3355" width="10.5703125" style="4" bestFit="1" customWidth="1"/>
    <col min="3356" max="3356" width="9.28515625" style="4" bestFit="1" customWidth="1"/>
    <col min="3357" max="3357" width="12.85546875" style="4" bestFit="1" customWidth="1"/>
    <col min="3358" max="3358" width="9.28515625" style="4" bestFit="1" customWidth="1"/>
    <col min="3359" max="3359" width="8.28515625" style="4" customWidth="1"/>
    <col min="3360" max="3360" width="9.28515625" style="4" bestFit="1" customWidth="1"/>
    <col min="3361" max="3364" width="8.28515625" style="4" customWidth="1"/>
    <col min="3365" max="3367" width="9.28515625" style="4" bestFit="1" customWidth="1"/>
    <col min="3368" max="3368" width="10.5703125" style="4" bestFit="1" customWidth="1"/>
    <col min="3369" max="3369" width="12.5703125" style="4" customWidth="1"/>
    <col min="3370" max="3370" width="20.28515625" style="4" customWidth="1"/>
    <col min="3371" max="3371" width="19.5703125" style="4" customWidth="1"/>
    <col min="3372" max="3584" width="11.42578125" style="4"/>
    <col min="3585" max="3585" width="10.5703125" style="4" bestFit="1" customWidth="1"/>
    <col min="3586" max="3586" width="16.5703125" style="4" bestFit="1" customWidth="1"/>
    <col min="3587" max="3587" width="16.5703125" style="4" customWidth="1"/>
    <col min="3588" max="3589" width="14.7109375" style="4" customWidth="1"/>
    <col min="3590" max="3590" width="15.28515625" style="4" bestFit="1" customWidth="1"/>
    <col min="3591" max="3592" width="14.42578125" style="4" customWidth="1"/>
    <col min="3593" max="3593" width="21.5703125" style="4" customWidth="1"/>
    <col min="3594" max="3594" width="11.5703125" style="4" customWidth="1"/>
    <col min="3595" max="3595" width="18.140625" style="4" customWidth="1"/>
    <col min="3596" max="3596" width="15" style="4" customWidth="1"/>
    <col min="3597" max="3597" width="18.140625" style="4" customWidth="1"/>
    <col min="3598" max="3598" width="20.28515625" style="4" customWidth="1"/>
    <col min="3599" max="3599" width="8.28515625" style="4" customWidth="1"/>
    <col min="3600" max="3600" width="15.28515625" style="4" customWidth="1"/>
    <col min="3601" max="3601" width="12.7109375" style="4" customWidth="1"/>
    <col min="3602" max="3602" width="16.42578125" style="4" customWidth="1"/>
    <col min="3603" max="3603" width="15.7109375" style="4" customWidth="1"/>
    <col min="3604" max="3604" width="18.7109375" style="4" customWidth="1"/>
    <col min="3605" max="3605" width="21.42578125" style="4" customWidth="1"/>
    <col min="3606" max="3606" width="22" style="4" customWidth="1"/>
    <col min="3607" max="3607" width="12.42578125" style="4" customWidth="1"/>
    <col min="3608" max="3608" width="14" style="4" customWidth="1"/>
    <col min="3609" max="3611" width="10.5703125" style="4" bestFit="1" customWidth="1"/>
    <col min="3612" max="3612" width="9.28515625" style="4" bestFit="1" customWidth="1"/>
    <col min="3613" max="3613" width="12.85546875" style="4" bestFit="1" customWidth="1"/>
    <col min="3614" max="3614" width="9.28515625" style="4" bestFit="1" customWidth="1"/>
    <col min="3615" max="3615" width="8.28515625" style="4" customWidth="1"/>
    <col min="3616" max="3616" width="9.28515625" style="4" bestFit="1" customWidth="1"/>
    <col min="3617" max="3620" width="8.28515625" style="4" customWidth="1"/>
    <col min="3621" max="3623" width="9.28515625" style="4" bestFit="1" customWidth="1"/>
    <col min="3624" max="3624" width="10.5703125" style="4" bestFit="1" customWidth="1"/>
    <col min="3625" max="3625" width="12.5703125" style="4" customWidth="1"/>
    <col min="3626" max="3626" width="20.28515625" style="4" customWidth="1"/>
    <col min="3627" max="3627" width="19.5703125" style="4" customWidth="1"/>
    <col min="3628" max="3840" width="11.42578125" style="4"/>
    <col min="3841" max="3841" width="10.5703125" style="4" bestFit="1" customWidth="1"/>
    <col min="3842" max="3842" width="16.5703125" style="4" bestFit="1" customWidth="1"/>
    <col min="3843" max="3843" width="16.5703125" style="4" customWidth="1"/>
    <col min="3844" max="3845" width="14.7109375" style="4" customWidth="1"/>
    <col min="3846" max="3846" width="15.28515625" style="4" bestFit="1" customWidth="1"/>
    <col min="3847" max="3848" width="14.42578125" style="4" customWidth="1"/>
    <col min="3849" max="3849" width="21.5703125" style="4" customWidth="1"/>
    <col min="3850" max="3850" width="11.5703125" style="4" customWidth="1"/>
    <col min="3851" max="3851" width="18.140625" style="4" customWidth="1"/>
    <col min="3852" max="3852" width="15" style="4" customWidth="1"/>
    <col min="3853" max="3853" width="18.140625" style="4" customWidth="1"/>
    <col min="3854" max="3854" width="20.28515625" style="4" customWidth="1"/>
    <col min="3855" max="3855" width="8.28515625" style="4" customWidth="1"/>
    <col min="3856" max="3856" width="15.28515625" style="4" customWidth="1"/>
    <col min="3857" max="3857" width="12.7109375" style="4" customWidth="1"/>
    <col min="3858" max="3858" width="16.42578125" style="4" customWidth="1"/>
    <col min="3859" max="3859" width="15.7109375" style="4" customWidth="1"/>
    <col min="3860" max="3860" width="18.7109375" style="4" customWidth="1"/>
    <col min="3861" max="3861" width="21.42578125" style="4" customWidth="1"/>
    <col min="3862" max="3862" width="22" style="4" customWidth="1"/>
    <col min="3863" max="3863" width="12.42578125" style="4" customWidth="1"/>
    <col min="3864" max="3864" width="14" style="4" customWidth="1"/>
    <col min="3865" max="3867" width="10.5703125" style="4" bestFit="1" customWidth="1"/>
    <col min="3868" max="3868" width="9.28515625" style="4" bestFit="1" customWidth="1"/>
    <col min="3869" max="3869" width="12.85546875" style="4" bestFit="1" customWidth="1"/>
    <col min="3870" max="3870" width="9.28515625" style="4" bestFit="1" customWidth="1"/>
    <col min="3871" max="3871" width="8.28515625" style="4" customWidth="1"/>
    <col min="3872" max="3872" width="9.28515625" style="4" bestFit="1" customWidth="1"/>
    <col min="3873" max="3876" width="8.28515625" style="4" customWidth="1"/>
    <col min="3877" max="3879" width="9.28515625" style="4" bestFit="1" customWidth="1"/>
    <col min="3880" max="3880" width="10.5703125" style="4" bestFit="1" customWidth="1"/>
    <col min="3881" max="3881" width="12.5703125" style="4" customWidth="1"/>
    <col min="3882" max="3882" width="20.28515625" style="4" customWidth="1"/>
    <col min="3883" max="3883" width="19.5703125" style="4" customWidth="1"/>
    <col min="3884" max="4096" width="11.42578125" style="4"/>
    <col min="4097" max="4097" width="10.5703125" style="4" bestFit="1" customWidth="1"/>
    <col min="4098" max="4098" width="16.5703125" style="4" bestFit="1" customWidth="1"/>
    <col min="4099" max="4099" width="16.5703125" style="4" customWidth="1"/>
    <col min="4100" max="4101" width="14.7109375" style="4" customWidth="1"/>
    <col min="4102" max="4102" width="15.28515625" style="4" bestFit="1" customWidth="1"/>
    <col min="4103" max="4104" width="14.42578125" style="4" customWidth="1"/>
    <col min="4105" max="4105" width="21.5703125" style="4" customWidth="1"/>
    <col min="4106" max="4106" width="11.5703125" style="4" customWidth="1"/>
    <col min="4107" max="4107" width="18.140625" style="4" customWidth="1"/>
    <col min="4108" max="4108" width="15" style="4" customWidth="1"/>
    <col min="4109" max="4109" width="18.140625" style="4" customWidth="1"/>
    <col min="4110" max="4110" width="20.28515625" style="4" customWidth="1"/>
    <col min="4111" max="4111" width="8.28515625" style="4" customWidth="1"/>
    <col min="4112" max="4112" width="15.28515625" style="4" customWidth="1"/>
    <col min="4113" max="4113" width="12.7109375" style="4" customWidth="1"/>
    <col min="4114" max="4114" width="16.42578125" style="4" customWidth="1"/>
    <col min="4115" max="4115" width="15.7109375" style="4" customWidth="1"/>
    <col min="4116" max="4116" width="18.7109375" style="4" customWidth="1"/>
    <col min="4117" max="4117" width="21.42578125" style="4" customWidth="1"/>
    <col min="4118" max="4118" width="22" style="4" customWidth="1"/>
    <col min="4119" max="4119" width="12.42578125" style="4" customWidth="1"/>
    <col min="4120" max="4120" width="14" style="4" customWidth="1"/>
    <col min="4121" max="4123" width="10.5703125" style="4" bestFit="1" customWidth="1"/>
    <col min="4124" max="4124" width="9.28515625" style="4" bestFit="1" customWidth="1"/>
    <col min="4125" max="4125" width="12.85546875" style="4" bestFit="1" customWidth="1"/>
    <col min="4126" max="4126" width="9.28515625" style="4" bestFit="1" customWidth="1"/>
    <col min="4127" max="4127" width="8.28515625" style="4" customWidth="1"/>
    <col min="4128" max="4128" width="9.28515625" style="4" bestFit="1" customWidth="1"/>
    <col min="4129" max="4132" width="8.28515625" style="4" customWidth="1"/>
    <col min="4133" max="4135" width="9.28515625" style="4" bestFit="1" customWidth="1"/>
    <col min="4136" max="4136" width="10.5703125" style="4" bestFit="1" customWidth="1"/>
    <col min="4137" max="4137" width="12.5703125" style="4" customWidth="1"/>
    <col min="4138" max="4138" width="20.28515625" style="4" customWidth="1"/>
    <col min="4139" max="4139" width="19.5703125" style="4" customWidth="1"/>
    <col min="4140" max="4352" width="11.42578125" style="4"/>
    <col min="4353" max="4353" width="10.5703125" style="4" bestFit="1" customWidth="1"/>
    <col min="4354" max="4354" width="16.5703125" style="4" bestFit="1" customWidth="1"/>
    <col min="4355" max="4355" width="16.5703125" style="4" customWidth="1"/>
    <col min="4356" max="4357" width="14.7109375" style="4" customWidth="1"/>
    <col min="4358" max="4358" width="15.28515625" style="4" bestFit="1" customWidth="1"/>
    <col min="4359" max="4360" width="14.42578125" style="4" customWidth="1"/>
    <col min="4361" max="4361" width="21.5703125" style="4" customWidth="1"/>
    <col min="4362" max="4362" width="11.5703125" style="4" customWidth="1"/>
    <col min="4363" max="4363" width="18.140625" style="4" customWidth="1"/>
    <col min="4364" max="4364" width="15" style="4" customWidth="1"/>
    <col min="4365" max="4365" width="18.140625" style="4" customWidth="1"/>
    <col min="4366" max="4366" width="20.28515625" style="4" customWidth="1"/>
    <col min="4367" max="4367" width="8.28515625" style="4" customWidth="1"/>
    <col min="4368" max="4368" width="15.28515625" style="4" customWidth="1"/>
    <col min="4369" max="4369" width="12.7109375" style="4" customWidth="1"/>
    <col min="4370" max="4370" width="16.42578125" style="4" customWidth="1"/>
    <col min="4371" max="4371" width="15.7109375" style="4" customWidth="1"/>
    <col min="4372" max="4372" width="18.7109375" style="4" customWidth="1"/>
    <col min="4373" max="4373" width="21.42578125" style="4" customWidth="1"/>
    <col min="4374" max="4374" width="22" style="4" customWidth="1"/>
    <col min="4375" max="4375" width="12.42578125" style="4" customWidth="1"/>
    <col min="4376" max="4376" width="14" style="4" customWidth="1"/>
    <col min="4377" max="4379" width="10.5703125" style="4" bestFit="1" customWidth="1"/>
    <col min="4380" max="4380" width="9.28515625" style="4" bestFit="1" customWidth="1"/>
    <col min="4381" max="4381" width="12.85546875" style="4" bestFit="1" customWidth="1"/>
    <col min="4382" max="4382" width="9.28515625" style="4" bestFit="1" customWidth="1"/>
    <col min="4383" max="4383" width="8.28515625" style="4" customWidth="1"/>
    <col min="4384" max="4384" width="9.28515625" style="4" bestFit="1" customWidth="1"/>
    <col min="4385" max="4388" width="8.28515625" style="4" customWidth="1"/>
    <col min="4389" max="4391" width="9.28515625" style="4" bestFit="1" customWidth="1"/>
    <col min="4392" max="4392" width="10.5703125" style="4" bestFit="1" customWidth="1"/>
    <col min="4393" max="4393" width="12.5703125" style="4" customWidth="1"/>
    <col min="4394" max="4394" width="20.28515625" style="4" customWidth="1"/>
    <col min="4395" max="4395" width="19.5703125" style="4" customWidth="1"/>
    <col min="4396" max="4608" width="11.42578125" style="4"/>
    <col min="4609" max="4609" width="10.5703125" style="4" bestFit="1" customWidth="1"/>
    <col min="4610" max="4610" width="16.5703125" style="4" bestFit="1" customWidth="1"/>
    <col min="4611" max="4611" width="16.5703125" style="4" customWidth="1"/>
    <col min="4612" max="4613" width="14.7109375" style="4" customWidth="1"/>
    <col min="4614" max="4614" width="15.28515625" style="4" bestFit="1" customWidth="1"/>
    <col min="4615" max="4616" width="14.42578125" style="4" customWidth="1"/>
    <col min="4617" max="4617" width="21.5703125" style="4" customWidth="1"/>
    <col min="4618" max="4618" width="11.5703125" style="4" customWidth="1"/>
    <col min="4619" max="4619" width="18.140625" style="4" customWidth="1"/>
    <col min="4620" max="4620" width="15" style="4" customWidth="1"/>
    <col min="4621" max="4621" width="18.140625" style="4" customWidth="1"/>
    <col min="4622" max="4622" width="20.28515625" style="4" customWidth="1"/>
    <col min="4623" max="4623" width="8.28515625" style="4" customWidth="1"/>
    <col min="4624" max="4624" width="15.28515625" style="4" customWidth="1"/>
    <col min="4625" max="4625" width="12.7109375" style="4" customWidth="1"/>
    <col min="4626" max="4626" width="16.42578125" style="4" customWidth="1"/>
    <col min="4627" max="4627" width="15.7109375" style="4" customWidth="1"/>
    <col min="4628" max="4628" width="18.7109375" style="4" customWidth="1"/>
    <col min="4629" max="4629" width="21.42578125" style="4" customWidth="1"/>
    <col min="4630" max="4630" width="22" style="4" customWidth="1"/>
    <col min="4631" max="4631" width="12.42578125" style="4" customWidth="1"/>
    <col min="4632" max="4632" width="14" style="4" customWidth="1"/>
    <col min="4633" max="4635" width="10.5703125" style="4" bestFit="1" customWidth="1"/>
    <col min="4636" max="4636" width="9.28515625" style="4" bestFit="1" customWidth="1"/>
    <col min="4637" max="4637" width="12.85546875" style="4" bestFit="1" customWidth="1"/>
    <col min="4638" max="4638" width="9.28515625" style="4" bestFit="1" customWidth="1"/>
    <col min="4639" max="4639" width="8.28515625" style="4" customWidth="1"/>
    <col min="4640" max="4640" width="9.28515625" style="4" bestFit="1" customWidth="1"/>
    <col min="4641" max="4644" width="8.28515625" style="4" customWidth="1"/>
    <col min="4645" max="4647" width="9.28515625" style="4" bestFit="1" customWidth="1"/>
    <col min="4648" max="4648" width="10.5703125" style="4" bestFit="1" customWidth="1"/>
    <col min="4649" max="4649" width="12.5703125" style="4" customWidth="1"/>
    <col min="4650" max="4650" width="20.28515625" style="4" customWidth="1"/>
    <col min="4651" max="4651" width="19.5703125" style="4" customWidth="1"/>
    <col min="4652" max="4864" width="11.42578125" style="4"/>
    <col min="4865" max="4865" width="10.5703125" style="4" bestFit="1" customWidth="1"/>
    <col min="4866" max="4866" width="16.5703125" style="4" bestFit="1" customWidth="1"/>
    <col min="4867" max="4867" width="16.5703125" style="4" customWidth="1"/>
    <col min="4868" max="4869" width="14.7109375" style="4" customWidth="1"/>
    <col min="4870" max="4870" width="15.28515625" style="4" bestFit="1" customWidth="1"/>
    <col min="4871" max="4872" width="14.42578125" style="4" customWidth="1"/>
    <col min="4873" max="4873" width="21.5703125" style="4" customWidth="1"/>
    <col min="4874" max="4874" width="11.5703125" style="4" customWidth="1"/>
    <col min="4875" max="4875" width="18.140625" style="4" customWidth="1"/>
    <col min="4876" max="4876" width="15" style="4" customWidth="1"/>
    <col min="4877" max="4877" width="18.140625" style="4" customWidth="1"/>
    <col min="4878" max="4878" width="20.28515625" style="4" customWidth="1"/>
    <col min="4879" max="4879" width="8.28515625" style="4" customWidth="1"/>
    <col min="4880" max="4880" width="15.28515625" style="4" customWidth="1"/>
    <col min="4881" max="4881" width="12.7109375" style="4" customWidth="1"/>
    <col min="4882" max="4882" width="16.42578125" style="4" customWidth="1"/>
    <col min="4883" max="4883" width="15.7109375" style="4" customWidth="1"/>
    <col min="4884" max="4884" width="18.7109375" style="4" customWidth="1"/>
    <col min="4885" max="4885" width="21.42578125" style="4" customWidth="1"/>
    <col min="4886" max="4886" width="22" style="4" customWidth="1"/>
    <col min="4887" max="4887" width="12.42578125" style="4" customWidth="1"/>
    <col min="4888" max="4888" width="14" style="4" customWidth="1"/>
    <col min="4889" max="4891" width="10.5703125" style="4" bestFit="1" customWidth="1"/>
    <col min="4892" max="4892" width="9.28515625" style="4" bestFit="1" customWidth="1"/>
    <col min="4893" max="4893" width="12.85546875" style="4" bestFit="1" customWidth="1"/>
    <col min="4894" max="4894" width="9.28515625" style="4" bestFit="1" customWidth="1"/>
    <col min="4895" max="4895" width="8.28515625" style="4" customWidth="1"/>
    <col min="4896" max="4896" width="9.28515625" style="4" bestFit="1" customWidth="1"/>
    <col min="4897" max="4900" width="8.28515625" style="4" customWidth="1"/>
    <col min="4901" max="4903" width="9.28515625" style="4" bestFit="1" customWidth="1"/>
    <col min="4904" max="4904" width="10.5703125" style="4" bestFit="1" customWidth="1"/>
    <col min="4905" max="4905" width="12.5703125" style="4" customWidth="1"/>
    <col min="4906" max="4906" width="20.28515625" style="4" customWidth="1"/>
    <col min="4907" max="4907" width="19.5703125" style="4" customWidth="1"/>
    <col min="4908" max="5120" width="11.42578125" style="4"/>
    <col min="5121" max="5121" width="10.5703125" style="4" bestFit="1" customWidth="1"/>
    <col min="5122" max="5122" width="16.5703125" style="4" bestFit="1" customWidth="1"/>
    <col min="5123" max="5123" width="16.5703125" style="4" customWidth="1"/>
    <col min="5124" max="5125" width="14.7109375" style="4" customWidth="1"/>
    <col min="5126" max="5126" width="15.28515625" style="4" bestFit="1" customWidth="1"/>
    <col min="5127" max="5128" width="14.42578125" style="4" customWidth="1"/>
    <col min="5129" max="5129" width="21.5703125" style="4" customWidth="1"/>
    <col min="5130" max="5130" width="11.5703125" style="4" customWidth="1"/>
    <col min="5131" max="5131" width="18.140625" style="4" customWidth="1"/>
    <col min="5132" max="5132" width="15" style="4" customWidth="1"/>
    <col min="5133" max="5133" width="18.140625" style="4" customWidth="1"/>
    <col min="5134" max="5134" width="20.28515625" style="4" customWidth="1"/>
    <col min="5135" max="5135" width="8.28515625" style="4" customWidth="1"/>
    <col min="5136" max="5136" width="15.28515625" style="4" customWidth="1"/>
    <col min="5137" max="5137" width="12.7109375" style="4" customWidth="1"/>
    <col min="5138" max="5138" width="16.42578125" style="4" customWidth="1"/>
    <col min="5139" max="5139" width="15.7109375" style="4" customWidth="1"/>
    <col min="5140" max="5140" width="18.7109375" style="4" customWidth="1"/>
    <col min="5141" max="5141" width="21.42578125" style="4" customWidth="1"/>
    <col min="5142" max="5142" width="22" style="4" customWidth="1"/>
    <col min="5143" max="5143" width="12.42578125" style="4" customWidth="1"/>
    <col min="5144" max="5144" width="14" style="4" customWidth="1"/>
    <col min="5145" max="5147" width="10.5703125" style="4" bestFit="1" customWidth="1"/>
    <col min="5148" max="5148" width="9.28515625" style="4" bestFit="1" customWidth="1"/>
    <col min="5149" max="5149" width="12.85546875" style="4" bestFit="1" customWidth="1"/>
    <col min="5150" max="5150" width="9.28515625" style="4" bestFit="1" customWidth="1"/>
    <col min="5151" max="5151" width="8.28515625" style="4" customWidth="1"/>
    <col min="5152" max="5152" width="9.28515625" style="4" bestFit="1" customWidth="1"/>
    <col min="5153" max="5156" width="8.28515625" style="4" customWidth="1"/>
    <col min="5157" max="5159" width="9.28515625" style="4" bestFit="1" customWidth="1"/>
    <col min="5160" max="5160" width="10.5703125" style="4" bestFit="1" customWidth="1"/>
    <col min="5161" max="5161" width="12.5703125" style="4" customWidth="1"/>
    <col min="5162" max="5162" width="20.28515625" style="4" customWidth="1"/>
    <col min="5163" max="5163" width="19.5703125" style="4" customWidth="1"/>
    <col min="5164" max="5376" width="11.42578125" style="4"/>
    <col min="5377" max="5377" width="10.5703125" style="4" bestFit="1" customWidth="1"/>
    <col min="5378" max="5378" width="16.5703125" style="4" bestFit="1" customWidth="1"/>
    <col min="5379" max="5379" width="16.5703125" style="4" customWidth="1"/>
    <col min="5380" max="5381" width="14.7109375" style="4" customWidth="1"/>
    <col min="5382" max="5382" width="15.28515625" style="4" bestFit="1" customWidth="1"/>
    <col min="5383" max="5384" width="14.42578125" style="4" customWidth="1"/>
    <col min="5385" max="5385" width="21.5703125" style="4" customWidth="1"/>
    <col min="5386" max="5386" width="11.5703125" style="4" customWidth="1"/>
    <col min="5387" max="5387" width="18.140625" style="4" customWidth="1"/>
    <col min="5388" max="5388" width="15" style="4" customWidth="1"/>
    <col min="5389" max="5389" width="18.140625" style="4" customWidth="1"/>
    <col min="5390" max="5390" width="20.28515625" style="4" customWidth="1"/>
    <col min="5391" max="5391" width="8.28515625" style="4" customWidth="1"/>
    <col min="5392" max="5392" width="15.28515625" style="4" customWidth="1"/>
    <col min="5393" max="5393" width="12.7109375" style="4" customWidth="1"/>
    <col min="5394" max="5394" width="16.42578125" style="4" customWidth="1"/>
    <col min="5395" max="5395" width="15.7109375" style="4" customWidth="1"/>
    <col min="5396" max="5396" width="18.7109375" style="4" customWidth="1"/>
    <col min="5397" max="5397" width="21.42578125" style="4" customWidth="1"/>
    <col min="5398" max="5398" width="22" style="4" customWidth="1"/>
    <col min="5399" max="5399" width="12.42578125" style="4" customWidth="1"/>
    <col min="5400" max="5400" width="14" style="4" customWidth="1"/>
    <col min="5401" max="5403" width="10.5703125" style="4" bestFit="1" customWidth="1"/>
    <col min="5404" max="5404" width="9.28515625" style="4" bestFit="1" customWidth="1"/>
    <col min="5405" max="5405" width="12.85546875" style="4" bestFit="1" customWidth="1"/>
    <col min="5406" max="5406" width="9.28515625" style="4" bestFit="1" customWidth="1"/>
    <col min="5407" max="5407" width="8.28515625" style="4" customWidth="1"/>
    <col min="5408" max="5408" width="9.28515625" style="4" bestFit="1" customWidth="1"/>
    <col min="5409" max="5412" width="8.28515625" style="4" customWidth="1"/>
    <col min="5413" max="5415" width="9.28515625" style="4" bestFit="1" customWidth="1"/>
    <col min="5416" max="5416" width="10.5703125" style="4" bestFit="1" customWidth="1"/>
    <col min="5417" max="5417" width="12.5703125" style="4" customWidth="1"/>
    <col min="5418" max="5418" width="20.28515625" style="4" customWidth="1"/>
    <col min="5419" max="5419" width="19.5703125" style="4" customWidth="1"/>
    <col min="5420" max="5632" width="11.42578125" style="4"/>
    <col min="5633" max="5633" width="10.5703125" style="4" bestFit="1" customWidth="1"/>
    <col min="5634" max="5634" width="16.5703125" style="4" bestFit="1" customWidth="1"/>
    <col min="5635" max="5635" width="16.5703125" style="4" customWidth="1"/>
    <col min="5636" max="5637" width="14.7109375" style="4" customWidth="1"/>
    <col min="5638" max="5638" width="15.28515625" style="4" bestFit="1" customWidth="1"/>
    <col min="5639" max="5640" width="14.42578125" style="4" customWidth="1"/>
    <col min="5641" max="5641" width="21.5703125" style="4" customWidth="1"/>
    <col min="5642" max="5642" width="11.5703125" style="4" customWidth="1"/>
    <col min="5643" max="5643" width="18.140625" style="4" customWidth="1"/>
    <col min="5644" max="5644" width="15" style="4" customWidth="1"/>
    <col min="5645" max="5645" width="18.140625" style="4" customWidth="1"/>
    <col min="5646" max="5646" width="20.28515625" style="4" customWidth="1"/>
    <col min="5647" max="5647" width="8.28515625" style="4" customWidth="1"/>
    <col min="5648" max="5648" width="15.28515625" style="4" customWidth="1"/>
    <col min="5649" max="5649" width="12.7109375" style="4" customWidth="1"/>
    <col min="5650" max="5650" width="16.42578125" style="4" customWidth="1"/>
    <col min="5651" max="5651" width="15.7109375" style="4" customWidth="1"/>
    <col min="5652" max="5652" width="18.7109375" style="4" customWidth="1"/>
    <col min="5653" max="5653" width="21.42578125" style="4" customWidth="1"/>
    <col min="5654" max="5654" width="22" style="4" customWidth="1"/>
    <col min="5655" max="5655" width="12.42578125" style="4" customWidth="1"/>
    <col min="5656" max="5656" width="14" style="4" customWidth="1"/>
    <col min="5657" max="5659" width="10.5703125" style="4" bestFit="1" customWidth="1"/>
    <col min="5660" max="5660" width="9.28515625" style="4" bestFit="1" customWidth="1"/>
    <col min="5661" max="5661" width="12.85546875" style="4" bestFit="1" customWidth="1"/>
    <col min="5662" max="5662" width="9.28515625" style="4" bestFit="1" customWidth="1"/>
    <col min="5663" max="5663" width="8.28515625" style="4" customWidth="1"/>
    <col min="5664" max="5664" width="9.28515625" style="4" bestFit="1" customWidth="1"/>
    <col min="5665" max="5668" width="8.28515625" style="4" customWidth="1"/>
    <col min="5669" max="5671" width="9.28515625" style="4" bestFit="1" customWidth="1"/>
    <col min="5672" max="5672" width="10.5703125" style="4" bestFit="1" customWidth="1"/>
    <col min="5673" max="5673" width="12.5703125" style="4" customWidth="1"/>
    <col min="5674" max="5674" width="20.28515625" style="4" customWidth="1"/>
    <col min="5675" max="5675" width="19.5703125" style="4" customWidth="1"/>
    <col min="5676" max="5888" width="11.42578125" style="4"/>
    <col min="5889" max="5889" width="10.5703125" style="4" bestFit="1" customWidth="1"/>
    <col min="5890" max="5890" width="16.5703125" style="4" bestFit="1" customWidth="1"/>
    <col min="5891" max="5891" width="16.5703125" style="4" customWidth="1"/>
    <col min="5892" max="5893" width="14.7109375" style="4" customWidth="1"/>
    <col min="5894" max="5894" width="15.28515625" style="4" bestFit="1" customWidth="1"/>
    <col min="5895" max="5896" width="14.42578125" style="4" customWidth="1"/>
    <col min="5897" max="5897" width="21.5703125" style="4" customWidth="1"/>
    <col min="5898" max="5898" width="11.5703125" style="4" customWidth="1"/>
    <col min="5899" max="5899" width="18.140625" style="4" customWidth="1"/>
    <col min="5900" max="5900" width="15" style="4" customWidth="1"/>
    <col min="5901" max="5901" width="18.140625" style="4" customWidth="1"/>
    <col min="5902" max="5902" width="20.28515625" style="4" customWidth="1"/>
    <col min="5903" max="5903" width="8.28515625" style="4" customWidth="1"/>
    <col min="5904" max="5904" width="15.28515625" style="4" customWidth="1"/>
    <col min="5905" max="5905" width="12.7109375" style="4" customWidth="1"/>
    <col min="5906" max="5906" width="16.42578125" style="4" customWidth="1"/>
    <col min="5907" max="5907" width="15.7109375" style="4" customWidth="1"/>
    <col min="5908" max="5908" width="18.7109375" style="4" customWidth="1"/>
    <col min="5909" max="5909" width="21.42578125" style="4" customWidth="1"/>
    <col min="5910" max="5910" width="22" style="4" customWidth="1"/>
    <col min="5911" max="5911" width="12.42578125" style="4" customWidth="1"/>
    <col min="5912" max="5912" width="14" style="4" customWidth="1"/>
    <col min="5913" max="5915" width="10.5703125" style="4" bestFit="1" customWidth="1"/>
    <col min="5916" max="5916" width="9.28515625" style="4" bestFit="1" customWidth="1"/>
    <col min="5917" max="5917" width="12.85546875" style="4" bestFit="1" customWidth="1"/>
    <col min="5918" max="5918" width="9.28515625" style="4" bestFit="1" customWidth="1"/>
    <col min="5919" max="5919" width="8.28515625" style="4" customWidth="1"/>
    <col min="5920" max="5920" width="9.28515625" style="4" bestFit="1" customWidth="1"/>
    <col min="5921" max="5924" width="8.28515625" style="4" customWidth="1"/>
    <col min="5925" max="5927" width="9.28515625" style="4" bestFit="1" customWidth="1"/>
    <col min="5928" max="5928" width="10.5703125" style="4" bestFit="1" customWidth="1"/>
    <col min="5929" max="5929" width="12.5703125" style="4" customWidth="1"/>
    <col min="5930" max="5930" width="20.28515625" style="4" customWidth="1"/>
    <col min="5931" max="5931" width="19.5703125" style="4" customWidth="1"/>
    <col min="5932" max="6144" width="11.42578125" style="4"/>
    <col min="6145" max="6145" width="10.5703125" style="4" bestFit="1" customWidth="1"/>
    <col min="6146" max="6146" width="16.5703125" style="4" bestFit="1" customWidth="1"/>
    <col min="6147" max="6147" width="16.5703125" style="4" customWidth="1"/>
    <col min="6148" max="6149" width="14.7109375" style="4" customWidth="1"/>
    <col min="6150" max="6150" width="15.28515625" style="4" bestFit="1" customWidth="1"/>
    <col min="6151" max="6152" width="14.42578125" style="4" customWidth="1"/>
    <col min="6153" max="6153" width="21.5703125" style="4" customWidth="1"/>
    <col min="6154" max="6154" width="11.5703125" style="4" customWidth="1"/>
    <col min="6155" max="6155" width="18.140625" style="4" customWidth="1"/>
    <col min="6156" max="6156" width="15" style="4" customWidth="1"/>
    <col min="6157" max="6157" width="18.140625" style="4" customWidth="1"/>
    <col min="6158" max="6158" width="20.28515625" style="4" customWidth="1"/>
    <col min="6159" max="6159" width="8.28515625" style="4" customWidth="1"/>
    <col min="6160" max="6160" width="15.28515625" style="4" customWidth="1"/>
    <col min="6161" max="6161" width="12.7109375" style="4" customWidth="1"/>
    <col min="6162" max="6162" width="16.42578125" style="4" customWidth="1"/>
    <col min="6163" max="6163" width="15.7109375" style="4" customWidth="1"/>
    <col min="6164" max="6164" width="18.7109375" style="4" customWidth="1"/>
    <col min="6165" max="6165" width="21.42578125" style="4" customWidth="1"/>
    <col min="6166" max="6166" width="22" style="4" customWidth="1"/>
    <col min="6167" max="6167" width="12.42578125" style="4" customWidth="1"/>
    <col min="6168" max="6168" width="14" style="4" customWidth="1"/>
    <col min="6169" max="6171" width="10.5703125" style="4" bestFit="1" customWidth="1"/>
    <col min="6172" max="6172" width="9.28515625" style="4" bestFit="1" customWidth="1"/>
    <col min="6173" max="6173" width="12.85546875" style="4" bestFit="1" customWidth="1"/>
    <col min="6174" max="6174" width="9.28515625" style="4" bestFit="1" customWidth="1"/>
    <col min="6175" max="6175" width="8.28515625" style="4" customWidth="1"/>
    <col min="6176" max="6176" width="9.28515625" style="4" bestFit="1" customWidth="1"/>
    <col min="6177" max="6180" width="8.28515625" style="4" customWidth="1"/>
    <col min="6181" max="6183" width="9.28515625" style="4" bestFit="1" customWidth="1"/>
    <col min="6184" max="6184" width="10.5703125" style="4" bestFit="1" customWidth="1"/>
    <col min="6185" max="6185" width="12.5703125" style="4" customWidth="1"/>
    <col min="6186" max="6186" width="20.28515625" style="4" customWidth="1"/>
    <col min="6187" max="6187" width="19.5703125" style="4" customWidth="1"/>
    <col min="6188" max="6400" width="11.42578125" style="4"/>
    <col min="6401" max="6401" width="10.5703125" style="4" bestFit="1" customWidth="1"/>
    <col min="6402" max="6402" width="16.5703125" style="4" bestFit="1" customWidth="1"/>
    <col min="6403" max="6403" width="16.5703125" style="4" customWidth="1"/>
    <col min="6404" max="6405" width="14.7109375" style="4" customWidth="1"/>
    <col min="6406" max="6406" width="15.28515625" style="4" bestFit="1" customWidth="1"/>
    <col min="6407" max="6408" width="14.42578125" style="4" customWidth="1"/>
    <col min="6409" max="6409" width="21.5703125" style="4" customWidth="1"/>
    <col min="6410" max="6410" width="11.5703125" style="4" customWidth="1"/>
    <col min="6411" max="6411" width="18.140625" style="4" customWidth="1"/>
    <col min="6412" max="6412" width="15" style="4" customWidth="1"/>
    <col min="6413" max="6413" width="18.140625" style="4" customWidth="1"/>
    <col min="6414" max="6414" width="20.28515625" style="4" customWidth="1"/>
    <col min="6415" max="6415" width="8.28515625" style="4" customWidth="1"/>
    <col min="6416" max="6416" width="15.28515625" style="4" customWidth="1"/>
    <col min="6417" max="6417" width="12.7109375" style="4" customWidth="1"/>
    <col min="6418" max="6418" width="16.42578125" style="4" customWidth="1"/>
    <col min="6419" max="6419" width="15.7109375" style="4" customWidth="1"/>
    <col min="6420" max="6420" width="18.7109375" style="4" customWidth="1"/>
    <col min="6421" max="6421" width="21.42578125" style="4" customWidth="1"/>
    <col min="6422" max="6422" width="22" style="4" customWidth="1"/>
    <col min="6423" max="6423" width="12.42578125" style="4" customWidth="1"/>
    <col min="6424" max="6424" width="14" style="4" customWidth="1"/>
    <col min="6425" max="6427" width="10.5703125" style="4" bestFit="1" customWidth="1"/>
    <col min="6428" max="6428" width="9.28515625" style="4" bestFit="1" customWidth="1"/>
    <col min="6429" max="6429" width="12.85546875" style="4" bestFit="1" customWidth="1"/>
    <col min="6430" max="6430" width="9.28515625" style="4" bestFit="1" customWidth="1"/>
    <col min="6431" max="6431" width="8.28515625" style="4" customWidth="1"/>
    <col min="6432" max="6432" width="9.28515625" style="4" bestFit="1" customWidth="1"/>
    <col min="6433" max="6436" width="8.28515625" style="4" customWidth="1"/>
    <col min="6437" max="6439" width="9.28515625" style="4" bestFit="1" customWidth="1"/>
    <col min="6440" max="6440" width="10.5703125" style="4" bestFit="1" customWidth="1"/>
    <col min="6441" max="6441" width="12.5703125" style="4" customWidth="1"/>
    <col min="6442" max="6442" width="20.28515625" style="4" customWidth="1"/>
    <col min="6443" max="6443" width="19.5703125" style="4" customWidth="1"/>
    <col min="6444" max="6656" width="11.42578125" style="4"/>
    <col min="6657" max="6657" width="10.5703125" style="4" bestFit="1" customWidth="1"/>
    <col min="6658" max="6658" width="16.5703125" style="4" bestFit="1" customWidth="1"/>
    <col min="6659" max="6659" width="16.5703125" style="4" customWidth="1"/>
    <col min="6660" max="6661" width="14.7109375" style="4" customWidth="1"/>
    <col min="6662" max="6662" width="15.28515625" style="4" bestFit="1" customWidth="1"/>
    <col min="6663" max="6664" width="14.42578125" style="4" customWidth="1"/>
    <col min="6665" max="6665" width="21.5703125" style="4" customWidth="1"/>
    <col min="6666" max="6666" width="11.5703125" style="4" customWidth="1"/>
    <col min="6667" max="6667" width="18.140625" style="4" customWidth="1"/>
    <col min="6668" max="6668" width="15" style="4" customWidth="1"/>
    <col min="6669" max="6669" width="18.140625" style="4" customWidth="1"/>
    <col min="6670" max="6670" width="20.28515625" style="4" customWidth="1"/>
    <col min="6671" max="6671" width="8.28515625" style="4" customWidth="1"/>
    <col min="6672" max="6672" width="15.28515625" style="4" customWidth="1"/>
    <col min="6673" max="6673" width="12.7109375" style="4" customWidth="1"/>
    <col min="6674" max="6674" width="16.42578125" style="4" customWidth="1"/>
    <col min="6675" max="6675" width="15.7109375" style="4" customWidth="1"/>
    <col min="6676" max="6676" width="18.7109375" style="4" customWidth="1"/>
    <col min="6677" max="6677" width="21.42578125" style="4" customWidth="1"/>
    <col min="6678" max="6678" width="22" style="4" customWidth="1"/>
    <col min="6679" max="6679" width="12.42578125" style="4" customWidth="1"/>
    <col min="6680" max="6680" width="14" style="4" customWidth="1"/>
    <col min="6681" max="6683" width="10.5703125" style="4" bestFit="1" customWidth="1"/>
    <col min="6684" max="6684" width="9.28515625" style="4" bestFit="1" customWidth="1"/>
    <col min="6685" max="6685" width="12.85546875" style="4" bestFit="1" customWidth="1"/>
    <col min="6686" max="6686" width="9.28515625" style="4" bestFit="1" customWidth="1"/>
    <col min="6687" max="6687" width="8.28515625" style="4" customWidth="1"/>
    <col min="6688" max="6688" width="9.28515625" style="4" bestFit="1" customWidth="1"/>
    <col min="6689" max="6692" width="8.28515625" style="4" customWidth="1"/>
    <col min="6693" max="6695" width="9.28515625" style="4" bestFit="1" customWidth="1"/>
    <col min="6696" max="6696" width="10.5703125" style="4" bestFit="1" customWidth="1"/>
    <col min="6697" max="6697" width="12.5703125" style="4" customWidth="1"/>
    <col min="6698" max="6698" width="20.28515625" style="4" customWidth="1"/>
    <col min="6699" max="6699" width="19.5703125" style="4" customWidth="1"/>
    <col min="6700" max="6912" width="11.42578125" style="4"/>
    <col min="6913" max="6913" width="10.5703125" style="4" bestFit="1" customWidth="1"/>
    <col min="6914" max="6914" width="16.5703125" style="4" bestFit="1" customWidth="1"/>
    <col min="6915" max="6915" width="16.5703125" style="4" customWidth="1"/>
    <col min="6916" max="6917" width="14.7109375" style="4" customWidth="1"/>
    <col min="6918" max="6918" width="15.28515625" style="4" bestFit="1" customWidth="1"/>
    <col min="6919" max="6920" width="14.42578125" style="4" customWidth="1"/>
    <col min="6921" max="6921" width="21.5703125" style="4" customWidth="1"/>
    <col min="6922" max="6922" width="11.5703125" style="4" customWidth="1"/>
    <col min="6923" max="6923" width="18.140625" style="4" customWidth="1"/>
    <col min="6924" max="6924" width="15" style="4" customWidth="1"/>
    <col min="6925" max="6925" width="18.140625" style="4" customWidth="1"/>
    <col min="6926" max="6926" width="20.28515625" style="4" customWidth="1"/>
    <col min="6927" max="6927" width="8.28515625" style="4" customWidth="1"/>
    <col min="6928" max="6928" width="15.28515625" style="4" customWidth="1"/>
    <col min="6929" max="6929" width="12.7109375" style="4" customWidth="1"/>
    <col min="6930" max="6930" width="16.42578125" style="4" customWidth="1"/>
    <col min="6931" max="6931" width="15.7109375" style="4" customWidth="1"/>
    <col min="6932" max="6932" width="18.7109375" style="4" customWidth="1"/>
    <col min="6933" max="6933" width="21.42578125" style="4" customWidth="1"/>
    <col min="6934" max="6934" width="22" style="4" customWidth="1"/>
    <col min="6935" max="6935" width="12.42578125" style="4" customWidth="1"/>
    <col min="6936" max="6936" width="14" style="4" customWidth="1"/>
    <col min="6937" max="6939" width="10.5703125" style="4" bestFit="1" customWidth="1"/>
    <col min="6940" max="6940" width="9.28515625" style="4" bestFit="1" customWidth="1"/>
    <col min="6941" max="6941" width="12.85546875" style="4" bestFit="1" customWidth="1"/>
    <col min="6942" max="6942" width="9.28515625" style="4" bestFit="1" customWidth="1"/>
    <col min="6943" max="6943" width="8.28515625" style="4" customWidth="1"/>
    <col min="6944" max="6944" width="9.28515625" style="4" bestFit="1" customWidth="1"/>
    <col min="6945" max="6948" width="8.28515625" style="4" customWidth="1"/>
    <col min="6949" max="6951" width="9.28515625" style="4" bestFit="1" customWidth="1"/>
    <col min="6952" max="6952" width="10.5703125" style="4" bestFit="1" customWidth="1"/>
    <col min="6953" max="6953" width="12.5703125" style="4" customWidth="1"/>
    <col min="6954" max="6954" width="20.28515625" style="4" customWidth="1"/>
    <col min="6955" max="6955" width="19.5703125" style="4" customWidth="1"/>
    <col min="6956" max="7168" width="11.42578125" style="4"/>
    <col min="7169" max="7169" width="10.5703125" style="4" bestFit="1" customWidth="1"/>
    <col min="7170" max="7170" width="16.5703125" style="4" bestFit="1" customWidth="1"/>
    <col min="7171" max="7171" width="16.5703125" style="4" customWidth="1"/>
    <col min="7172" max="7173" width="14.7109375" style="4" customWidth="1"/>
    <col min="7174" max="7174" width="15.28515625" style="4" bestFit="1" customWidth="1"/>
    <col min="7175" max="7176" width="14.42578125" style="4" customWidth="1"/>
    <col min="7177" max="7177" width="21.5703125" style="4" customWidth="1"/>
    <col min="7178" max="7178" width="11.5703125" style="4" customWidth="1"/>
    <col min="7179" max="7179" width="18.140625" style="4" customWidth="1"/>
    <col min="7180" max="7180" width="15" style="4" customWidth="1"/>
    <col min="7181" max="7181" width="18.140625" style="4" customWidth="1"/>
    <col min="7182" max="7182" width="20.28515625" style="4" customWidth="1"/>
    <col min="7183" max="7183" width="8.28515625" style="4" customWidth="1"/>
    <col min="7184" max="7184" width="15.28515625" style="4" customWidth="1"/>
    <col min="7185" max="7185" width="12.7109375" style="4" customWidth="1"/>
    <col min="7186" max="7186" width="16.42578125" style="4" customWidth="1"/>
    <col min="7187" max="7187" width="15.7109375" style="4" customWidth="1"/>
    <col min="7188" max="7188" width="18.7109375" style="4" customWidth="1"/>
    <col min="7189" max="7189" width="21.42578125" style="4" customWidth="1"/>
    <col min="7190" max="7190" width="22" style="4" customWidth="1"/>
    <col min="7191" max="7191" width="12.42578125" style="4" customWidth="1"/>
    <col min="7192" max="7192" width="14" style="4" customWidth="1"/>
    <col min="7193" max="7195" width="10.5703125" style="4" bestFit="1" customWidth="1"/>
    <col min="7196" max="7196" width="9.28515625" style="4" bestFit="1" customWidth="1"/>
    <col min="7197" max="7197" width="12.85546875" style="4" bestFit="1" customWidth="1"/>
    <col min="7198" max="7198" width="9.28515625" style="4" bestFit="1" customWidth="1"/>
    <col min="7199" max="7199" width="8.28515625" style="4" customWidth="1"/>
    <col min="7200" max="7200" width="9.28515625" style="4" bestFit="1" customWidth="1"/>
    <col min="7201" max="7204" width="8.28515625" style="4" customWidth="1"/>
    <col min="7205" max="7207" width="9.28515625" style="4" bestFit="1" customWidth="1"/>
    <col min="7208" max="7208" width="10.5703125" style="4" bestFit="1" customWidth="1"/>
    <col min="7209" max="7209" width="12.5703125" style="4" customWidth="1"/>
    <col min="7210" max="7210" width="20.28515625" style="4" customWidth="1"/>
    <col min="7211" max="7211" width="19.5703125" style="4" customWidth="1"/>
    <col min="7212" max="7424" width="11.42578125" style="4"/>
    <col min="7425" max="7425" width="10.5703125" style="4" bestFit="1" customWidth="1"/>
    <col min="7426" max="7426" width="16.5703125" style="4" bestFit="1" customWidth="1"/>
    <col min="7427" max="7427" width="16.5703125" style="4" customWidth="1"/>
    <col min="7428" max="7429" width="14.7109375" style="4" customWidth="1"/>
    <col min="7430" max="7430" width="15.28515625" style="4" bestFit="1" customWidth="1"/>
    <col min="7431" max="7432" width="14.42578125" style="4" customWidth="1"/>
    <col min="7433" max="7433" width="21.5703125" style="4" customWidth="1"/>
    <col min="7434" max="7434" width="11.5703125" style="4" customWidth="1"/>
    <col min="7435" max="7435" width="18.140625" style="4" customWidth="1"/>
    <col min="7436" max="7436" width="15" style="4" customWidth="1"/>
    <col min="7437" max="7437" width="18.140625" style="4" customWidth="1"/>
    <col min="7438" max="7438" width="20.28515625" style="4" customWidth="1"/>
    <col min="7439" max="7439" width="8.28515625" style="4" customWidth="1"/>
    <col min="7440" max="7440" width="15.28515625" style="4" customWidth="1"/>
    <col min="7441" max="7441" width="12.7109375" style="4" customWidth="1"/>
    <col min="7442" max="7442" width="16.42578125" style="4" customWidth="1"/>
    <col min="7443" max="7443" width="15.7109375" style="4" customWidth="1"/>
    <col min="7444" max="7444" width="18.7109375" style="4" customWidth="1"/>
    <col min="7445" max="7445" width="21.42578125" style="4" customWidth="1"/>
    <col min="7446" max="7446" width="22" style="4" customWidth="1"/>
    <col min="7447" max="7447" width="12.42578125" style="4" customWidth="1"/>
    <col min="7448" max="7448" width="14" style="4" customWidth="1"/>
    <col min="7449" max="7451" width="10.5703125" style="4" bestFit="1" customWidth="1"/>
    <col min="7452" max="7452" width="9.28515625" style="4" bestFit="1" customWidth="1"/>
    <col min="7453" max="7453" width="12.85546875" style="4" bestFit="1" customWidth="1"/>
    <col min="7454" max="7454" width="9.28515625" style="4" bestFit="1" customWidth="1"/>
    <col min="7455" max="7455" width="8.28515625" style="4" customWidth="1"/>
    <col min="7456" max="7456" width="9.28515625" style="4" bestFit="1" customWidth="1"/>
    <col min="7457" max="7460" width="8.28515625" style="4" customWidth="1"/>
    <col min="7461" max="7463" width="9.28515625" style="4" bestFit="1" customWidth="1"/>
    <col min="7464" max="7464" width="10.5703125" style="4" bestFit="1" customWidth="1"/>
    <col min="7465" max="7465" width="12.5703125" style="4" customWidth="1"/>
    <col min="7466" max="7466" width="20.28515625" style="4" customWidth="1"/>
    <col min="7467" max="7467" width="19.5703125" style="4" customWidth="1"/>
    <col min="7468" max="7680" width="11.42578125" style="4"/>
    <col min="7681" max="7681" width="10.5703125" style="4" bestFit="1" customWidth="1"/>
    <col min="7682" max="7682" width="16.5703125" style="4" bestFit="1" customWidth="1"/>
    <col min="7683" max="7683" width="16.5703125" style="4" customWidth="1"/>
    <col min="7684" max="7685" width="14.7109375" style="4" customWidth="1"/>
    <col min="7686" max="7686" width="15.28515625" style="4" bestFit="1" customWidth="1"/>
    <col min="7687" max="7688" width="14.42578125" style="4" customWidth="1"/>
    <col min="7689" max="7689" width="21.5703125" style="4" customWidth="1"/>
    <col min="7690" max="7690" width="11.5703125" style="4" customWidth="1"/>
    <col min="7691" max="7691" width="18.140625" style="4" customWidth="1"/>
    <col min="7692" max="7692" width="15" style="4" customWidth="1"/>
    <col min="7693" max="7693" width="18.140625" style="4" customWidth="1"/>
    <col min="7694" max="7694" width="20.28515625" style="4" customWidth="1"/>
    <col min="7695" max="7695" width="8.28515625" style="4" customWidth="1"/>
    <col min="7696" max="7696" width="15.28515625" style="4" customWidth="1"/>
    <col min="7697" max="7697" width="12.7109375" style="4" customWidth="1"/>
    <col min="7698" max="7698" width="16.42578125" style="4" customWidth="1"/>
    <col min="7699" max="7699" width="15.7109375" style="4" customWidth="1"/>
    <col min="7700" max="7700" width="18.7109375" style="4" customWidth="1"/>
    <col min="7701" max="7701" width="21.42578125" style="4" customWidth="1"/>
    <col min="7702" max="7702" width="22" style="4" customWidth="1"/>
    <col min="7703" max="7703" width="12.42578125" style="4" customWidth="1"/>
    <col min="7704" max="7704" width="14" style="4" customWidth="1"/>
    <col min="7705" max="7707" width="10.5703125" style="4" bestFit="1" customWidth="1"/>
    <col min="7708" max="7708" width="9.28515625" style="4" bestFit="1" customWidth="1"/>
    <col min="7709" max="7709" width="12.85546875" style="4" bestFit="1" customWidth="1"/>
    <col min="7710" max="7710" width="9.28515625" style="4" bestFit="1" customWidth="1"/>
    <col min="7711" max="7711" width="8.28515625" style="4" customWidth="1"/>
    <col min="7712" max="7712" width="9.28515625" style="4" bestFit="1" customWidth="1"/>
    <col min="7713" max="7716" width="8.28515625" style="4" customWidth="1"/>
    <col min="7717" max="7719" width="9.28515625" style="4" bestFit="1" customWidth="1"/>
    <col min="7720" max="7720" width="10.5703125" style="4" bestFit="1" customWidth="1"/>
    <col min="7721" max="7721" width="12.5703125" style="4" customWidth="1"/>
    <col min="7722" max="7722" width="20.28515625" style="4" customWidth="1"/>
    <col min="7723" max="7723" width="19.5703125" style="4" customWidth="1"/>
    <col min="7724" max="7936" width="11.42578125" style="4"/>
    <col min="7937" max="7937" width="10.5703125" style="4" bestFit="1" customWidth="1"/>
    <col min="7938" max="7938" width="16.5703125" style="4" bestFit="1" customWidth="1"/>
    <col min="7939" max="7939" width="16.5703125" style="4" customWidth="1"/>
    <col min="7940" max="7941" width="14.7109375" style="4" customWidth="1"/>
    <col min="7942" max="7942" width="15.28515625" style="4" bestFit="1" customWidth="1"/>
    <col min="7943" max="7944" width="14.42578125" style="4" customWidth="1"/>
    <col min="7945" max="7945" width="21.5703125" style="4" customWidth="1"/>
    <col min="7946" max="7946" width="11.5703125" style="4" customWidth="1"/>
    <col min="7947" max="7947" width="18.140625" style="4" customWidth="1"/>
    <col min="7948" max="7948" width="15" style="4" customWidth="1"/>
    <col min="7949" max="7949" width="18.140625" style="4" customWidth="1"/>
    <col min="7950" max="7950" width="20.28515625" style="4" customWidth="1"/>
    <col min="7951" max="7951" width="8.28515625" style="4" customWidth="1"/>
    <col min="7952" max="7952" width="15.28515625" style="4" customWidth="1"/>
    <col min="7953" max="7953" width="12.7109375" style="4" customWidth="1"/>
    <col min="7954" max="7954" width="16.42578125" style="4" customWidth="1"/>
    <col min="7955" max="7955" width="15.7109375" style="4" customWidth="1"/>
    <col min="7956" max="7956" width="18.7109375" style="4" customWidth="1"/>
    <col min="7957" max="7957" width="21.42578125" style="4" customWidth="1"/>
    <col min="7958" max="7958" width="22" style="4" customWidth="1"/>
    <col min="7959" max="7959" width="12.42578125" style="4" customWidth="1"/>
    <col min="7960" max="7960" width="14" style="4" customWidth="1"/>
    <col min="7961" max="7963" width="10.5703125" style="4" bestFit="1" customWidth="1"/>
    <col min="7964" max="7964" width="9.28515625" style="4" bestFit="1" customWidth="1"/>
    <col min="7965" max="7965" width="12.85546875" style="4" bestFit="1" customWidth="1"/>
    <col min="7966" max="7966" width="9.28515625" style="4" bestFit="1" customWidth="1"/>
    <col min="7967" max="7967" width="8.28515625" style="4" customWidth="1"/>
    <col min="7968" max="7968" width="9.28515625" style="4" bestFit="1" customWidth="1"/>
    <col min="7969" max="7972" width="8.28515625" style="4" customWidth="1"/>
    <col min="7973" max="7975" width="9.28515625" style="4" bestFit="1" customWidth="1"/>
    <col min="7976" max="7976" width="10.5703125" style="4" bestFit="1" customWidth="1"/>
    <col min="7977" max="7977" width="12.5703125" style="4" customWidth="1"/>
    <col min="7978" max="7978" width="20.28515625" style="4" customWidth="1"/>
    <col min="7979" max="7979" width="19.5703125" style="4" customWidth="1"/>
    <col min="7980" max="8192" width="11.42578125" style="4"/>
    <col min="8193" max="8193" width="10.5703125" style="4" bestFit="1" customWidth="1"/>
    <col min="8194" max="8194" width="16.5703125" style="4" bestFit="1" customWidth="1"/>
    <col min="8195" max="8195" width="16.5703125" style="4" customWidth="1"/>
    <col min="8196" max="8197" width="14.7109375" style="4" customWidth="1"/>
    <col min="8198" max="8198" width="15.28515625" style="4" bestFit="1" customWidth="1"/>
    <col min="8199" max="8200" width="14.42578125" style="4" customWidth="1"/>
    <col min="8201" max="8201" width="21.5703125" style="4" customWidth="1"/>
    <col min="8202" max="8202" width="11.5703125" style="4" customWidth="1"/>
    <col min="8203" max="8203" width="18.140625" style="4" customWidth="1"/>
    <col min="8204" max="8204" width="15" style="4" customWidth="1"/>
    <col min="8205" max="8205" width="18.140625" style="4" customWidth="1"/>
    <col min="8206" max="8206" width="20.28515625" style="4" customWidth="1"/>
    <col min="8207" max="8207" width="8.28515625" style="4" customWidth="1"/>
    <col min="8208" max="8208" width="15.28515625" style="4" customWidth="1"/>
    <col min="8209" max="8209" width="12.7109375" style="4" customWidth="1"/>
    <col min="8210" max="8210" width="16.42578125" style="4" customWidth="1"/>
    <col min="8211" max="8211" width="15.7109375" style="4" customWidth="1"/>
    <col min="8212" max="8212" width="18.7109375" style="4" customWidth="1"/>
    <col min="8213" max="8213" width="21.42578125" style="4" customWidth="1"/>
    <col min="8214" max="8214" width="22" style="4" customWidth="1"/>
    <col min="8215" max="8215" width="12.42578125" style="4" customWidth="1"/>
    <col min="8216" max="8216" width="14" style="4" customWidth="1"/>
    <col min="8217" max="8219" width="10.5703125" style="4" bestFit="1" customWidth="1"/>
    <col min="8220" max="8220" width="9.28515625" style="4" bestFit="1" customWidth="1"/>
    <col min="8221" max="8221" width="12.85546875" style="4" bestFit="1" customWidth="1"/>
    <col min="8222" max="8222" width="9.28515625" style="4" bestFit="1" customWidth="1"/>
    <col min="8223" max="8223" width="8.28515625" style="4" customWidth="1"/>
    <col min="8224" max="8224" width="9.28515625" style="4" bestFit="1" customWidth="1"/>
    <col min="8225" max="8228" width="8.28515625" style="4" customWidth="1"/>
    <col min="8229" max="8231" width="9.28515625" style="4" bestFit="1" customWidth="1"/>
    <col min="8232" max="8232" width="10.5703125" style="4" bestFit="1" customWidth="1"/>
    <col min="8233" max="8233" width="12.5703125" style="4" customWidth="1"/>
    <col min="8234" max="8234" width="20.28515625" style="4" customWidth="1"/>
    <col min="8235" max="8235" width="19.5703125" style="4" customWidth="1"/>
    <col min="8236" max="8448" width="11.42578125" style="4"/>
    <col min="8449" max="8449" width="10.5703125" style="4" bestFit="1" customWidth="1"/>
    <col min="8450" max="8450" width="16.5703125" style="4" bestFit="1" customWidth="1"/>
    <col min="8451" max="8451" width="16.5703125" style="4" customWidth="1"/>
    <col min="8452" max="8453" width="14.7109375" style="4" customWidth="1"/>
    <col min="8454" max="8454" width="15.28515625" style="4" bestFit="1" customWidth="1"/>
    <col min="8455" max="8456" width="14.42578125" style="4" customWidth="1"/>
    <col min="8457" max="8457" width="21.5703125" style="4" customWidth="1"/>
    <col min="8458" max="8458" width="11.5703125" style="4" customWidth="1"/>
    <col min="8459" max="8459" width="18.140625" style="4" customWidth="1"/>
    <col min="8460" max="8460" width="15" style="4" customWidth="1"/>
    <col min="8461" max="8461" width="18.140625" style="4" customWidth="1"/>
    <col min="8462" max="8462" width="20.28515625" style="4" customWidth="1"/>
    <col min="8463" max="8463" width="8.28515625" style="4" customWidth="1"/>
    <col min="8464" max="8464" width="15.28515625" style="4" customWidth="1"/>
    <col min="8465" max="8465" width="12.7109375" style="4" customWidth="1"/>
    <col min="8466" max="8466" width="16.42578125" style="4" customWidth="1"/>
    <col min="8467" max="8467" width="15.7109375" style="4" customWidth="1"/>
    <col min="8468" max="8468" width="18.7109375" style="4" customWidth="1"/>
    <col min="8469" max="8469" width="21.42578125" style="4" customWidth="1"/>
    <col min="8470" max="8470" width="22" style="4" customWidth="1"/>
    <col min="8471" max="8471" width="12.42578125" style="4" customWidth="1"/>
    <col min="8472" max="8472" width="14" style="4" customWidth="1"/>
    <col min="8473" max="8475" width="10.5703125" style="4" bestFit="1" customWidth="1"/>
    <col min="8476" max="8476" width="9.28515625" style="4" bestFit="1" customWidth="1"/>
    <col min="8477" max="8477" width="12.85546875" style="4" bestFit="1" customWidth="1"/>
    <col min="8478" max="8478" width="9.28515625" style="4" bestFit="1" customWidth="1"/>
    <col min="8479" max="8479" width="8.28515625" style="4" customWidth="1"/>
    <col min="8480" max="8480" width="9.28515625" style="4" bestFit="1" customWidth="1"/>
    <col min="8481" max="8484" width="8.28515625" style="4" customWidth="1"/>
    <col min="8485" max="8487" width="9.28515625" style="4" bestFit="1" customWidth="1"/>
    <col min="8488" max="8488" width="10.5703125" style="4" bestFit="1" customWidth="1"/>
    <col min="8489" max="8489" width="12.5703125" style="4" customWidth="1"/>
    <col min="8490" max="8490" width="20.28515625" style="4" customWidth="1"/>
    <col min="8491" max="8491" width="19.5703125" style="4" customWidth="1"/>
    <col min="8492" max="8704" width="11.42578125" style="4"/>
    <col min="8705" max="8705" width="10.5703125" style="4" bestFit="1" customWidth="1"/>
    <col min="8706" max="8706" width="16.5703125" style="4" bestFit="1" customWidth="1"/>
    <col min="8707" max="8707" width="16.5703125" style="4" customWidth="1"/>
    <col min="8708" max="8709" width="14.7109375" style="4" customWidth="1"/>
    <col min="8710" max="8710" width="15.28515625" style="4" bestFit="1" customWidth="1"/>
    <col min="8711" max="8712" width="14.42578125" style="4" customWidth="1"/>
    <col min="8713" max="8713" width="21.5703125" style="4" customWidth="1"/>
    <col min="8714" max="8714" width="11.5703125" style="4" customWidth="1"/>
    <col min="8715" max="8715" width="18.140625" style="4" customWidth="1"/>
    <col min="8716" max="8716" width="15" style="4" customWidth="1"/>
    <col min="8717" max="8717" width="18.140625" style="4" customWidth="1"/>
    <col min="8718" max="8718" width="20.28515625" style="4" customWidth="1"/>
    <col min="8719" max="8719" width="8.28515625" style="4" customWidth="1"/>
    <col min="8720" max="8720" width="15.28515625" style="4" customWidth="1"/>
    <col min="8721" max="8721" width="12.7109375" style="4" customWidth="1"/>
    <col min="8722" max="8722" width="16.42578125" style="4" customWidth="1"/>
    <col min="8723" max="8723" width="15.7109375" style="4" customWidth="1"/>
    <col min="8724" max="8724" width="18.7109375" style="4" customWidth="1"/>
    <col min="8725" max="8725" width="21.42578125" style="4" customWidth="1"/>
    <col min="8726" max="8726" width="22" style="4" customWidth="1"/>
    <col min="8727" max="8727" width="12.42578125" style="4" customWidth="1"/>
    <col min="8728" max="8728" width="14" style="4" customWidth="1"/>
    <col min="8729" max="8731" width="10.5703125" style="4" bestFit="1" customWidth="1"/>
    <col min="8732" max="8732" width="9.28515625" style="4" bestFit="1" customWidth="1"/>
    <col min="8733" max="8733" width="12.85546875" style="4" bestFit="1" customWidth="1"/>
    <col min="8734" max="8734" width="9.28515625" style="4" bestFit="1" customWidth="1"/>
    <col min="8735" max="8735" width="8.28515625" style="4" customWidth="1"/>
    <col min="8736" max="8736" width="9.28515625" style="4" bestFit="1" customWidth="1"/>
    <col min="8737" max="8740" width="8.28515625" style="4" customWidth="1"/>
    <col min="8741" max="8743" width="9.28515625" style="4" bestFit="1" customWidth="1"/>
    <col min="8744" max="8744" width="10.5703125" style="4" bestFit="1" customWidth="1"/>
    <col min="8745" max="8745" width="12.5703125" style="4" customWidth="1"/>
    <col min="8746" max="8746" width="20.28515625" style="4" customWidth="1"/>
    <col min="8747" max="8747" width="19.5703125" style="4" customWidth="1"/>
    <col min="8748" max="8960" width="11.42578125" style="4"/>
    <col min="8961" max="8961" width="10.5703125" style="4" bestFit="1" customWidth="1"/>
    <col min="8962" max="8962" width="16.5703125" style="4" bestFit="1" customWidth="1"/>
    <col min="8963" max="8963" width="16.5703125" style="4" customWidth="1"/>
    <col min="8964" max="8965" width="14.7109375" style="4" customWidth="1"/>
    <col min="8966" max="8966" width="15.28515625" style="4" bestFit="1" customWidth="1"/>
    <col min="8967" max="8968" width="14.42578125" style="4" customWidth="1"/>
    <col min="8969" max="8969" width="21.5703125" style="4" customWidth="1"/>
    <col min="8970" max="8970" width="11.5703125" style="4" customWidth="1"/>
    <col min="8971" max="8971" width="18.140625" style="4" customWidth="1"/>
    <col min="8972" max="8972" width="15" style="4" customWidth="1"/>
    <col min="8973" max="8973" width="18.140625" style="4" customWidth="1"/>
    <col min="8974" max="8974" width="20.28515625" style="4" customWidth="1"/>
    <col min="8975" max="8975" width="8.28515625" style="4" customWidth="1"/>
    <col min="8976" max="8976" width="15.28515625" style="4" customWidth="1"/>
    <col min="8977" max="8977" width="12.7109375" style="4" customWidth="1"/>
    <col min="8978" max="8978" width="16.42578125" style="4" customWidth="1"/>
    <col min="8979" max="8979" width="15.7109375" style="4" customWidth="1"/>
    <col min="8980" max="8980" width="18.7109375" style="4" customWidth="1"/>
    <col min="8981" max="8981" width="21.42578125" style="4" customWidth="1"/>
    <col min="8982" max="8982" width="22" style="4" customWidth="1"/>
    <col min="8983" max="8983" width="12.42578125" style="4" customWidth="1"/>
    <col min="8984" max="8984" width="14" style="4" customWidth="1"/>
    <col min="8985" max="8987" width="10.5703125" style="4" bestFit="1" customWidth="1"/>
    <col min="8988" max="8988" width="9.28515625" style="4" bestFit="1" customWidth="1"/>
    <col min="8989" max="8989" width="12.85546875" style="4" bestFit="1" customWidth="1"/>
    <col min="8990" max="8990" width="9.28515625" style="4" bestFit="1" customWidth="1"/>
    <col min="8991" max="8991" width="8.28515625" style="4" customWidth="1"/>
    <col min="8992" max="8992" width="9.28515625" style="4" bestFit="1" customWidth="1"/>
    <col min="8993" max="8996" width="8.28515625" style="4" customWidth="1"/>
    <col min="8997" max="8999" width="9.28515625" style="4" bestFit="1" customWidth="1"/>
    <col min="9000" max="9000" width="10.5703125" style="4" bestFit="1" customWidth="1"/>
    <col min="9001" max="9001" width="12.5703125" style="4" customWidth="1"/>
    <col min="9002" max="9002" width="20.28515625" style="4" customWidth="1"/>
    <col min="9003" max="9003" width="19.5703125" style="4" customWidth="1"/>
    <col min="9004" max="9216" width="11.42578125" style="4"/>
    <col min="9217" max="9217" width="10.5703125" style="4" bestFit="1" customWidth="1"/>
    <col min="9218" max="9218" width="16.5703125" style="4" bestFit="1" customWidth="1"/>
    <col min="9219" max="9219" width="16.5703125" style="4" customWidth="1"/>
    <col min="9220" max="9221" width="14.7109375" style="4" customWidth="1"/>
    <col min="9222" max="9222" width="15.28515625" style="4" bestFit="1" customWidth="1"/>
    <col min="9223" max="9224" width="14.42578125" style="4" customWidth="1"/>
    <col min="9225" max="9225" width="21.5703125" style="4" customWidth="1"/>
    <col min="9226" max="9226" width="11.5703125" style="4" customWidth="1"/>
    <col min="9227" max="9227" width="18.140625" style="4" customWidth="1"/>
    <col min="9228" max="9228" width="15" style="4" customWidth="1"/>
    <col min="9229" max="9229" width="18.140625" style="4" customWidth="1"/>
    <col min="9230" max="9230" width="20.28515625" style="4" customWidth="1"/>
    <col min="9231" max="9231" width="8.28515625" style="4" customWidth="1"/>
    <col min="9232" max="9232" width="15.28515625" style="4" customWidth="1"/>
    <col min="9233" max="9233" width="12.7109375" style="4" customWidth="1"/>
    <col min="9234" max="9234" width="16.42578125" style="4" customWidth="1"/>
    <col min="9235" max="9235" width="15.7109375" style="4" customWidth="1"/>
    <col min="9236" max="9236" width="18.7109375" style="4" customWidth="1"/>
    <col min="9237" max="9237" width="21.42578125" style="4" customWidth="1"/>
    <col min="9238" max="9238" width="22" style="4" customWidth="1"/>
    <col min="9239" max="9239" width="12.42578125" style="4" customWidth="1"/>
    <col min="9240" max="9240" width="14" style="4" customWidth="1"/>
    <col min="9241" max="9243" width="10.5703125" style="4" bestFit="1" customWidth="1"/>
    <col min="9244" max="9244" width="9.28515625" style="4" bestFit="1" customWidth="1"/>
    <col min="9245" max="9245" width="12.85546875" style="4" bestFit="1" customWidth="1"/>
    <col min="9246" max="9246" width="9.28515625" style="4" bestFit="1" customWidth="1"/>
    <col min="9247" max="9247" width="8.28515625" style="4" customWidth="1"/>
    <col min="9248" max="9248" width="9.28515625" style="4" bestFit="1" customWidth="1"/>
    <col min="9249" max="9252" width="8.28515625" style="4" customWidth="1"/>
    <col min="9253" max="9255" width="9.28515625" style="4" bestFit="1" customWidth="1"/>
    <col min="9256" max="9256" width="10.5703125" style="4" bestFit="1" customWidth="1"/>
    <col min="9257" max="9257" width="12.5703125" style="4" customWidth="1"/>
    <col min="9258" max="9258" width="20.28515625" style="4" customWidth="1"/>
    <col min="9259" max="9259" width="19.5703125" style="4" customWidth="1"/>
    <col min="9260" max="9472" width="11.42578125" style="4"/>
    <col min="9473" max="9473" width="10.5703125" style="4" bestFit="1" customWidth="1"/>
    <col min="9474" max="9474" width="16.5703125" style="4" bestFit="1" customWidth="1"/>
    <col min="9475" max="9475" width="16.5703125" style="4" customWidth="1"/>
    <col min="9476" max="9477" width="14.7109375" style="4" customWidth="1"/>
    <col min="9478" max="9478" width="15.28515625" style="4" bestFit="1" customWidth="1"/>
    <col min="9479" max="9480" width="14.42578125" style="4" customWidth="1"/>
    <col min="9481" max="9481" width="21.5703125" style="4" customWidth="1"/>
    <col min="9482" max="9482" width="11.5703125" style="4" customWidth="1"/>
    <col min="9483" max="9483" width="18.140625" style="4" customWidth="1"/>
    <col min="9484" max="9484" width="15" style="4" customWidth="1"/>
    <col min="9485" max="9485" width="18.140625" style="4" customWidth="1"/>
    <col min="9486" max="9486" width="20.28515625" style="4" customWidth="1"/>
    <col min="9487" max="9487" width="8.28515625" style="4" customWidth="1"/>
    <col min="9488" max="9488" width="15.28515625" style="4" customWidth="1"/>
    <col min="9489" max="9489" width="12.7109375" style="4" customWidth="1"/>
    <col min="9490" max="9490" width="16.42578125" style="4" customWidth="1"/>
    <col min="9491" max="9491" width="15.7109375" style="4" customWidth="1"/>
    <col min="9492" max="9492" width="18.7109375" style="4" customWidth="1"/>
    <col min="9493" max="9493" width="21.42578125" style="4" customWidth="1"/>
    <col min="9494" max="9494" width="22" style="4" customWidth="1"/>
    <col min="9495" max="9495" width="12.42578125" style="4" customWidth="1"/>
    <col min="9496" max="9496" width="14" style="4" customWidth="1"/>
    <col min="9497" max="9499" width="10.5703125" style="4" bestFit="1" customWidth="1"/>
    <col min="9500" max="9500" width="9.28515625" style="4" bestFit="1" customWidth="1"/>
    <col min="9501" max="9501" width="12.85546875" style="4" bestFit="1" customWidth="1"/>
    <col min="9502" max="9502" width="9.28515625" style="4" bestFit="1" customWidth="1"/>
    <col min="9503" max="9503" width="8.28515625" style="4" customWidth="1"/>
    <col min="9504" max="9504" width="9.28515625" style="4" bestFit="1" customWidth="1"/>
    <col min="9505" max="9508" width="8.28515625" style="4" customWidth="1"/>
    <col min="9509" max="9511" width="9.28515625" style="4" bestFit="1" customWidth="1"/>
    <col min="9512" max="9512" width="10.5703125" style="4" bestFit="1" customWidth="1"/>
    <col min="9513" max="9513" width="12.5703125" style="4" customWidth="1"/>
    <col min="9514" max="9514" width="20.28515625" style="4" customWidth="1"/>
    <col min="9515" max="9515" width="19.5703125" style="4" customWidth="1"/>
    <col min="9516" max="9728" width="11.42578125" style="4"/>
    <col min="9729" max="9729" width="10.5703125" style="4" bestFit="1" customWidth="1"/>
    <col min="9730" max="9730" width="16.5703125" style="4" bestFit="1" customWidth="1"/>
    <col min="9731" max="9731" width="16.5703125" style="4" customWidth="1"/>
    <col min="9732" max="9733" width="14.7109375" style="4" customWidth="1"/>
    <col min="9734" max="9734" width="15.28515625" style="4" bestFit="1" customWidth="1"/>
    <col min="9735" max="9736" width="14.42578125" style="4" customWidth="1"/>
    <col min="9737" max="9737" width="21.5703125" style="4" customWidth="1"/>
    <col min="9738" max="9738" width="11.5703125" style="4" customWidth="1"/>
    <col min="9739" max="9739" width="18.140625" style="4" customWidth="1"/>
    <col min="9740" max="9740" width="15" style="4" customWidth="1"/>
    <col min="9741" max="9741" width="18.140625" style="4" customWidth="1"/>
    <col min="9742" max="9742" width="20.28515625" style="4" customWidth="1"/>
    <col min="9743" max="9743" width="8.28515625" style="4" customWidth="1"/>
    <col min="9744" max="9744" width="15.28515625" style="4" customWidth="1"/>
    <col min="9745" max="9745" width="12.7109375" style="4" customWidth="1"/>
    <col min="9746" max="9746" width="16.42578125" style="4" customWidth="1"/>
    <col min="9747" max="9747" width="15.7109375" style="4" customWidth="1"/>
    <col min="9748" max="9748" width="18.7109375" style="4" customWidth="1"/>
    <col min="9749" max="9749" width="21.42578125" style="4" customWidth="1"/>
    <col min="9750" max="9750" width="22" style="4" customWidth="1"/>
    <col min="9751" max="9751" width="12.42578125" style="4" customWidth="1"/>
    <col min="9752" max="9752" width="14" style="4" customWidth="1"/>
    <col min="9753" max="9755" width="10.5703125" style="4" bestFit="1" customWidth="1"/>
    <col min="9756" max="9756" width="9.28515625" style="4" bestFit="1" customWidth="1"/>
    <col min="9757" max="9757" width="12.85546875" style="4" bestFit="1" customWidth="1"/>
    <col min="9758" max="9758" width="9.28515625" style="4" bestFit="1" customWidth="1"/>
    <col min="9759" max="9759" width="8.28515625" style="4" customWidth="1"/>
    <col min="9760" max="9760" width="9.28515625" style="4" bestFit="1" customWidth="1"/>
    <col min="9761" max="9764" width="8.28515625" style="4" customWidth="1"/>
    <col min="9765" max="9767" width="9.28515625" style="4" bestFit="1" customWidth="1"/>
    <col min="9768" max="9768" width="10.5703125" style="4" bestFit="1" customWidth="1"/>
    <col min="9769" max="9769" width="12.5703125" style="4" customWidth="1"/>
    <col min="9770" max="9770" width="20.28515625" style="4" customWidth="1"/>
    <col min="9771" max="9771" width="19.5703125" style="4" customWidth="1"/>
    <col min="9772" max="9984" width="11.42578125" style="4"/>
    <col min="9985" max="9985" width="10.5703125" style="4" bestFit="1" customWidth="1"/>
    <col min="9986" max="9986" width="16.5703125" style="4" bestFit="1" customWidth="1"/>
    <col min="9987" max="9987" width="16.5703125" style="4" customWidth="1"/>
    <col min="9988" max="9989" width="14.7109375" style="4" customWidth="1"/>
    <col min="9990" max="9990" width="15.28515625" style="4" bestFit="1" customWidth="1"/>
    <col min="9991" max="9992" width="14.42578125" style="4" customWidth="1"/>
    <col min="9993" max="9993" width="21.5703125" style="4" customWidth="1"/>
    <col min="9994" max="9994" width="11.5703125" style="4" customWidth="1"/>
    <col min="9995" max="9995" width="18.140625" style="4" customWidth="1"/>
    <col min="9996" max="9996" width="15" style="4" customWidth="1"/>
    <col min="9997" max="9997" width="18.140625" style="4" customWidth="1"/>
    <col min="9998" max="9998" width="20.28515625" style="4" customWidth="1"/>
    <col min="9999" max="9999" width="8.28515625" style="4" customWidth="1"/>
    <col min="10000" max="10000" width="15.28515625" style="4" customWidth="1"/>
    <col min="10001" max="10001" width="12.7109375" style="4" customWidth="1"/>
    <col min="10002" max="10002" width="16.42578125" style="4" customWidth="1"/>
    <col min="10003" max="10003" width="15.7109375" style="4" customWidth="1"/>
    <col min="10004" max="10004" width="18.7109375" style="4" customWidth="1"/>
    <col min="10005" max="10005" width="21.42578125" style="4" customWidth="1"/>
    <col min="10006" max="10006" width="22" style="4" customWidth="1"/>
    <col min="10007" max="10007" width="12.42578125" style="4" customWidth="1"/>
    <col min="10008" max="10008" width="14" style="4" customWidth="1"/>
    <col min="10009" max="10011" width="10.5703125" style="4" bestFit="1" customWidth="1"/>
    <col min="10012" max="10012" width="9.28515625" style="4" bestFit="1" customWidth="1"/>
    <col min="10013" max="10013" width="12.85546875" style="4" bestFit="1" customWidth="1"/>
    <col min="10014" max="10014" width="9.28515625" style="4" bestFit="1" customWidth="1"/>
    <col min="10015" max="10015" width="8.28515625" style="4" customWidth="1"/>
    <col min="10016" max="10016" width="9.28515625" style="4" bestFit="1" customWidth="1"/>
    <col min="10017" max="10020" width="8.28515625" style="4" customWidth="1"/>
    <col min="10021" max="10023" width="9.28515625" style="4" bestFit="1" customWidth="1"/>
    <col min="10024" max="10024" width="10.5703125" style="4" bestFit="1" customWidth="1"/>
    <col min="10025" max="10025" width="12.5703125" style="4" customWidth="1"/>
    <col min="10026" max="10026" width="20.28515625" style="4" customWidth="1"/>
    <col min="10027" max="10027" width="19.5703125" style="4" customWidth="1"/>
    <col min="10028" max="10240" width="11.42578125" style="4"/>
    <col min="10241" max="10241" width="10.5703125" style="4" bestFit="1" customWidth="1"/>
    <col min="10242" max="10242" width="16.5703125" style="4" bestFit="1" customWidth="1"/>
    <col min="10243" max="10243" width="16.5703125" style="4" customWidth="1"/>
    <col min="10244" max="10245" width="14.7109375" style="4" customWidth="1"/>
    <col min="10246" max="10246" width="15.28515625" style="4" bestFit="1" customWidth="1"/>
    <col min="10247" max="10248" width="14.42578125" style="4" customWidth="1"/>
    <col min="10249" max="10249" width="21.5703125" style="4" customWidth="1"/>
    <col min="10250" max="10250" width="11.5703125" style="4" customWidth="1"/>
    <col min="10251" max="10251" width="18.140625" style="4" customWidth="1"/>
    <col min="10252" max="10252" width="15" style="4" customWidth="1"/>
    <col min="10253" max="10253" width="18.140625" style="4" customWidth="1"/>
    <col min="10254" max="10254" width="20.28515625" style="4" customWidth="1"/>
    <col min="10255" max="10255" width="8.28515625" style="4" customWidth="1"/>
    <col min="10256" max="10256" width="15.28515625" style="4" customWidth="1"/>
    <col min="10257" max="10257" width="12.7109375" style="4" customWidth="1"/>
    <col min="10258" max="10258" width="16.42578125" style="4" customWidth="1"/>
    <col min="10259" max="10259" width="15.7109375" style="4" customWidth="1"/>
    <col min="10260" max="10260" width="18.7109375" style="4" customWidth="1"/>
    <col min="10261" max="10261" width="21.42578125" style="4" customWidth="1"/>
    <col min="10262" max="10262" width="22" style="4" customWidth="1"/>
    <col min="10263" max="10263" width="12.42578125" style="4" customWidth="1"/>
    <col min="10264" max="10264" width="14" style="4" customWidth="1"/>
    <col min="10265" max="10267" width="10.5703125" style="4" bestFit="1" customWidth="1"/>
    <col min="10268" max="10268" width="9.28515625" style="4" bestFit="1" customWidth="1"/>
    <col min="10269" max="10269" width="12.85546875" style="4" bestFit="1" customWidth="1"/>
    <col min="10270" max="10270" width="9.28515625" style="4" bestFit="1" customWidth="1"/>
    <col min="10271" max="10271" width="8.28515625" style="4" customWidth="1"/>
    <col min="10272" max="10272" width="9.28515625" style="4" bestFit="1" customWidth="1"/>
    <col min="10273" max="10276" width="8.28515625" style="4" customWidth="1"/>
    <col min="10277" max="10279" width="9.28515625" style="4" bestFit="1" customWidth="1"/>
    <col min="10280" max="10280" width="10.5703125" style="4" bestFit="1" customWidth="1"/>
    <col min="10281" max="10281" width="12.5703125" style="4" customWidth="1"/>
    <col min="10282" max="10282" width="20.28515625" style="4" customWidth="1"/>
    <col min="10283" max="10283" width="19.5703125" style="4" customWidth="1"/>
    <col min="10284" max="10496" width="11.42578125" style="4"/>
    <col min="10497" max="10497" width="10.5703125" style="4" bestFit="1" customWidth="1"/>
    <col min="10498" max="10498" width="16.5703125" style="4" bestFit="1" customWidth="1"/>
    <col min="10499" max="10499" width="16.5703125" style="4" customWidth="1"/>
    <col min="10500" max="10501" width="14.7109375" style="4" customWidth="1"/>
    <col min="10502" max="10502" width="15.28515625" style="4" bestFit="1" customWidth="1"/>
    <col min="10503" max="10504" width="14.42578125" style="4" customWidth="1"/>
    <col min="10505" max="10505" width="21.5703125" style="4" customWidth="1"/>
    <col min="10506" max="10506" width="11.5703125" style="4" customWidth="1"/>
    <col min="10507" max="10507" width="18.140625" style="4" customWidth="1"/>
    <col min="10508" max="10508" width="15" style="4" customWidth="1"/>
    <col min="10509" max="10509" width="18.140625" style="4" customWidth="1"/>
    <col min="10510" max="10510" width="20.28515625" style="4" customWidth="1"/>
    <col min="10511" max="10511" width="8.28515625" style="4" customWidth="1"/>
    <col min="10512" max="10512" width="15.28515625" style="4" customWidth="1"/>
    <col min="10513" max="10513" width="12.7109375" style="4" customWidth="1"/>
    <col min="10514" max="10514" width="16.42578125" style="4" customWidth="1"/>
    <col min="10515" max="10515" width="15.7109375" style="4" customWidth="1"/>
    <col min="10516" max="10516" width="18.7109375" style="4" customWidth="1"/>
    <col min="10517" max="10517" width="21.42578125" style="4" customWidth="1"/>
    <col min="10518" max="10518" width="22" style="4" customWidth="1"/>
    <col min="10519" max="10519" width="12.42578125" style="4" customWidth="1"/>
    <col min="10520" max="10520" width="14" style="4" customWidth="1"/>
    <col min="10521" max="10523" width="10.5703125" style="4" bestFit="1" customWidth="1"/>
    <col min="10524" max="10524" width="9.28515625" style="4" bestFit="1" customWidth="1"/>
    <col min="10525" max="10525" width="12.85546875" style="4" bestFit="1" customWidth="1"/>
    <col min="10526" max="10526" width="9.28515625" style="4" bestFit="1" customWidth="1"/>
    <col min="10527" max="10527" width="8.28515625" style="4" customWidth="1"/>
    <col min="10528" max="10528" width="9.28515625" style="4" bestFit="1" customWidth="1"/>
    <col min="10529" max="10532" width="8.28515625" style="4" customWidth="1"/>
    <col min="10533" max="10535" width="9.28515625" style="4" bestFit="1" customWidth="1"/>
    <col min="10536" max="10536" width="10.5703125" style="4" bestFit="1" customWidth="1"/>
    <col min="10537" max="10537" width="12.5703125" style="4" customWidth="1"/>
    <col min="10538" max="10538" width="20.28515625" style="4" customWidth="1"/>
    <col min="10539" max="10539" width="19.5703125" style="4" customWidth="1"/>
    <col min="10540" max="10752" width="11.42578125" style="4"/>
    <col min="10753" max="10753" width="10.5703125" style="4" bestFit="1" customWidth="1"/>
    <col min="10754" max="10754" width="16.5703125" style="4" bestFit="1" customWidth="1"/>
    <col min="10755" max="10755" width="16.5703125" style="4" customWidth="1"/>
    <col min="10756" max="10757" width="14.7109375" style="4" customWidth="1"/>
    <col min="10758" max="10758" width="15.28515625" style="4" bestFit="1" customWidth="1"/>
    <col min="10759" max="10760" width="14.42578125" style="4" customWidth="1"/>
    <col min="10761" max="10761" width="21.5703125" style="4" customWidth="1"/>
    <col min="10762" max="10762" width="11.5703125" style="4" customWidth="1"/>
    <col min="10763" max="10763" width="18.140625" style="4" customWidth="1"/>
    <col min="10764" max="10764" width="15" style="4" customWidth="1"/>
    <col min="10765" max="10765" width="18.140625" style="4" customWidth="1"/>
    <col min="10766" max="10766" width="20.28515625" style="4" customWidth="1"/>
    <col min="10767" max="10767" width="8.28515625" style="4" customWidth="1"/>
    <col min="10768" max="10768" width="15.28515625" style="4" customWidth="1"/>
    <col min="10769" max="10769" width="12.7109375" style="4" customWidth="1"/>
    <col min="10770" max="10770" width="16.42578125" style="4" customWidth="1"/>
    <col min="10771" max="10771" width="15.7109375" style="4" customWidth="1"/>
    <col min="10772" max="10772" width="18.7109375" style="4" customWidth="1"/>
    <col min="10773" max="10773" width="21.42578125" style="4" customWidth="1"/>
    <col min="10774" max="10774" width="22" style="4" customWidth="1"/>
    <col min="10775" max="10775" width="12.42578125" style="4" customWidth="1"/>
    <col min="10776" max="10776" width="14" style="4" customWidth="1"/>
    <col min="10777" max="10779" width="10.5703125" style="4" bestFit="1" customWidth="1"/>
    <col min="10780" max="10780" width="9.28515625" style="4" bestFit="1" customWidth="1"/>
    <col min="10781" max="10781" width="12.85546875" style="4" bestFit="1" customWidth="1"/>
    <col min="10782" max="10782" width="9.28515625" style="4" bestFit="1" customWidth="1"/>
    <col min="10783" max="10783" width="8.28515625" style="4" customWidth="1"/>
    <col min="10784" max="10784" width="9.28515625" style="4" bestFit="1" customWidth="1"/>
    <col min="10785" max="10788" width="8.28515625" style="4" customWidth="1"/>
    <col min="10789" max="10791" width="9.28515625" style="4" bestFit="1" customWidth="1"/>
    <col min="10792" max="10792" width="10.5703125" style="4" bestFit="1" customWidth="1"/>
    <col min="10793" max="10793" width="12.5703125" style="4" customWidth="1"/>
    <col min="10794" max="10794" width="20.28515625" style="4" customWidth="1"/>
    <col min="10795" max="10795" width="19.5703125" style="4" customWidth="1"/>
    <col min="10796" max="11008" width="11.42578125" style="4"/>
    <col min="11009" max="11009" width="10.5703125" style="4" bestFit="1" customWidth="1"/>
    <col min="11010" max="11010" width="16.5703125" style="4" bestFit="1" customWidth="1"/>
    <col min="11011" max="11011" width="16.5703125" style="4" customWidth="1"/>
    <col min="11012" max="11013" width="14.7109375" style="4" customWidth="1"/>
    <col min="11014" max="11014" width="15.28515625" style="4" bestFit="1" customWidth="1"/>
    <col min="11015" max="11016" width="14.42578125" style="4" customWidth="1"/>
    <col min="11017" max="11017" width="21.5703125" style="4" customWidth="1"/>
    <col min="11018" max="11018" width="11.5703125" style="4" customWidth="1"/>
    <col min="11019" max="11019" width="18.140625" style="4" customWidth="1"/>
    <col min="11020" max="11020" width="15" style="4" customWidth="1"/>
    <col min="11021" max="11021" width="18.140625" style="4" customWidth="1"/>
    <col min="11022" max="11022" width="20.28515625" style="4" customWidth="1"/>
    <col min="11023" max="11023" width="8.28515625" style="4" customWidth="1"/>
    <col min="11024" max="11024" width="15.28515625" style="4" customWidth="1"/>
    <col min="11025" max="11025" width="12.7109375" style="4" customWidth="1"/>
    <col min="11026" max="11026" width="16.42578125" style="4" customWidth="1"/>
    <col min="11027" max="11027" width="15.7109375" style="4" customWidth="1"/>
    <col min="11028" max="11028" width="18.7109375" style="4" customWidth="1"/>
    <col min="11029" max="11029" width="21.42578125" style="4" customWidth="1"/>
    <col min="11030" max="11030" width="22" style="4" customWidth="1"/>
    <col min="11031" max="11031" width="12.42578125" style="4" customWidth="1"/>
    <col min="11032" max="11032" width="14" style="4" customWidth="1"/>
    <col min="11033" max="11035" width="10.5703125" style="4" bestFit="1" customWidth="1"/>
    <col min="11036" max="11036" width="9.28515625" style="4" bestFit="1" customWidth="1"/>
    <col min="11037" max="11037" width="12.85546875" style="4" bestFit="1" customWidth="1"/>
    <col min="11038" max="11038" width="9.28515625" style="4" bestFit="1" customWidth="1"/>
    <col min="11039" max="11039" width="8.28515625" style="4" customWidth="1"/>
    <col min="11040" max="11040" width="9.28515625" style="4" bestFit="1" customWidth="1"/>
    <col min="11041" max="11044" width="8.28515625" style="4" customWidth="1"/>
    <col min="11045" max="11047" width="9.28515625" style="4" bestFit="1" customWidth="1"/>
    <col min="11048" max="11048" width="10.5703125" style="4" bestFit="1" customWidth="1"/>
    <col min="11049" max="11049" width="12.5703125" style="4" customWidth="1"/>
    <col min="11050" max="11050" width="20.28515625" style="4" customWidth="1"/>
    <col min="11051" max="11051" width="19.5703125" style="4" customWidth="1"/>
    <col min="11052" max="11264" width="11.42578125" style="4"/>
    <col min="11265" max="11265" width="10.5703125" style="4" bestFit="1" customWidth="1"/>
    <col min="11266" max="11266" width="16.5703125" style="4" bestFit="1" customWidth="1"/>
    <col min="11267" max="11267" width="16.5703125" style="4" customWidth="1"/>
    <col min="11268" max="11269" width="14.7109375" style="4" customWidth="1"/>
    <col min="11270" max="11270" width="15.28515625" style="4" bestFit="1" customWidth="1"/>
    <col min="11271" max="11272" width="14.42578125" style="4" customWidth="1"/>
    <col min="11273" max="11273" width="21.5703125" style="4" customWidth="1"/>
    <col min="11274" max="11274" width="11.5703125" style="4" customWidth="1"/>
    <col min="11275" max="11275" width="18.140625" style="4" customWidth="1"/>
    <col min="11276" max="11276" width="15" style="4" customWidth="1"/>
    <col min="11277" max="11277" width="18.140625" style="4" customWidth="1"/>
    <col min="11278" max="11278" width="20.28515625" style="4" customWidth="1"/>
    <col min="11279" max="11279" width="8.28515625" style="4" customWidth="1"/>
    <col min="11280" max="11280" width="15.28515625" style="4" customWidth="1"/>
    <col min="11281" max="11281" width="12.7109375" style="4" customWidth="1"/>
    <col min="11282" max="11282" width="16.42578125" style="4" customWidth="1"/>
    <col min="11283" max="11283" width="15.7109375" style="4" customWidth="1"/>
    <col min="11284" max="11284" width="18.7109375" style="4" customWidth="1"/>
    <col min="11285" max="11285" width="21.42578125" style="4" customWidth="1"/>
    <col min="11286" max="11286" width="22" style="4" customWidth="1"/>
    <col min="11287" max="11287" width="12.42578125" style="4" customWidth="1"/>
    <col min="11288" max="11288" width="14" style="4" customWidth="1"/>
    <col min="11289" max="11291" width="10.5703125" style="4" bestFit="1" customWidth="1"/>
    <col min="11292" max="11292" width="9.28515625" style="4" bestFit="1" customWidth="1"/>
    <col min="11293" max="11293" width="12.85546875" style="4" bestFit="1" customWidth="1"/>
    <col min="11294" max="11294" width="9.28515625" style="4" bestFit="1" customWidth="1"/>
    <col min="11295" max="11295" width="8.28515625" style="4" customWidth="1"/>
    <col min="11296" max="11296" width="9.28515625" style="4" bestFit="1" customWidth="1"/>
    <col min="11297" max="11300" width="8.28515625" style="4" customWidth="1"/>
    <col min="11301" max="11303" width="9.28515625" style="4" bestFit="1" customWidth="1"/>
    <col min="11304" max="11304" width="10.5703125" style="4" bestFit="1" customWidth="1"/>
    <col min="11305" max="11305" width="12.5703125" style="4" customWidth="1"/>
    <col min="11306" max="11306" width="20.28515625" style="4" customWidth="1"/>
    <col min="11307" max="11307" width="19.5703125" style="4" customWidth="1"/>
    <col min="11308" max="11520" width="11.42578125" style="4"/>
    <col min="11521" max="11521" width="10.5703125" style="4" bestFit="1" customWidth="1"/>
    <col min="11522" max="11522" width="16.5703125" style="4" bestFit="1" customWidth="1"/>
    <col min="11523" max="11523" width="16.5703125" style="4" customWidth="1"/>
    <col min="11524" max="11525" width="14.7109375" style="4" customWidth="1"/>
    <col min="11526" max="11526" width="15.28515625" style="4" bestFit="1" customWidth="1"/>
    <col min="11527" max="11528" width="14.42578125" style="4" customWidth="1"/>
    <col min="11529" max="11529" width="21.5703125" style="4" customWidth="1"/>
    <col min="11530" max="11530" width="11.5703125" style="4" customWidth="1"/>
    <col min="11531" max="11531" width="18.140625" style="4" customWidth="1"/>
    <col min="11532" max="11532" width="15" style="4" customWidth="1"/>
    <col min="11533" max="11533" width="18.140625" style="4" customWidth="1"/>
    <col min="11534" max="11534" width="20.28515625" style="4" customWidth="1"/>
    <col min="11535" max="11535" width="8.28515625" style="4" customWidth="1"/>
    <col min="11536" max="11536" width="15.28515625" style="4" customWidth="1"/>
    <col min="11537" max="11537" width="12.7109375" style="4" customWidth="1"/>
    <col min="11538" max="11538" width="16.42578125" style="4" customWidth="1"/>
    <col min="11539" max="11539" width="15.7109375" style="4" customWidth="1"/>
    <col min="11540" max="11540" width="18.7109375" style="4" customWidth="1"/>
    <col min="11541" max="11541" width="21.42578125" style="4" customWidth="1"/>
    <col min="11542" max="11542" width="22" style="4" customWidth="1"/>
    <col min="11543" max="11543" width="12.42578125" style="4" customWidth="1"/>
    <col min="11544" max="11544" width="14" style="4" customWidth="1"/>
    <col min="11545" max="11547" width="10.5703125" style="4" bestFit="1" customWidth="1"/>
    <col min="11548" max="11548" width="9.28515625" style="4" bestFit="1" customWidth="1"/>
    <col min="11549" max="11549" width="12.85546875" style="4" bestFit="1" customWidth="1"/>
    <col min="11550" max="11550" width="9.28515625" style="4" bestFit="1" customWidth="1"/>
    <col min="11551" max="11551" width="8.28515625" style="4" customWidth="1"/>
    <col min="11552" max="11552" width="9.28515625" style="4" bestFit="1" customWidth="1"/>
    <col min="11553" max="11556" width="8.28515625" style="4" customWidth="1"/>
    <col min="11557" max="11559" width="9.28515625" style="4" bestFit="1" customWidth="1"/>
    <col min="11560" max="11560" width="10.5703125" style="4" bestFit="1" customWidth="1"/>
    <col min="11561" max="11561" width="12.5703125" style="4" customWidth="1"/>
    <col min="11562" max="11562" width="20.28515625" style="4" customWidth="1"/>
    <col min="11563" max="11563" width="19.5703125" style="4" customWidth="1"/>
    <col min="11564" max="11776" width="11.42578125" style="4"/>
    <col min="11777" max="11777" width="10.5703125" style="4" bestFit="1" customWidth="1"/>
    <col min="11778" max="11778" width="16.5703125" style="4" bestFit="1" customWidth="1"/>
    <col min="11779" max="11779" width="16.5703125" style="4" customWidth="1"/>
    <col min="11780" max="11781" width="14.7109375" style="4" customWidth="1"/>
    <col min="11782" max="11782" width="15.28515625" style="4" bestFit="1" customWidth="1"/>
    <col min="11783" max="11784" width="14.42578125" style="4" customWidth="1"/>
    <col min="11785" max="11785" width="21.5703125" style="4" customWidth="1"/>
    <col min="11786" max="11786" width="11.5703125" style="4" customWidth="1"/>
    <col min="11787" max="11787" width="18.140625" style="4" customWidth="1"/>
    <col min="11788" max="11788" width="15" style="4" customWidth="1"/>
    <col min="11789" max="11789" width="18.140625" style="4" customWidth="1"/>
    <col min="11790" max="11790" width="20.28515625" style="4" customWidth="1"/>
    <col min="11791" max="11791" width="8.28515625" style="4" customWidth="1"/>
    <col min="11792" max="11792" width="15.28515625" style="4" customWidth="1"/>
    <col min="11793" max="11793" width="12.7109375" style="4" customWidth="1"/>
    <col min="11794" max="11794" width="16.42578125" style="4" customWidth="1"/>
    <col min="11795" max="11795" width="15.7109375" style="4" customWidth="1"/>
    <col min="11796" max="11796" width="18.7109375" style="4" customWidth="1"/>
    <col min="11797" max="11797" width="21.42578125" style="4" customWidth="1"/>
    <col min="11798" max="11798" width="22" style="4" customWidth="1"/>
    <col min="11799" max="11799" width="12.42578125" style="4" customWidth="1"/>
    <col min="11800" max="11800" width="14" style="4" customWidth="1"/>
    <col min="11801" max="11803" width="10.5703125" style="4" bestFit="1" customWidth="1"/>
    <col min="11804" max="11804" width="9.28515625" style="4" bestFit="1" customWidth="1"/>
    <col min="11805" max="11805" width="12.85546875" style="4" bestFit="1" customWidth="1"/>
    <col min="11806" max="11806" width="9.28515625" style="4" bestFit="1" customWidth="1"/>
    <col min="11807" max="11807" width="8.28515625" style="4" customWidth="1"/>
    <col min="11808" max="11808" width="9.28515625" style="4" bestFit="1" customWidth="1"/>
    <col min="11809" max="11812" width="8.28515625" style="4" customWidth="1"/>
    <col min="11813" max="11815" width="9.28515625" style="4" bestFit="1" customWidth="1"/>
    <col min="11816" max="11816" width="10.5703125" style="4" bestFit="1" customWidth="1"/>
    <col min="11817" max="11817" width="12.5703125" style="4" customWidth="1"/>
    <col min="11818" max="11818" width="20.28515625" style="4" customWidth="1"/>
    <col min="11819" max="11819" width="19.5703125" style="4" customWidth="1"/>
    <col min="11820" max="12032" width="11.42578125" style="4"/>
    <col min="12033" max="12033" width="10.5703125" style="4" bestFit="1" customWidth="1"/>
    <col min="12034" max="12034" width="16.5703125" style="4" bestFit="1" customWidth="1"/>
    <col min="12035" max="12035" width="16.5703125" style="4" customWidth="1"/>
    <col min="12036" max="12037" width="14.7109375" style="4" customWidth="1"/>
    <col min="12038" max="12038" width="15.28515625" style="4" bestFit="1" customWidth="1"/>
    <col min="12039" max="12040" width="14.42578125" style="4" customWidth="1"/>
    <col min="12041" max="12041" width="21.5703125" style="4" customWidth="1"/>
    <col min="12042" max="12042" width="11.5703125" style="4" customWidth="1"/>
    <col min="12043" max="12043" width="18.140625" style="4" customWidth="1"/>
    <col min="12044" max="12044" width="15" style="4" customWidth="1"/>
    <col min="12045" max="12045" width="18.140625" style="4" customWidth="1"/>
    <col min="12046" max="12046" width="20.28515625" style="4" customWidth="1"/>
    <col min="12047" max="12047" width="8.28515625" style="4" customWidth="1"/>
    <col min="12048" max="12048" width="15.28515625" style="4" customWidth="1"/>
    <col min="12049" max="12049" width="12.7109375" style="4" customWidth="1"/>
    <col min="12050" max="12050" width="16.42578125" style="4" customWidth="1"/>
    <col min="12051" max="12051" width="15.7109375" style="4" customWidth="1"/>
    <col min="12052" max="12052" width="18.7109375" style="4" customWidth="1"/>
    <col min="12053" max="12053" width="21.42578125" style="4" customWidth="1"/>
    <col min="12054" max="12054" width="22" style="4" customWidth="1"/>
    <col min="12055" max="12055" width="12.42578125" style="4" customWidth="1"/>
    <col min="12056" max="12056" width="14" style="4" customWidth="1"/>
    <col min="12057" max="12059" width="10.5703125" style="4" bestFit="1" customWidth="1"/>
    <col min="12060" max="12060" width="9.28515625" style="4" bestFit="1" customWidth="1"/>
    <col min="12061" max="12061" width="12.85546875" style="4" bestFit="1" customWidth="1"/>
    <col min="12062" max="12062" width="9.28515625" style="4" bestFit="1" customWidth="1"/>
    <col min="12063" max="12063" width="8.28515625" style="4" customWidth="1"/>
    <col min="12064" max="12064" width="9.28515625" style="4" bestFit="1" customWidth="1"/>
    <col min="12065" max="12068" width="8.28515625" style="4" customWidth="1"/>
    <col min="12069" max="12071" width="9.28515625" style="4" bestFit="1" customWidth="1"/>
    <col min="12072" max="12072" width="10.5703125" style="4" bestFit="1" customWidth="1"/>
    <col min="12073" max="12073" width="12.5703125" style="4" customWidth="1"/>
    <col min="12074" max="12074" width="20.28515625" style="4" customWidth="1"/>
    <col min="12075" max="12075" width="19.5703125" style="4" customWidth="1"/>
    <col min="12076" max="12288" width="11.42578125" style="4"/>
    <col min="12289" max="12289" width="10.5703125" style="4" bestFit="1" customWidth="1"/>
    <col min="12290" max="12290" width="16.5703125" style="4" bestFit="1" customWidth="1"/>
    <col min="12291" max="12291" width="16.5703125" style="4" customWidth="1"/>
    <col min="12292" max="12293" width="14.7109375" style="4" customWidth="1"/>
    <col min="12294" max="12294" width="15.28515625" style="4" bestFit="1" customWidth="1"/>
    <col min="12295" max="12296" width="14.42578125" style="4" customWidth="1"/>
    <col min="12297" max="12297" width="21.5703125" style="4" customWidth="1"/>
    <col min="12298" max="12298" width="11.5703125" style="4" customWidth="1"/>
    <col min="12299" max="12299" width="18.140625" style="4" customWidth="1"/>
    <col min="12300" max="12300" width="15" style="4" customWidth="1"/>
    <col min="12301" max="12301" width="18.140625" style="4" customWidth="1"/>
    <col min="12302" max="12302" width="20.28515625" style="4" customWidth="1"/>
    <col min="12303" max="12303" width="8.28515625" style="4" customWidth="1"/>
    <col min="12304" max="12304" width="15.28515625" style="4" customWidth="1"/>
    <col min="12305" max="12305" width="12.7109375" style="4" customWidth="1"/>
    <col min="12306" max="12306" width="16.42578125" style="4" customWidth="1"/>
    <col min="12307" max="12307" width="15.7109375" style="4" customWidth="1"/>
    <col min="12308" max="12308" width="18.7109375" style="4" customWidth="1"/>
    <col min="12309" max="12309" width="21.42578125" style="4" customWidth="1"/>
    <col min="12310" max="12310" width="22" style="4" customWidth="1"/>
    <col min="12311" max="12311" width="12.42578125" style="4" customWidth="1"/>
    <col min="12312" max="12312" width="14" style="4" customWidth="1"/>
    <col min="12313" max="12315" width="10.5703125" style="4" bestFit="1" customWidth="1"/>
    <col min="12316" max="12316" width="9.28515625" style="4" bestFit="1" customWidth="1"/>
    <col min="12317" max="12317" width="12.85546875" style="4" bestFit="1" customWidth="1"/>
    <col min="12318" max="12318" width="9.28515625" style="4" bestFit="1" customWidth="1"/>
    <col min="12319" max="12319" width="8.28515625" style="4" customWidth="1"/>
    <col min="12320" max="12320" width="9.28515625" style="4" bestFit="1" customWidth="1"/>
    <col min="12321" max="12324" width="8.28515625" style="4" customWidth="1"/>
    <col min="12325" max="12327" width="9.28515625" style="4" bestFit="1" customWidth="1"/>
    <col min="12328" max="12328" width="10.5703125" style="4" bestFit="1" customWidth="1"/>
    <col min="12329" max="12329" width="12.5703125" style="4" customWidth="1"/>
    <col min="12330" max="12330" width="20.28515625" style="4" customWidth="1"/>
    <col min="12331" max="12331" width="19.5703125" style="4" customWidth="1"/>
    <col min="12332" max="12544" width="11.42578125" style="4"/>
    <col min="12545" max="12545" width="10.5703125" style="4" bestFit="1" customWidth="1"/>
    <col min="12546" max="12546" width="16.5703125" style="4" bestFit="1" customWidth="1"/>
    <col min="12547" max="12547" width="16.5703125" style="4" customWidth="1"/>
    <col min="12548" max="12549" width="14.7109375" style="4" customWidth="1"/>
    <col min="12550" max="12550" width="15.28515625" style="4" bestFit="1" customWidth="1"/>
    <col min="12551" max="12552" width="14.42578125" style="4" customWidth="1"/>
    <col min="12553" max="12553" width="21.5703125" style="4" customWidth="1"/>
    <col min="12554" max="12554" width="11.5703125" style="4" customWidth="1"/>
    <col min="12555" max="12555" width="18.140625" style="4" customWidth="1"/>
    <col min="12556" max="12556" width="15" style="4" customWidth="1"/>
    <col min="12557" max="12557" width="18.140625" style="4" customWidth="1"/>
    <col min="12558" max="12558" width="20.28515625" style="4" customWidth="1"/>
    <col min="12559" max="12559" width="8.28515625" style="4" customWidth="1"/>
    <col min="12560" max="12560" width="15.28515625" style="4" customWidth="1"/>
    <col min="12561" max="12561" width="12.7109375" style="4" customWidth="1"/>
    <col min="12562" max="12562" width="16.42578125" style="4" customWidth="1"/>
    <col min="12563" max="12563" width="15.7109375" style="4" customWidth="1"/>
    <col min="12564" max="12564" width="18.7109375" style="4" customWidth="1"/>
    <col min="12565" max="12565" width="21.42578125" style="4" customWidth="1"/>
    <col min="12566" max="12566" width="22" style="4" customWidth="1"/>
    <col min="12567" max="12567" width="12.42578125" style="4" customWidth="1"/>
    <col min="12568" max="12568" width="14" style="4" customWidth="1"/>
    <col min="12569" max="12571" width="10.5703125" style="4" bestFit="1" customWidth="1"/>
    <col min="12572" max="12572" width="9.28515625" style="4" bestFit="1" customWidth="1"/>
    <col min="12573" max="12573" width="12.85546875" style="4" bestFit="1" customWidth="1"/>
    <col min="12574" max="12574" width="9.28515625" style="4" bestFit="1" customWidth="1"/>
    <col min="12575" max="12575" width="8.28515625" style="4" customWidth="1"/>
    <col min="12576" max="12576" width="9.28515625" style="4" bestFit="1" customWidth="1"/>
    <col min="12577" max="12580" width="8.28515625" style="4" customWidth="1"/>
    <col min="12581" max="12583" width="9.28515625" style="4" bestFit="1" customWidth="1"/>
    <col min="12584" max="12584" width="10.5703125" style="4" bestFit="1" customWidth="1"/>
    <col min="12585" max="12585" width="12.5703125" style="4" customWidth="1"/>
    <col min="12586" max="12586" width="20.28515625" style="4" customWidth="1"/>
    <col min="12587" max="12587" width="19.5703125" style="4" customWidth="1"/>
    <col min="12588" max="12800" width="11.42578125" style="4"/>
    <col min="12801" max="12801" width="10.5703125" style="4" bestFit="1" customWidth="1"/>
    <col min="12802" max="12802" width="16.5703125" style="4" bestFit="1" customWidth="1"/>
    <col min="12803" max="12803" width="16.5703125" style="4" customWidth="1"/>
    <col min="12804" max="12805" width="14.7109375" style="4" customWidth="1"/>
    <col min="12806" max="12806" width="15.28515625" style="4" bestFit="1" customWidth="1"/>
    <col min="12807" max="12808" width="14.42578125" style="4" customWidth="1"/>
    <col min="12809" max="12809" width="21.5703125" style="4" customWidth="1"/>
    <col min="12810" max="12810" width="11.5703125" style="4" customWidth="1"/>
    <col min="12811" max="12811" width="18.140625" style="4" customWidth="1"/>
    <col min="12812" max="12812" width="15" style="4" customWidth="1"/>
    <col min="12813" max="12813" width="18.140625" style="4" customWidth="1"/>
    <col min="12814" max="12814" width="20.28515625" style="4" customWidth="1"/>
    <col min="12815" max="12815" width="8.28515625" style="4" customWidth="1"/>
    <col min="12816" max="12816" width="15.28515625" style="4" customWidth="1"/>
    <col min="12817" max="12817" width="12.7109375" style="4" customWidth="1"/>
    <col min="12818" max="12818" width="16.42578125" style="4" customWidth="1"/>
    <col min="12819" max="12819" width="15.7109375" style="4" customWidth="1"/>
    <col min="12820" max="12820" width="18.7109375" style="4" customWidth="1"/>
    <col min="12821" max="12821" width="21.42578125" style="4" customWidth="1"/>
    <col min="12822" max="12822" width="22" style="4" customWidth="1"/>
    <col min="12823" max="12823" width="12.42578125" style="4" customWidth="1"/>
    <col min="12824" max="12824" width="14" style="4" customWidth="1"/>
    <col min="12825" max="12827" width="10.5703125" style="4" bestFit="1" customWidth="1"/>
    <col min="12828" max="12828" width="9.28515625" style="4" bestFit="1" customWidth="1"/>
    <col min="12829" max="12829" width="12.85546875" style="4" bestFit="1" customWidth="1"/>
    <col min="12830" max="12830" width="9.28515625" style="4" bestFit="1" customWidth="1"/>
    <col min="12831" max="12831" width="8.28515625" style="4" customWidth="1"/>
    <col min="12832" max="12832" width="9.28515625" style="4" bestFit="1" customWidth="1"/>
    <col min="12833" max="12836" width="8.28515625" style="4" customWidth="1"/>
    <col min="12837" max="12839" width="9.28515625" style="4" bestFit="1" customWidth="1"/>
    <col min="12840" max="12840" width="10.5703125" style="4" bestFit="1" customWidth="1"/>
    <col min="12841" max="12841" width="12.5703125" style="4" customWidth="1"/>
    <col min="12842" max="12842" width="20.28515625" style="4" customWidth="1"/>
    <col min="12843" max="12843" width="19.5703125" style="4" customWidth="1"/>
    <col min="12844" max="13056" width="11.42578125" style="4"/>
    <col min="13057" max="13057" width="10.5703125" style="4" bestFit="1" customWidth="1"/>
    <col min="13058" max="13058" width="16.5703125" style="4" bestFit="1" customWidth="1"/>
    <col min="13059" max="13059" width="16.5703125" style="4" customWidth="1"/>
    <col min="13060" max="13061" width="14.7109375" style="4" customWidth="1"/>
    <col min="13062" max="13062" width="15.28515625" style="4" bestFit="1" customWidth="1"/>
    <col min="13063" max="13064" width="14.42578125" style="4" customWidth="1"/>
    <col min="13065" max="13065" width="21.5703125" style="4" customWidth="1"/>
    <col min="13066" max="13066" width="11.5703125" style="4" customWidth="1"/>
    <col min="13067" max="13067" width="18.140625" style="4" customWidth="1"/>
    <col min="13068" max="13068" width="15" style="4" customWidth="1"/>
    <col min="13069" max="13069" width="18.140625" style="4" customWidth="1"/>
    <col min="13070" max="13070" width="20.28515625" style="4" customWidth="1"/>
    <col min="13071" max="13071" width="8.28515625" style="4" customWidth="1"/>
    <col min="13072" max="13072" width="15.28515625" style="4" customWidth="1"/>
    <col min="13073" max="13073" width="12.7109375" style="4" customWidth="1"/>
    <col min="13074" max="13074" width="16.42578125" style="4" customWidth="1"/>
    <col min="13075" max="13075" width="15.7109375" style="4" customWidth="1"/>
    <col min="13076" max="13076" width="18.7109375" style="4" customWidth="1"/>
    <col min="13077" max="13077" width="21.42578125" style="4" customWidth="1"/>
    <col min="13078" max="13078" width="22" style="4" customWidth="1"/>
    <col min="13079" max="13079" width="12.42578125" style="4" customWidth="1"/>
    <col min="13080" max="13080" width="14" style="4" customWidth="1"/>
    <col min="13081" max="13083" width="10.5703125" style="4" bestFit="1" customWidth="1"/>
    <col min="13084" max="13084" width="9.28515625" style="4" bestFit="1" customWidth="1"/>
    <col min="13085" max="13085" width="12.85546875" style="4" bestFit="1" customWidth="1"/>
    <col min="13086" max="13086" width="9.28515625" style="4" bestFit="1" customWidth="1"/>
    <col min="13087" max="13087" width="8.28515625" style="4" customWidth="1"/>
    <col min="13088" max="13088" width="9.28515625" style="4" bestFit="1" customWidth="1"/>
    <col min="13089" max="13092" width="8.28515625" style="4" customWidth="1"/>
    <col min="13093" max="13095" width="9.28515625" style="4" bestFit="1" customWidth="1"/>
    <col min="13096" max="13096" width="10.5703125" style="4" bestFit="1" customWidth="1"/>
    <col min="13097" max="13097" width="12.5703125" style="4" customWidth="1"/>
    <col min="13098" max="13098" width="20.28515625" style="4" customWidth="1"/>
    <col min="13099" max="13099" width="19.5703125" style="4" customWidth="1"/>
    <col min="13100" max="13312" width="11.42578125" style="4"/>
    <col min="13313" max="13313" width="10.5703125" style="4" bestFit="1" customWidth="1"/>
    <col min="13314" max="13314" width="16.5703125" style="4" bestFit="1" customWidth="1"/>
    <col min="13315" max="13315" width="16.5703125" style="4" customWidth="1"/>
    <col min="13316" max="13317" width="14.7109375" style="4" customWidth="1"/>
    <col min="13318" max="13318" width="15.28515625" style="4" bestFit="1" customWidth="1"/>
    <col min="13319" max="13320" width="14.42578125" style="4" customWidth="1"/>
    <col min="13321" max="13321" width="21.5703125" style="4" customWidth="1"/>
    <col min="13322" max="13322" width="11.5703125" style="4" customWidth="1"/>
    <col min="13323" max="13323" width="18.140625" style="4" customWidth="1"/>
    <col min="13324" max="13324" width="15" style="4" customWidth="1"/>
    <col min="13325" max="13325" width="18.140625" style="4" customWidth="1"/>
    <col min="13326" max="13326" width="20.28515625" style="4" customWidth="1"/>
    <col min="13327" max="13327" width="8.28515625" style="4" customWidth="1"/>
    <col min="13328" max="13328" width="15.28515625" style="4" customWidth="1"/>
    <col min="13329" max="13329" width="12.7109375" style="4" customWidth="1"/>
    <col min="13330" max="13330" width="16.42578125" style="4" customWidth="1"/>
    <col min="13331" max="13331" width="15.7109375" style="4" customWidth="1"/>
    <col min="13332" max="13332" width="18.7109375" style="4" customWidth="1"/>
    <col min="13333" max="13333" width="21.42578125" style="4" customWidth="1"/>
    <col min="13334" max="13334" width="22" style="4" customWidth="1"/>
    <col min="13335" max="13335" width="12.42578125" style="4" customWidth="1"/>
    <col min="13336" max="13336" width="14" style="4" customWidth="1"/>
    <col min="13337" max="13339" width="10.5703125" style="4" bestFit="1" customWidth="1"/>
    <col min="13340" max="13340" width="9.28515625" style="4" bestFit="1" customWidth="1"/>
    <col min="13341" max="13341" width="12.85546875" style="4" bestFit="1" customWidth="1"/>
    <col min="13342" max="13342" width="9.28515625" style="4" bestFit="1" customWidth="1"/>
    <col min="13343" max="13343" width="8.28515625" style="4" customWidth="1"/>
    <col min="13344" max="13344" width="9.28515625" style="4" bestFit="1" customWidth="1"/>
    <col min="13345" max="13348" width="8.28515625" style="4" customWidth="1"/>
    <col min="13349" max="13351" width="9.28515625" style="4" bestFit="1" customWidth="1"/>
    <col min="13352" max="13352" width="10.5703125" style="4" bestFit="1" customWidth="1"/>
    <col min="13353" max="13353" width="12.5703125" style="4" customWidth="1"/>
    <col min="13354" max="13354" width="20.28515625" style="4" customWidth="1"/>
    <col min="13355" max="13355" width="19.5703125" style="4" customWidth="1"/>
    <col min="13356" max="13568" width="11.42578125" style="4"/>
    <col min="13569" max="13569" width="10.5703125" style="4" bestFit="1" customWidth="1"/>
    <col min="13570" max="13570" width="16.5703125" style="4" bestFit="1" customWidth="1"/>
    <col min="13571" max="13571" width="16.5703125" style="4" customWidth="1"/>
    <col min="13572" max="13573" width="14.7109375" style="4" customWidth="1"/>
    <col min="13574" max="13574" width="15.28515625" style="4" bestFit="1" customWidth="1"/>
    <col min="13575" max="13576" width="14.42578125" style="4" customWidth="1"/>
    <col min="13577" max="13577" width="21.5703125" style="4" customWidth="1"/>
    <col min="13578" max="13578" width="11.5703125" style="4" customWidth="1"/>
    <col min="13579" max="13579" width="18.140625" style="4" customWidth="1"/>
    <col min="13580" max="13580" width="15" style="4" customWidth="1"/>
    <col min="13581" max="13581" width="18.140625" style="4" customWidth="1"/>
    <col min="13582" max="13582" width="20.28515625" style="4" customWidth="1"/>
    <col min="13583" max="13583" width="8.28515625" style="4" customWidth="1"/>
    <col min="13584" max="13584" width="15.28515625" style="4" customWidth="1"/>
    <col min="13585" max="13585" width="12.7109375" style="4" customWidth="1"/>
    <col min="13586" max="13586" width="16.42578125" style="4" customWidth="1"/>
    <col min="13587" max="13587" width="15.7109375" style="4" customWidth="1"/>
    <col min="13588" max="13588" width="18.7109375" style="4" customWidth="1"/>
    <col min="13589" max="13589" width="21.42578125" style="4" customWidth="1"/>
    <col min="13590" max="13590" width="22" style="4" customWidth="1"/>
    <col min="13591" max="13591" width="12.42578125" style="4" customWidth="1"/>
    <col min="13592" max="13592" width="14" style="4" customWidth="1"/>
    <col min="13593" max="13595" width="10.5703125" style="4" bestFit="1" customWidth="1"/>
    <col min="13596" max="13596" width="9.28515625" style="4" bestFit="1" customWidth="1"/>
    <col min="13597" max="13597" width="12.85546875" style="4" bestFit="1" customWidth="1"/>
    <col min="13598" max="13598" width="9.28515625" style="4" bestFit="1" customWidth="1"/>
    <col min="13599" max="13599" width="8.28515625" style="4" customWidth="1"/>
    <col min="13600" max="13600" width="9.28515625" style="4" bestFit="1" customWidth="1"/>
    <col min="13601" max="13604" width="8.28515625" style="4" customWidth="1"/>
    <col min="13605" max="13607" width="9.28515625" style="4" bestFit="1" customWidth="1"/>
    <col min="13608" max="13608" width="10.5703125" style="4" bestFit="1" customWidth="1"/>
    <col min="13609" max="13609" width="12.5703125" style="4" customWidth="1"/>
    <col min="13610" max="13610" width="20.28515625" style="4" customWidth="1"/>
    <col min="13611" max="13611" width="19.5703125" style="4" customWidth="1"/>
    <col min="13612" max="13824" width="11.42578125" style="4"/>
    <col min="13825" max="13825" width="10.5703125" style="4" bestFit="1" customWidth="1"/>
    <col min="13826" max="13826" width="16.5703125" style="4" bestFit="1" customWidth="1"/>
    <col min="13827" max="13827" width="16.5703125" style="4" customWidth="1"/>
    <col min="13828" max="13829" width="14.7109375" style="4" customWidth="1"/>
    <col min="13830" max="13830" width="15.28515625" style="4" bestFit="1" customWidth="1"/>
    <col min="13831" max="13832" width="14.42578125" style="4" customWidth="1"/>
    <col min="13833" max="13833" width="21.5703125" style="4" customWidth="1"/>
    <col min="13834" max="13834" width="11.5703125" style="4" customWidth="1"/>
    <col min="13835" max="13835" width="18.140625" style="4" customWidth="1"/>
    <col min="13836" max="13836" width="15" style="4" customWidth="1"/>
    <col min="13837" max="13837" width="18.140625" style="4" customWidth="1"/>
    <col min="13838" max="13838" width="20.28515625" style="4" customWidth="1"/>
    <col min="13839" max="13839" width="8.28515625" style="4" customWidth="1"/>
    <col min="13840" max="13840" width="15.28515625" style="4" customWidth="1"/>
    <col min="13841" max="13841" width="12.7109375" style="4" customWidth="1"/>
    <col min="13842" max="13842" width="16.42578125" style="4" customWidth="1"/>
    <col min="13843" max="13843" width="15.7109375" style="4" customWidth="1"/>
    <col min="13844" max="13844" width="18.7109375" style="4" customWidth="1"/>
    <col min="13845" max="13845" width="21.42578125" style="4" customWidth="1"/>
    <col min="13846" max="13846" width="22" style="4" customWidth="1"/>
    <col min="13847" max="13847" width="12.42578125" style="4" customWidth="1"/>
    <col min="13848" max="13848" width="14" style="4" customWidth="1"/>
    <col min="13849" max="13851" width="10.5703125" style="4" bestFit="1" customWidth="1"/>
    <col min="13852" max="13852" width="9.28515625" style="4" bestFit="1" customWidth="1"/>
    <col min="13853" max="13853" width="12.85546875" style="4" bestFit="1" customWidth="1"/>
    <col min="13854" max="13854" width="9.28515625" style="4" bestFit="1" customWidth="1"/>
    <col min="13855" max="13855" width="8.28515625" style="4" customWidth="1"/>
    <col min="13856" max="13856" width="9.28515625" style="4" bestFit="1" customWidth="1"/>
    <col min="13857" max="13860" width="8.28515625" style="4" customWidth="1"/>
    <col min="13861" max="13863" width="9.28515625" style="4" bestFit="1" customWidth="1"/>
    <col min="13864" max="13864" width="10.5703125" style="4" bestFit="1" customWidth="1"/>
    <col min="13865" max="13865" width="12.5703125" style="4" customWidth="1"/>
    <col min="13866" max="13866" width="20.28515625" style="4" customWidth="1"/>
    <col min="13867" max="13867" width="19.5703125" style="4" customWidth="1"/>
    <col min="13868" max="14080" width="11.42578125" style="4"/>
    <col min="14081" max="14081" width="10.5703125" style="4" bestFit="1" customWidth="1"/>
    <col min="14082" max="14082" width="16.5703125" style="4" bestFit="1" customWidth="1"/>
    <col min="14083" max="14083" width="16.5703125" style="4" customWidth="1"/>
    <col min="14084" max="14085" width="14.7109375" style="4" customWidth="1"/>
    <col min="14086" max="14086" width="15.28515625" style="4" bestFit="1" customWidth="1"/>
    <col min="14087" max="14088" width="14.42578125" style="4" customWidth="1"/>
    <col min="14089" max="14089" width="21.5703125" style="4" customWidth="1"/>
    <col min="14090" max="14090" width="11.5703125" style="4" customWidth="1"/>
    <col min="14091" max="14091" width="18.140625" style="4" customWidth="1"/>
    <col min="14092" max="14092" width="15" style="4" customWidth="1"/>
    <col min="14093" max="14093" width="18.140625" style="4" customWidth="1"/>
    <col min="14094" max="14094" width="20.28515625" style="4" customWidth="1"/>
    <col min="14095" max="14095" width="8.28515625" style="4" customWidth="1"/>
    <col min="14096" max="14096" width="15.28515625" style="4" customWidth="1"/>
    <col min="14097" max="14097" width="12.7109375" style="4" customWidth="1"/>
    <col min="14098" max="14098" width="16.42578125" style="4" customWidth="1"/>
    <col min="14099" max="14099" width="15.7109375" style="4" customWidth="1"/>
    <col min="14100" max="14100" width="18.7109375" style="4" customWidth="1"/>
    <col min="14101" max="14101" width="21.42578125" style="4" customWidth="1"/>
    <col min="14102" max="14102" width="22" style="4" customWidth="1"/>
    <col min="14103" max="14103" width="12.42578125" style="4" customWidth="1"/>
    <col min="14104" max="14104" width="14" style="4" customWidth="1"/>
    <col min="14105" max="14107" width="10.5703125" style="4" bestFit="1" customWidth="1"/>
    <col min="14108" max="14108" width="9.28515625" style="4" bestFit="1" customWidth="1"/>
    <col min="14109" max="14109" width="12.85546875" style="4" bestFit="1" customWidth="1"/>
    <col min="14110" max="14110" width="9.28515625" style="4" bestFit="1" customWidth="1"/>
    <col min="14111" max="14111" width="8.28515625" style="4" customWidth="1"/>
    <col min="14112" max="14112" width="9.28515625" style="4" bestFit="1" customWidth="1"/>
    <col min="14113" max="14116" width="8.28515625" style="4" customWidth="1"/>
    <col min="14117" max="14119" width="9.28515625" style="4" bestFit="1" customWidth="1"/>
    <col min="14120" max="14120" width="10.5703125" style="4" bestFit="1" customWidth="1"/>
    <col min="14121" max="14121" width="12.5703125" style="4" customWidth="1"/>
    <col min="14122" max="14122" width="20.28515625" style="4" customWidth="1"/>
    <col min="14123" max="14123" width="19.5703125" style="4" customWidth="1"/>
    <col min="14124" max="14336" width="11.42578125" style="4"/>
    <col min="14337" max="14337" width="10.5703125" style="4" bestFit="1" customWidth="1"/>
    <col min="14338" max="14338" width="16.5703125" style="4" bestFit="1" customWidth="1"/>
    <col min="14339" max="14339" width="16.5703125" style="4" customWidth="1"/>
    <col min="14340" max="14341" width="14.7109375" style="4" customWidth="1"/>
    <col min="14342" max="14342" width="15.28515625" style="4" bestFit="1" customWidth="1"/>
    <col min="14343" max="14344" width="14.42578125" style="4" customWidth="1"/>
    <col min="14345" max="14345" width="21.5703125" style="4" customWidth="1"/>
    <col min="14346" max="14346" width="11.5703125" style="4" customWidth="1"/>
    <col min="14347" max="14347" width="18.140625" style="4" customWidth="1"/>
    <col min="14348" max="14348" width="15" style="4" customWidth="1"/>
    <col min="14349" max="14349" width="18.140625" style="4" customWidth="1"/>
    <col min="14350" max="14350" width="20.28515625" style="4" customWidth="1"/>
    <col min="14351" max="14351" width="8.28515625" style="4" customWidth="1"/>
    <col min="14352" max="14352" width="15.28515625" style="4" customWidth="1"/>
    <col min="14353" max="14353" width="12.7109375" style="4" customWidth="1"/>
    <col min="14354" max="14354" width="16.42578125" style="4" customWidth="1"/>
    <col min="14355" max="14355" width="15.7109375" style="4" customWidth="1"/>
    <col min="14356" max="14356" width="18.7109375" style="4" customWidth="1"/>
    <col min="14357" max="14357" width="21.42578125" style="4" customWidth="1"/>
    <col min="14358" max="14358" width="22" style="4" customWidth="1"/>
    <col min="14359" max="14359" width="12.42578125" style="4" customWidth="1"/>
    <col min="14360" max="14360" width="14" style="4" customWidth="1"/>
    <col min="14361" max="14363" width="10.5703125" style="4" bestFit="1" customWidth="1"/>
    <col min="14364" max="14364" width="9.28515625" style="4" bestFit="1" customWidth="1"/>
    <col min="14365" max="14365" width="12.85546875" style="4" bestFit="1" customWidth="1"/>
    <col min="14366" max="14366" width="9.28515625" style="4" bestFit="1" customWidth="1"/>
    <col min="14367" max="14367" width="8.28515625" style="4" customWidth="1"/>
    <col min="14368" max="14368" width="9.28515625" style="4" bestFit="1" customWidth="1"/>
    <col min="14369" max="14372" width="8.28515625" style="4" customWidth="1"/>
    <col min="14373" max="14375" width="9.28515625" style="4" bestFit="1" customWidth="1"/>
    <col min="14376" max="14376" width="10.5703125" style="4" bestFit="1" customWidth="1"/>
    <col min="14377" max="14377" width="12.5703125" style="4" customWidth="1"/>
    <col min="14378" max="14378" width="20.28515625" style="4" customWidth="1"/>
    <col min="14379" max="14379" width="19.5703125" style="4" customWidth="1"/>
    <col min="14380" max="14592" width="11.42578125" style="4"/>
    <col min="14593" max="14593" width="10.5703125" style="4" bestFit="1" customWidth="1"/>
    <col min="14594" max="14594" width="16.5703125" style="4" bestFit="1" customWidth="1"/>
    <col min="14595" max="14595" width="16.5703125" style="4" customWidth="1"/>
    <col min="14596" max="14597" width="14.7109375" style="4" customWidth="1"/>
    <col min="14598" max="14598" width="15.28515625" style="4" bestFit="1" customWidth="1"/>
    <col min="14599" max="14600" width="14.42578125" style="4" customWidth="1"/>
    <col min="14601" max="14601" width="21.5703125" style="4" customWidth="1"/>
    <col min="14602" max="14602" width="11.5703125" style="4" customWidth="1"/>
    <col min="14603" max="14603" width="18.140625" style="4" customWidth="1"/>
    <col min="14604" max="14604" width="15" style="4" customWidth="1"/>
    <col min="14605" max="14605" width="18.140625" style="4" customWidth="1"/>
    <col min="14606" max="14606" width="20.28515625" style="4" customWidth="1"/>
    <col min="14607" max="14607" width="8.28515625" style="4" customWidth="1"/>
    <col min="14608" max="14608" width="15.28515625" style="4" customWidth="1"/>
    <col min="14609" max="14609" width="12.7109375" style="4" customWidth="1"/>
    <col min="14610" max="14610" width="16.42578125" style="4" customWidth="1"/>
    <col min="14611" max="14611" width="15.7109375" style="4" customWidth="1"/>
    <col min="14612" max="14612" width="18.7109375" style="4" customWidth="1"/>
    <col min="14613" max="14613" width="21.42578125" style="4" customWidth="1"/>
    <col min="14614" max="14614" width="22" style="4" customWidth="1"/>
    <col min="14615" max="14615" width="12.42578125" style="4" customWidth="1"/>
    <col min="14616" max="14616" width="14" style="4" customWidth="1"/>
    <col min="14617" max="14619" width="10.5703125" style="4" bestFit="1" customWidth="1"/>
    <col min="14620" max="14620" width="9.28515625" style="4" bestFit="1" customWidth="1"/>
    <col min="14621" max="14621" width="12.85546875" style="4" bestFit="1" customWidth="1"/>
    <col min="14622" max="14622" width="9.28515625" style="4" bestFit="1" customWidth="1"/>
    <col min="14623" max="14623" width="8.28515625" style="4" customWidth="1"/>
    <col min="14624" max="14624" width="9.28515625" style="4" bestFit="1" customWidth="1"/>
    <col min="14625" max="14628" width="8.28515625" style="4" customWidth="1"/>
    <col min="14629" max="14631" width="9.28515625" style="4" bestFit="1" customWidth="1"/>
    <col min="14632" max="14632" width="10.5703125" style="4" bestFit="1" customWidth="1"/>
    <col min="14633" max="14633" width="12.5703125" style="4" customWidth="1"/>
    <col min="14634" max="14634" width="20.28515625" style="4" customWidth="1"/>
    <col min="14635" max="14635" width="19.5703125" style="4" customWidth="1"/>
    <col min="14636" max="14848" width="11.42578125" style="4"/>
    <col min="14849" max="14849" width="10.5703125" style="4" bestFit="1" customWidth="1"/>
    <col min="14850" max="14850" width="16.5703125" style="4" bestFit="1" customWidth="1"/>
    <col min="14851" max="14851" width="16.5703125" style="4" customWidth="1"/>
    <col min="14852" max="14853" width="14.7109375" style="4" customWidth="1"/>
    <col min="14854" max="14854" width="15.28515625" style="4" bestFit="1" customWidth="1"/>
    <col min="14855" max="14856" width="14.42578125" style="4" customWidth="1"/>
    <col min="14857" max="14857" width="21.5703125" style="4" customWidth="1"/>
    <col min="14858" max="14858" width="11.5703125" style="4" customWidth="1"/>
    <col min="14859" max="14859" width="18.140625" style="4" customWidth="1"/>
    <col min="14860" max="14860" width="15" style="4" customWidth="1"/>
    <col min="14861" max="14861" width="18.140625" style="4" customWidth="1"/>
    <col min="14862" max="14862" width="20.28515625" style="4" customWidth="1"/>
    <col min="14863" max="14863" width="8.28515625" style="4" customWidth="1"/>
    <col min="14864" max="14864" width="15.28515625" style="4" customWidth="1"/>
    <col min="14865" max="14865" width="12.7109375" style="4" customWidth="1"/>
    <col min="14866" max="14866" width="16.42578125" style="4" customWidth="1"/>
    <col min="14867" max="14867" width="15.7109375" style="4" customWidth="1"/>
    <col min="14868" max="14868" width="18.7109375" style="4" customWidth="1"/>
    <col min="14869" max="14869" width="21.42578125" style="4" customWidth="1"/>
    <col min="14870" max="14870" width="22" style="4" customWidth="1"/>
    <col min="14871" max="14871" width="12.42578125" style="4" customWidth="1"/>
    <col min="14872" max="14872" width="14" style="4" customWidth="1"/>
    <col min="14873" max="14875" width="10.5703125" style="4" bestFit="1" customWidth="1"/>
    <col min="14876" max="14876" width="9.28515625" style="4" bestFit="1" customWidth="1"/>
    <col min="14877" max="14877" width="12.85546875" style="4" bestFit="1" customWidth="1"/>
    <col min="14878" max="14878" width="9.28515625" style="4" bestFit="1" customWidth="1"/>
    <col min="14879" max="14879" width="8.28515625" style="4" customWidth="1"/>
    <col min="14880" max="14880" width="9.28515625" style="4" bestFit="1" customWidth="1"/>
    <col min="14881" max="14884" width="8.28515625" style="4" customWidth="1"/>
    <col min="14885" max="14887" width="9.28515625" style="4" bestFit="1" customWidth="1"/>
    <col min="14888" max="14888" width="10.5703125" style="4" bestFit="1" customWidth="1"/>
    <col min="14889" max="14889" width="12.5703125" style="4" customWidth="1"/>
    <col min="14890" max="14890" width="20.28515625" style="4" customWidth="1"/>
    <col min="14891" max="14891" width="19.5703125" style="4" customWidth="1"/>
    <col min="14892" max="15104" width="11.42578125" style="4"/>
    <col min="15105" max="15105" width="10.5703125" style="4" bestFit="1" customWidth="1"/>
    <col min="15106" max="15106" width="16.5703125" style="4" bestFit="1" customWidth="1"/>
    <col min="15107" max="15107" width="16.5703125" style="4" customWidth="1"/>
    <col min="15108" max="15109" width="14.7109375" style="4" customWidth="1"/>
    <col min="15110" max="15110" width="15.28515625" style="4" bestFit="1" customWidth="1"/>
    <col min="15111" max="15112" width="14.42578125" style="4" customWidth="1"/>
    <col min="15113" max="15113" width="21.5703125" style="4" customWidth="1"/>
    <col min="15114" max="15114" width="11.5703125" style="4" customWidth="1"/>
    <col min="15115" max="15115" width="18.140625" style="4" customWidth="1"/>
    <col min="15116" max="15116" width="15" style="4" customWidth="1"/>
    <col min="15117" max="15117" width="18.140625" style="4" customWidth="1"/>
    <col min="15118" max="15118" width="20.28515625" style="4" customWidth="1"/>
    <col min="15119" max="15119" width="8.28515625" style="4" customWidth="1"/>
    <col min="15120" max="15120" width="15.28515625" style="4" customWidth="1"/>
    <col min="15121" max="15121" width="12.7109375" style="4" customWidth="1"/>
    <col min="15122" max="15122" width="16.42578125" style="4" customWidth="1"/>
    <col min="15123" max="15123" width="15.7109375" style="4" customWidth="1"/>
    <col min="15124" max="15124" width="18.7109375" style="4" customWidth="1"/>
    <col min="15125" max="15125" width="21.42578125" style="4" customWidth="1"/>
    <col min="15126" max="15126" width="22" style="4" customWidth="1"/>
    <col min="15127" max="15127" width="12.42578125" style="4" customWidth="1"/>
    <col min="15128" max="15128" width="14" style="4" customWidth="1"/>
    <col min="15129" max="15131" width="10.5703125" style="4" bestFit="1" customWidth="1"/>
    <col min="15132" max="15132" width="9.28515625" style="4" bestFit="1" customWidth="1"/>
    <col min="15133" max="15133" width="12.85546875" style="4" bestFit="1" customWidth="1"/>
    <col min="15134" max="15134" width="9.28515625" style="4" bestFit="1" customWidth="1"/>
    <col min="15135" max="15135" width="8.28515625" style="4" customWidth="1"/>
    <col min="15136" max="15136" width="9.28515625" style="4" bestFit="1" customWidth="1"/>
    <col min="15137" max="15140" width="8.28515625" style="4" customWidth="1"/>
    <col min="15141" max="15143" width="9.28515625" style="4" bestFit="1" customWidth="1"/>
    <col min="15144" max="15144" width="10.5703125" style="4" bestFit="1" customWidth="1"/>
    <col min="15145" max="15145" width="12.5703125" style="4" customWidth="1"/>
    <col min="15146" max="15146" width="20.28515625" style="4" customWidth="1"/>
    <col min="15147" max="15147" width="19.5703125" style="4" customWidth="1"/>
    <col min="15148" max="15360" width="11.42578125" style="4"/>
    <col min="15361" max="15361" width="10.5703125" style="4" bestFit="1" customWidth="1"/>
    <col min="15362" max="15362" width="16.5703125" style="4" bestFit="1" customWidth="1"/>
    <col min="15363" max="15363" width="16.5703125" style="4" customWidth="1"/>
    <col min="15364" max="15365" width="14.7109375" style="4" customWidth="1"/>
    <col min="15366" max="15366" width="15.28515625" style="4" bestFit="1" customWidth="1"/>
    <col min="15367" max="15368" width="14.42578125" style="4" customWidth="1"/>
    <col min="15369" max="15369" width="21.5703125" style="4" customWidth="1"/>
    <col min="15370" max="15370" width="11.5703125" style="4" customWidth="1"/>
    <col min="15371" max="15371" width="18.140625" style="4" customWidth="1"/>
    <col min="15372" max="15372" width="15" style="4" customWidth="1"/>
    <col min="15373" max="15373" width="18.140625" style="4" customWidth="1"/>
    <col min="15374" max="15374" width="20.28515625" style="4" customWidth="1"/>
    <col min="15375" max="15375" width="8.28515625" style="4" customWidth="1"/>
    <col min="15376" max="15376" width="15.28515625" style="4" customWidth="1"/>
    <col min="15377" max="15377" width="12.7109375" style="4" customWidth="1"/>
    <col min="15378" max="15378" width="16.42578125" style="4" customWidth="1"/>
    <col min="15379" max="15379" width="15.7109375" style="4" customWidth="1"/>
    <col min="15380" max="15380" width="18.7109375" style="4" customWidth="1"/>
    <col min="15381" max="15381" width="21.42578125" style="4" customWidth="1"/>
    <col min="15382" max="15382" width="22" style="4" customWidth="1"/>
    <col min="15383" max="15383" width="12.42578125" style="4" customWidth="1"/>
    <col min="15384" max="15384" width="14" style="4" customWidth="1"/>
    <col min="15385" max="15387" width="10.5703125" style="4" bestFit="1" customWidth="1"/>
    <col min="15388" max="15388" width="9.28515625" style="4" bestFit="1" customWidth="1"/>
    <col min="15389" max="15389" width="12.85546875" style="4" bestFit="1" customWidth="1"/>
    <col min="15390" max="15390" width="9.28515625" style="4" bestFit="1" customWidth="1"/>
    <col min="15391" max="15391" width="8.28515625" style="4" customWidth="1"/>
    <col min="15392" max="15392" width="9.28515625" style="4" bestFit="1" customWidth="1"/>
    <col min="15393" max="15396" width="8.28515625" style="4" customWidth="1"/>
    <col min="15397" max="15399" width="9.28515625" style="4" bestFit="1" customWidth="1"/>
    <col min="15400" max="15400" width="10.5703125" style="4" bestFit="1" customWidth="1"/>
    <col min="15401" max="15401" width="12.5703125" style="4" customWidth="1"/>
    <col min="15402" max="15402" width="20.28515625" style="4" customWidth="1"/>
    <col min="15403" max="15403" width="19.5703125" style="4" customWidth="1"/>
    <col min="15404" max="15616" width="11.42578125" style="4"/>
    <col min="15617" max="15617" width="10.5703125" style="4" bestFit="1" customWidth="1"/>
    <col min="15618" max="15618" width="16.5703125" style="4" bestFit="1" customWidth="1"/>
    <col min="15619" max="15619" width="16.5703125" style="4" customWidth="1"/>
    <col min="15620" max="15621" width="14.7109375" style="4" customWidth="1"/>
    <col min="15622" max="15622" width="15.28515625" style="4" bestFit="1" customWidth="1"/>
    <col min="15623" max="15624" width="14.42578125" style="4" customWidth="1"/>
    <col min="15625" max="15625" width="21.5703125" style="4" customWidth="1"/>
    <col min="15626" max="15626" width="11.5703125" style="4" customWidth="1"/>
    <col min="15627" max="15627" width="18.140625" style="4" customWidth="1"/>
    <col min="15628" max="15628" width="15" style="4" customWidth="1"/>
    <col min="15629" max="15629" width="18.140625" style="4" customWidth="1"/>
    <col min="15630" max="15630" width="20.28515625" style="4" customWidth="1"/>
    <col min="15631" max="15631" width="8.28515625" style="4" customWidth="1"/>
    <col min="15632" max="15632" width="15.28515625" style="4" customWidth="1"/>
    <col min="15633" max="15633" width="12.7109375" style="4" customWidth="1"/>
    <col min="15634" max="15634" width="16.42578125" style="4" customWidth="1"/>
    <col min="15635" max="15635" width="15.7109375" style="4" customWidth="1"/>
    <col min="15636" max="15636" width="18.7109375" style="4" customWidth="1"/>
    <col min="15637" max="15637" width="21.42578125" style="4" customWidth="1"/>
    <col min="15638" max="15638" width="22" style="4" customWidth="1"/>
    <col min="15639" max="15639" width="12.42578125" style="4" customWidth="1"/>
    <col min="15640" max="15640" width="14" style="4" customWidth="1"/>
    <col min="15641" max="15643" width="10.5703125" style="4" bestFit="1" customWidth="1"/>
    <col min="15644" max="15644" width="9.28515625" style="4" bestFit="1" customWidth="1"/>
    <col min="15645" max="15645" width="12.85546875" style="4" bestFit="1" customWidth="1"/>
    <col min="15646" max="15646" width="9.28515625" style="4" bestFit="1" customWidth="1"/>
    <col min="15647" max="15647" width="8.28515625" style="4" customWidth="1"/>
    <col min="15648" max="15648" width="9.28515625" style="4" bestFit="1" customWidth="1"/>
    <col min="15649" max="15652" width="8.28515625" style="4" customWidth="1"/>
    <col min="15653" max="15655" width="9.28515625" style="4" bestFit="1" customWidth="1"/>
    <col min="15656" max="15656" width="10.5703125" style="4" bestFit="1" customWidth="1"/>
    <col min="15657" max="15657" width="12.5703125" style="4" customWidth="1"/>
    <col min="15658" max="15658" width="20.28515625" style="4" customWidth="1"/>
    <col min="15659" max="15659" width="19.5703125" style="4" customWidth="1"/>
    <col min="15660" max="15872" width="11.42578125" style="4"/>
    <col min="15873" max="15873" width="10.5703125" style="4" bestFit="1" customWidth="1"/>
    <col min="15874" max="15874" width="16.5703125" style="4" bestFit="1" customWidth="1"/>
    <col min="15875" max="15875" width="16.5703125" style="4" customWidth="1"/>
    <col min="15876" max="15877" width="14.7109375" style="4" customWidth="1"/>
    <col min="15878" max="15878" width="15.28515625" style="4" bestFit="1" customWidth="1"/>
    <col min="15879" max="15880" width="14.42578125" style="4" customWidth="1"/>
    <col min="15881" max="15881" width="21.5703125" style="4" customWidth="1"/>
    <col min="15882" max="15882" width="11.5703125" style="4" customWidth="1"/>
    <col min="15883" max="15883" width="18.140625" style="4" customWidth="1"/>
    <col min="15884" max="15884" width="15" style="4" customWidth="1"/>
    <col min="15885" max="15885" width="18.140625" style="4" customWidth="1"/>
    <col min="15886" max="15886" width="20.28515625" style="4" customWidth="1"/>
    <col min="15887" max="15887" width="8.28515625" style="4" customWidth="1"/>
    <col min="15888" max="15888" width="15.28515625" style="4" customWidth="1"/>
    <col min="15889" max="15889" width="12.7109375" style="4" customWidth="1"/>
    <col min="15890" max="15890" width="16.42578125" style="4" customWidth="1"/>
    <col min="15891" max="15891" width="15.7109375" style="4" customWidth="1"/>
    <col min="15892" max="15892" width="18.7109375" style="4" customWidth="1"/>
    <col min="15893" max="15893" width="21.42578125" style="4" customWidth="1"/>
    <col min="15894" max="15894" width="22" style="4" customWidth="1"/>
    <col min="15895" max="15895" width="12.42578125" style="4" customWidth="1"/>
    <col min="15896" max="15896" width="14" style="4" customWidth="1"/>
    <col min="15897" max="15899" width="10.5703125" style="4" bestFit="1" customWidth="1"/>
    <col min="15900" max="15900" width="9.28515625" style="4" bestFit="1" customWidth="1"/>
    <col min="15901" max="15901" width="12.85546875" style="4" bestFit="1" customWidth="1"/>
    <col min="15902" max="15902" width="9.28515625" style="4" bestFit="1" customWidth="1"/>
    <col min="15903" max="15903" width="8.28515625" style="4" customWidth="1"/>
    <col min="15904" max="15904" width="9.28515625" style="4" bestFit="1" customWidth="1"/>
    <col min="15905" max="15908" width="8.28515625" style="4" customWidth="1"/>
    <col min="15909" max="15911" width="9.28515625" style="4" bestFit="1" customWidth="1"/>
    <col min="15912" max="15912" width="10.5703125" style="4" bestFit="1" customWidth="1"/>
    <col min="15913" max="15913" width="12.5703125" style="4" customWidth="1"/>
    <col min="15914" max="15914" width="20.28515625" style="4" customWidth="1"/>
    <col min="15915" max="15915" width="19.5703125" style="4" customWidth="1"/>
    <col min="15916" max="16128" width="11.42578125" style="4"/>
    <col min="16129" max="16129" width="10.5703125" style="4" bestFit="1" customWidth="1"/>
    <col min="16130" max="16130" width="16.5703125" style="4" bestFit="1" customWidth="1"/>
    <col min="16131" max="16131" width="16.5703125" style="4" customWidth="1"/>
    <col min="16132" max="16133" width="14.7109375" style="4" customWidth="1"/>
    <col min="16134" max="16134" width="15.28515625" style="4" bestFit="1" customWidth="1"/>
    <col min="16135" max="16136" width="14.42578125" style="4" customWidth="1"/>
    <col min="16137" max="16137" width="21.5703125" style="4" customWidth="1"/>
    <col min="16138" max="16138" width="11.5703125" style="4" customWidth="1"/>
    <col min="16139" max="16139" width="18.140625" style="4" customWidth="1"/>
    <col min="16140" max="16140" width="15" style="4" customWidth="1"/>
    <col min="16141" max="16141" width="18.140625" style="4" customWidth="1"/>
    <col min="16142" max="16142" width="20.28515625" style="4" customWidth="1"/>
    <col min="16143" max="16143" width="8.28515625" style="4" customWidth="1"/>
    <col min="16144" max="16144" width="15.28515625" style="4" customWidth="1"/>
    <col min="16145" max="16145" width="12.7109375" style="4" customWidth="1"/>
    <col min="16146" max="16146" width="16.42578125" style="4" customWidth="1"/>
    <col min="16147" max="16147" width="15.7109375" style="4" customWidth="1"/>
    <col min="16148" max="16148" width="18.7109375" style="4" customWidth="1"/>
    <col min="16149" max="16149" width="21.42578125" style="4" customWidth="1"/>
    <col min="16150" max="16150" width="22" style="4" customWidth="1"/>
    <col min="16151" max="16151" width="12.42578125" style="4" customWidth="1"/>
    <col min="16152" max="16152" width="14" style="4" customWidth="1"/>
    <col min="16153" max="16155" width="10.5703125" style="4" bestFit="1" customWidth="1"/>
    <col min="16156" max="16156" width="9.28515625" style="4" bestFit="1" customWidth="1"/>
    <col min="16157" max="16157" width="12.85546875" style="4" bestFit="1" customWidth="1"/>
    <col min="16158" max="16158" width="9.28515625" style="4" bestFit="1" customWidth="1"/>
    <col min="16159" max="16159" width="8.28515625" style="4" customWidth="1"/>
    <col min="16160" max="16160" width="9.28515625" style="4" bestFit="1" customWidth="1"/>
    <col min="16161" max="16164" width="8.28515625" style="4" customWidth="1"/>
    <col min="16165" max="16167" width="9.28515625" style="4" bestFit="1" customWidth="1"/>
    <col min="16168" max="16168" width="10.5703125" style="4" bestFit="1" customWidth="1"/>
    <col min="16169" max="16169" width="12.5703125" style="4" customWidth="1"/>
    <col min="16170" max="16170" width="20.28515625" style="4" customWidth="1"/>
    <col min="16171" max="16171" width="19.5703125" style="4" customWidth="1"/>
    <col min="16172" max="16384" width="11.42578125" style="4"/>
  </cols>
  <sheetData>
    <row r="1" spans="1:63" ht="21.75" customHeight="1" x14ac:dyDescent="0.2">
      <c r="A1" s="2952" t="s">
        <v>627</v>
      </c>
      <c r="B1" s="2953"/>
      <c r="C1" s="2953"/>
      <c r="D1" s="2953"/>
      <c r="E1" s="2953"/>
      <c r="F1" s="2953"/>
      <c r="G1" s="2953"/>
      <c r="H1" s="2953"/>
      <c r="I1" s="2953"/>
      <c r="J1" s="2953"/>
      <c r="K1" s="2953"/>
      <c r="L1" s="2953"/>
      <c r="M1" s="2953"/>
      <c r="N1" s="2953"/>
      <c r="O1" s="2953"/>
      <c r="P1" s="2953"/>
      <c r="Q1" s="2953"/>
      <c r="R1" s="2953"/>
      <c r="S1" s="2953"/>
      <c r="T1" s="2953"/>
      <c r="U1" s="2953"/>
      <c r="V1" s="2953"/>
      <c r="W1" s="2953"/>
      <c r="X1" s="2953"/>
      <c r="Y1" s="2953"/>
      <c r="Z1" s="2953"/>
      <c r="AA1" s="2953"/>
      <c r="AB1" s="2953"/>
      <c r="AC1" s="2953"/>
      <c r="AD1" s="2953"/>
      <c r="AE1" s="2953"/>
      <c r="AF1" s="2953"/>
      <c r="AG1" s="2953"/>
      <c r="AH1" s="2953"/>
      <c r="AI1" s="2953"/>
      <c r="AJ1" s="2953"/>
      <c r="AK1" s="2953"/>
      <c r="AL1" s="2953"/>
      <c r="AM1" s="2953"/>
      <c r="AN1" s="2953"/>
      <c r="AO1" s="2954"/>
      <c r="AP1" s="1" t="s">
        <v>0</v>
      </c>
      <c r="AQ1" s="2" t="s">
        <v>1</v>
      </c>
      <c r="AR1" s="3"/>
      <c r="AS1" s="3"/>
      <c r="AT1" s="3"/>
      <c r="AU1" s="3"/>
      <c r="AV1" s="3"/>
      <c r="AW1" s="3"/>
      <c r="AX1" s="3"/>
      <c r="AY1" s="3"/>
      <c r="AZ1" s="3"/>
      <c r="BA1" s="3"/>
      <c r="BB1" s="3"/>
      <c r="BC1" s="3"/>
      <c r="BD1" s="3"/>
      <c r="BE1" s="3"/>
      <c r="BF1" s="3"/>
      <c r="BG1" s="3"/>
      <c r="BH1" s="3"/>
      <c r="BI1" s="3"/>
      <c r="BJ1" s="3"/>
      <c r="BK1" s="3"/>
    </row>
    <row r="2" spans="1:63" ht="25.5" customHeight="1" x14ac:dyDescent="0.2">
      <c r="A2" s="2955"/>
      <c r="B2" s="2956"/>
      <c r="C2" s="2956"/>
      <c r="D2" s="2956"/>
      <c r="E2" s="2956"/>
      <c r="F2" s="2956"/>
      <c r="G2" s="2956"/>
      <c r="H2" s="2956"/>
      <c r="I2" s="2956"/>
      <c r="J2" s="2956"/>
      <c r="K2" s="2956"/>
      <c r="L2" s="2956"/>
      <c r="M2" s="2956"/>
      <c r="N2" s="2956"/>
      <c r="O2" s="2956"/>
      <c r="P2" s="2956"/>
      <c r="Q2" s="2956"/>
      <c r="R2" s="2956"/>
      <c r="S2" s="2956"/>
      <c r="T2" s="2956"/>
      <c r="U2" s="2956"/>
      <c r="V2" s="2956"/>
      <c r="W2" s="2956"/>
      <c r="X2" s="2956"/>
      <c r="Y2" s="2956"/>
      <c r="Z2" s="2956"/>
      <c r="AA2" s="2956"/>
      <c r="AB2" s="2956"/>
      <c r="AC2" s="2956"/>
      <c r="AD2" s="2956"/>
      <c r="AE2" s="2956"/>
      <c r="AF2" s="2956"/>
      <c r="AG2" s="2956"/>
      <c r="AH2" s="2956"/>
      <c r="AI2" s="2956"/>
      <c r="AJ2" s="2956"/>
      <c r="AK2" s="2956"/>
      <c r="AL2" s="2956"/>
      <c r="AM2" s="2956"/>
      <c r="AN2" s="2956"/>
      <c r="AO2" s="2957"/>
      <c r="AP2" s="5" t="s">
        <v>2</v>
      </c>
      <c r="AQ2" s="6" t="s">
        <v>3</v>
      </c>
      <c r="AR2" s="3"/>
      <c r="AS2" s="3"/>
      <c r="AT2" s="3"/>
      <c r="AU2" s="3"/>
      <c r="AV2" s="3"/>
      <c r="AW2" s="3"/>
      <c r="AX2" s="3"/>
      <c r="AY2" s="3"/>
      <c r="AZ2" s="3"/>
      <c r="BA2" s="3"/>
      <c r="BB2" s="3"/>
      <c r="BC2" s="3"/>
      <c r="BD2" s="3"/>
      <c r="BE2" s="3"/>
      <c r="BF2" s="3"/>
      <c r="BG2" s="3"/>
      <c r="BH2" s="3"/>
      <c r="BI2" s="3"/>
      <c r="BJ2" s="3"/>
      <c r="BK2" s="3"/>
    </row>
    <row r="3" spans="1:63" ht="21" customHeight="1" x14ac:dyDescent="0.2">
      <c r="A3" s="2955"/>
      <c r="B3" s="2956"/>
      <c r="C3" s="2956"/>
      <c r="D3" s="2956"/>
      <c r="E3" s="2956"/>
      <c r="F3" s="2956"/>
      <c r="G3" s="2956"/>
      <c r="H3" s="2956"/>
      <c r="I3" s="2956"/>
      <c r="J3" s="2956"/>
      <c r="K3" s="2956"/>
      <c r="L3" s="2956"/>
      <c r="M3" s="2956"/>
      <c r="N3" s="2956"/>
      <c r="O3" s="2956"/>
      <c r="P3" s="2956"/>
      <c r="Q3" s="2956"/>
      <c r="R3" s="2956"/>
      <c r="S3" s="2956"/>
      <c r="T3" s="2956"/>
      <c r="U3" s="2956"/>
      <c r="V3" s="2956"/>
      <c r="W3" s="2956"/>
      <c r="X3" s="2956"/>
      <c r="Y3" s="2956"/>
      <c r="Z3" s="2956"/>
      <c r="AA3" s="2956"/>
      <c r="AB3" s="2956"/>
      <c r="AC3" s="2956"/>
      <c r="AD3" s="2956"/>
      <c r="AE3" s="2956"/>
      <c r="AF3" s="2956"/>
      <c r="AG3" s="2956"/>
      <c r="AH3" s="2956"/>
      <c r="AI3" s="2956"/>
      <c r="AJ3" s="2956"/>
      <c r="AK3" s="2956"/>
      <c r="AL3" s="2956"/>
      <c r="AM3" s="2956"/>
      <c r="AN3" s="2956"/>
      <c r="AO3" s="2957"/>
      <c r="AP3" s="7" t="s">
        <v>4</v>
      </c>
      <c r="AQ3" s="8" t="s">
        <v>5</v>
      </c>
      <c r="AR3" s="3"/>
      <c r="AS3" s="3"/>
      <c r="AT3" s="3"/>
      <c r="AU3" s="3"/>
      <c r="AV3" s="3"/>
      <c r="AW3" s="3"/>
      <c r="AX3" s="3"/>
      <c r="AY3" s="3"/>
      <c r="AZ3" s="3"/>
      <c r="BA3" s="3"/>
      <c r="BB3" s="3"/>
      <c r="BC3" s="3"/>
      <c r="BD3" s="3"/>
      <c r="BE3" s="3"/>
      <c r="BF3" s="3"/>
      <c r="BG3" s="3"/>
      <c r="BH3" s="3"/>
      <c r="BI3" s="3"/>
      <c r="BJ3" s="3"/>
      <c r="BK3" s="3"/>
    </row>
    <row r="4" spans="1:63" ht="22.5" customHeight="1" x14ac:dyDescent="0.2">
      <c r="A4" s="2958"/>
      <c r="B4" s="2959"/>
      <c r="C4" s="2959"/>
      <c r="D4" s="2959"/>
      <c r="E4" s="2959"/>
      <c r="F4" s="2959"/>
      <c r="G4" s="2959"/>
      <c r="H4" s="2959"/>
      <c r="I4" s="2959"/>
      <c r="J4" s="2959"/>
      <c r="K4" s="2959"/>
      <c r="L4" s="2959"/>
      <c r="M4" s="2959"/>
      <c r="N4" s="2959"/>
      <c r="O4" s="2959"/>
      <c r="P4" s="2959"/>
      <c r="Q4" s="2959"/>
      <c r="R4" s="2959"/>
      <c r="S4" s="2959"/>
      <c r="T4" s="2959"/>
      <c r="U4" s="2959"/>
      <c r="V4" s="2959"/>
      <c r="W4" s="2959"/>
      <c r="X4" s="2959"/>
      <c r="Y4" s="2959"/>
      <c r="Z4" s="2959"/>
      <c r="AA4" s="2959"/>
      <c r="AB4" s="2959"/>
      <c r="AC4" s="2959"/>
      <c r="AD4" s="2959"/>
      <c r="AE4" s="2959"/>
      <c r="AF4" s="2959"/>
      <c r="AG4" s="2959"/>
      <c r="AH4" s="2959"/>
      <c r="AI4" s="2959"/>
      <c r="AJ4" s="2959"/>
      <c r="AK4" s="2959"/>
      <c r="AL4" s="2959"/>
      <c r="AM4" s="2959"/>
      <c r="AN4" s="2959"/>
      <c r="AO4" s="2960"/>
      <c r="AP4" s="7" t="s">
        <v>6</v>
      </c>
      <c r="AQ4" s="9" t="s">
        <v>7</v>
      </c>
      <c r="AR4" s="3"/>
      <c r="AS4" s="3"/>
      <c r="AT4" s="3"/>
      <c r="AU4" s="3"/>
      <c r="AV4" s="3"/>
      <c r="AW4" s="3"/>
      <c r="AX4" s="3"/>
      <c r="AY4" s="3"/>
      <c r="AZ4" s="3"/>
      <c r="BA4" s="3"/>
      <c r="BB4" s="3"/>
      <c r="BC4" s="3"/>
      <c r="BD4" s="3"/>
      <c r="BE4" s="3"/>
      <c r="BF4" s="3"/>
      <c r="BG4" s="3"/>
      <c r="BH4" s="3"/>
      <c r="BI4" s="3"/>
      <c r="BJ4" s="3"/>
      <c r="BK4" s="3"/>
    </row>
    <row r="5" spans="1:63" ht="27" customHeight="1" x14ac:dyDescent="0.2">
      <c r="A5" s="2961" t="s">
        <v>8</v>
      </c>
      <c r="B5" s="2962"/>
      <c r="C5" s="2962"/>
      <c r="D5" s="2962"/>
      <c r="E5" s="2962"/>
      <c r="F5" s="2962"/>
      <c r="G5" s="2962"/>
      <c r="H5" s="2962"/>
      <c r="I5" s="2962"/>
      <c r="J5" s="2962"/>
      <c r="K5" s="2962"/>
      <c r="L5" s="2962"/>
      <c r="M5" s="2962"/>
      <c r="N5" s="2962" t="s">
        <v>9</v>
      </c>
      <c r="O5" s="2962"/>
      <c r="P5" s="2962"/>
      <c r="Q5" s="2962"/>
      <c r="R5" s="2962"/>
      <c r="S5" s="2962"/>
      <c r="T5" s="2962"/>
      <c r="U5" s="2962"/>
      <c r="V5" s="2962"/>
      <c r="W5" s="2962"/>
      <c r="X5" s="2962"/>
      <c r="Y5" s="2962"/>
      <c r="Z5" s="2962"/>
      <c r="AA5" s="2962"/>
      <c r="AB5" s="2962"/>
      <c r="AC5" s="2962"/>
      <c r="AD5" s="2962"/>
      <c r="AE5" s="2962"/>
      <c r="AF5" s="2962"/>
      <c r="AG5" s="2962"/>
      <c r="AH5" s="2962"/>
      <c r="AI5" s="2962"/>
      <c r="AJ5" s="2962"/>
      <c r="AK5" s="2962"/>
      <c r="AL5" s="2962"/>
      <c r="AM5" s="2962"/>
      <c r="AN5" s="2962"/>
      <c r="AO5" s="2962"/>
      <c r="AP5" s="2962"/>
      <c r="AQ5" s="2963"/>
      <c r="AR5" s="3"/>
      <c r="AS5" s="3"/>
      <c r="AT5" s="3"/>
      <c r="AU5" s="3"/>
      <c r="AV5" s="3"/>
      <c r="AW5" s="3"/>
      <c r="AX5" s="3"/>
      <c r="AY5" s="3"/>
      <c r="AZ5" s="3"/>
      <c r="BA5" s="3"/>
      <c r="BB5" s="3"/>
      <c r="BC5" s="3"/>
      <c r="BD5" s="3"/>
      <c r="BE5" s="3"/>
    </row>
    <row r="6" spans="1:63" ht="27" customHeight="1" x14ac:dyDescent="0.2">
      <c r="A6" s="2961"/>
      <c r="B6" s="2962"/>
      <c r="C6" s="2962"/>
      <c r="D6" s="2962"/>
      <c r="E6" s="2962"/>
      <c r="F6" s="2962"/>
      <c r="G6" s="2962"/>
      <c r="H6" s="2962"/>
      <c r="I6" s="2962"/>
      <c r="J6" s="2962"/>
      <c r="K6" s="2962"/>
      <c r="L6" s="2962"/>
      <c r="M6" s="2962"/>
      <c r="N6" s="2964"/>
      <c r="O6" s="2965"/>
      <c r="P6" s="2965"/>
      <c r="Q6" s="2965"/>
      <c r="R6" s="2965"/>
      <c r="S6" s="2965"/>
      <c r="T6" s="2965"/>
      <c r="U6" s="2965"/>
      <c r="V6" s="2965"/>
      <c r="W6" s="2965"/>
      <c r="X6" s="2966"/>
      <c r="Y6" s="2964" t="s">
        <v>10</v>
      </c>
      <c r="Z6" s="2965"/>
      <c r="AA6" s="2965"/>
      <c r="AB6" s="2965"/>
      <c r="AC6" s="2965"/>
      <c r="AD6" s="2965"/>
      <c r="AE6" s="2965"/>
      <c r="AF6" s="2965"/>
      <c r="AG6" s="2965"/>
      <c r="AH6" s="2965"/>
      <c r="AI6" s="2965"/>
      <c r="AJ6" s="2965"/>
      <c r="AK6" s="2965"/>
      <c r="AL6" s="2965"/>
      <c r="AM6" s="2965"/>
      <c r="AN6" s="2966"/>
      <c r="AO6" s="10"/>
      <c r="AP6" s="11"/>
      <c r="AQ6" s="12"/>
      <c r="AR6" s="3"/>
      <c r="AS6" s="3"/>
      <c r="AT6" s="3"/>
      <c r="AU6" s="3"/>
      <c r="AV6" s="3"/>
      <c r="AW6" s="3"/>
      <c r="AX6" s="3"/>
      <c r="AY6" s="3"/>
      <c r="AZ6" s="3"/>
      <c r="BA6" s="3"/>
      <c r="BB6" s="3"/>
      <c r="BC6" s="3"/>
      <c r="BD6" s="3"/>
      <c r="BE6" s="3"/>
    </row>
    <row r="7" spans="1:63" s="14" customFormat="1" ht="29.25" customHeight="1" x14ac:dyDescent="0.2">
      <c r="A7" s="2951" t="s">
        <v>11</v>
      </c>
      <c r="B7" s="2945" t="s">
        <v>12</v>
      </c>
      <c r="C7" s="2945"/>
      <c r="D7" s="2945" t="s">
        <v>11</v>
      </c>
      <c r="E7" s="2945" t="s">
        <v>13</v>
      </c>
      <c r="F7" s="2945"/>
      <c r="G7" s="2945" t="s">
        <v>11</v>
      </c>
      <c r="H7" s="2945" t="s">
        <v>14</v>
      </c>
      <c r="I7" s="2945"/>
      <c r="J7" s="2967" t="s">
        <v>11</v>
      </c>
      <c r="K7" s="2945" t="s">
        <v>15</v>
      </c>
      <c r="L7" s="2945" t="s">
        <v>16</v>
      </c>
      <c r="M7" s="2945" t="s">
        <v>17</v>
      </c>
      <c r="N7" s="2945" t="s">
        <v>18</v>
      </c>
      <c r="O7" s="2945" t="s">
        <v>19</v>
      </c>
      <c r="P7" s="2945" t="s">
        <v>9</v>
      </c>
      <c r="Q7" s="2972" t="s">
        <v>20</v>
      </c>
      <c r="R7" s="2974" t="s">
        <v>21</v>
      </c>
      <c r="S7" s="2945" t="s">
        <v>22</v>
      </c>
      <c r="T7" s="2945" t="s">
        <v>23</v>
      </c>
      <c r="U7" s="2945" t="s">
        <v>24</v>
      </c>
      <c r="V7" s="2947" t="s">
        <v>21</v>
      </c>
      <c r="W7" s="2969" t="s">
        <v>11</v>
      </c>
      <c r="X7" s="2945" t="s">
        <v>25</v>
      </c>
      <c r="Y7" s="2971" t="s">
        <v>26</v>
      </c>
      <c r="Z7" s="2971"/>
      <c r="AA7" s="2950" t="s">
        <v>27</v>
      </c>
      <c r="AB7" s="2950"/>
      <c r="AC7" s="2950"/>
      <c r="AD7" s="2950"/>
      <c r="AE7" s="2949" t="s">
        <v>28</v>
      </c>
      <c r="AF7" s="2949"/>
      <c r="AG7" s="2949"/>
      <c r="AH7" s="2949"/>
      <c r="AI7" s="2949"/>
      <c r="AJ7" s="2949"/>
      <c r="AK7" s="2950" t="s">
        <v>29</v>
      </c>
      <c r="AL7" s="2950"/>
      <c r="AM7" s="2950"/>
      <c r="AN7" s="2941" t="s">
        <v>30</v>
      </c>
      <c r="AO7" s="2937" t="s">
        <v>31</v>
      </c>
      <c r="AP7" s="2937" t="s">
        <v>32</v>
      </c>
      <c r="AQ7" s="2939" t="s">
        <v>33</v>
      </c>
      <c r="AR7" s="13"/>
      <c r="AS7" s="13"/>
      <c r="AT7" s="13"/>
      <c r="AU7" s="13"/>
      <c r="AV7" s="13"/>
      <c r="AW7" s="13"/>
      <c r="AX7" s="13"/>
      <c r="AY7" s="13"/>
      <c r="AZ7" s="13"/>
      <c r="BA7" s="13"/>
      <c r="BB7" s="13"/>
      <c r="BC7" s="13"/>
      <c r="BD7" s="13"/>
      <c r="BE7" s="13"/>
    </row>
    <row r="8" spans="1:63" s="14" customFormat="1" ht="92.25" customHeight="1" x14ac:dyDescent="0.2">
      <c r="A8" s="2165"/>
      <c r="B8" s="2946"/>
      <c r="C8" s="2946"/>
      <c r="D8" s="2946"/>
      <c r="E8" s="2946"/>
      <c r="F8" s="2946"/>
      <c r="G8" s="2946"/>
      <c r="H8" s="2946"/>
      <c r="I8" s="2946"/>
      <c r="J8" s="2968"/>
      <c r="K8" s="2946"/>
      <c r="L8" s="2946"/>
      <c r="M8" s="2946"/>
      <c r="N8" s="2946"/>
      <c r="O8" s="2946"/>
      <c r="P8" s="2946"/>
      <c r="Q8" s="2973"/>
      <c r="R8" s="2975"/>
      <c r="S8" s="2946"/>
      <c r="T8" s="2946"/>
      <c r="U8" s="2946"/>
      <c r="V8" s="2948"/>
      <c r="W8" s="2970"/>
      <c r="X8" s="2946"/>
      <c r="Y8" s="15" t="s">
        <v>34</v>
      </c>
      <c r="Z8" s="16" t="s">
        <v>35</v>
      </c>
      <c r="AA8" s="15" t="s">
        <v>36</v>
      </c>
      <c r="AB8" s="15" t="s">
        <v>37</v>
      </c>
      <c r="AC8" s="15" t="s">
        <v>38</v>
      </c>
      <c r="AD8" s="15" t="s">
        <v>39</v>
      </c>
      <c r="AE8" s="15" t="s">
        <v>40</v>
      </c>
      <c r="AF8" s="15" t="s">
        <v>41</v>
      </c>
      <c r="AG8" s="15" t="s">
        <v>42</v>
      </c>
      <c r="AH8" s="15" t="s">
        <v>43</v>
      </c>
      <c r="AI8" s="15" t="s">
        <v>44</v>
      </c>
      <c r="AJ8" s="15" t="s">
        <v>45</v>
      </c>
      <c r="AK8" s="15" t="s">
        <v>46</v>
      </c>
      <c r="AL8" s="15" t="s">
        <v>47</v>
      </c>
      <c r="AM8" s="15" t="s">
        <v>48</v>
      </c>
      <c r="AN8" s="2942"/>
      <c r="AO8" s="2938"/>
      <c r="AP8" s="2938"/>
      <c r="AQ8" s="2940"/>
      <c r="AR8" s="13"/>
      <c r="AS8" s="13"/>
      <c r="AT8" s="13"/>
      <c r="AU8" s="13"/>
      <c r="AV8" s="13"/>
      <c r="AW8" s="13"/>
      <c r="AX8" s="13"/>
      <c r="AY8" s="13"/>
      <c r="AZ8" s="13"/>
      <c r="BA8" s="13"/>
      <c r="BB8" s="13"/>
      <c r="BC8" s="13"/>
      <c r="BD8" s="13"/>
      <c r="BE8" s="13"/>
    </row>
    <row r="9" spans="1:63" s="26" customFormat="1" ht="15" x14ac:dyDescent="0.2">
      <c r="A9" s="17">
        <v>5</v>
      </c>
      <c r="B9" s="18" t="s">
        <v>49</v>
      </c>
      <c r="C9" s="18"/>
      <c r="D9" s="18"/>
      <c r="E9" s="18"/>
      <c r="F9" s="18"/>
      <c r="G9" s="18"/>
      <c r="H9" s="18"/>
      <c r="I9" s="18"/>
      <c r="J9" s="18"/>
      <c r="K9" s="19"/>
      <c r="L9" s="19"/>
      <c r="M9" s="18"/>
      <c r="N9" s="18"/>
      <c r="O9" s="20"/>
      <c r="P9" s="19"/>
      <c r="Q9" s="21"/>
      <c r="R9" s="22"/>
      <c r="S9" s="19"/>
      <c r="T9" s="19"/>
      <c r="U9" s="19"/>
      <c r="V9" s="23"/>
      <c r="W9" s="24"/>
      <c r="X9" s="19"/>
      <c r="Y9" s="20"/>
      <c r="Z9" s="18"/>
      <c r="AA9" s="18"/>
      <c r="AB9" s="18"/>
      <c r="AC9" s="18"/>
      <c r="AD9" s="18"/>
      <c r="AE9" s="18"/>
      <c r="AF9" s="18"/>
      <c r="AG9" s="18"/>
      <c r="AH9" s="18"/>
      <c r="AI9" s="18"/>
      <c r="AJ9" s="18"/>
      <c r="AK9" s="18"/>
      <c r="AL9" s="18"/>
      <c r="AM9" s="18"/>
      <c r="AN9" s="18"/>
      <c r="AO9" s="18"/>
      <c r="AP9" s="18"/>
      <c r="AQ9" s="25"/>
      <c r="AR9" s="3"/>
      <c r="AS9" s="3"/>
      <c r="AT9" s="3"/>
      <c r="AU9" s="3"/>
      <c r="AV9" s="3"/>
      <c r="AW9" s="3"/>
      <c r="AX9" s="3"/>
      <c r="AY9" s="3"/>
      <c r="AZ9" s="3"/>
      <c r="BA9" s="3"/>
      <c r="BB9" s="3"/>
      <c r="BC9" s="3"/>
      <c r="BD9" s="3"/>
      <c r="BE9" s="3"/>
    </row>
    <row r="10" spans="1:63" s="3" customFormat="1" ht="15" x14ac:dyDescent="0.2">
      <c r="A10" s="27"/>
      <c r="B10" s="28"/>
      <c r="C10" s="28"/>
      <c r="D10" s="29">
        <v>26</v>
      </c>
      <c r="E10" s="29" t="s">
        <v>50</v>
      </c>
      <c r="F10" s="30"/>
      <c r="G10" s="30"/>
      <c r="H10" s="30"/>
      <c r="I10" s="30"/>
      <c r="J10" s="30"/>
      <c r="K10" s="31"/>
      <c r="L10" s="31"/>
      <c r="M10" s="30"/>
      <c r="N10" s="30"/>
      <c r="O10" s="32"/>
      <c r="P10" s="31"/>
      <c r="Q10" s="33"/>
      <c r="R10" s="34"/>
      <c r="S10" s="31"/>
      <c r="T10" s="31"/>
      <c r="U10" s="31"/>
      <c r="V10" s="35"/>
      <c r="W10" s="36"/>
      <c r="X10" s="31"/>
      <c r="Y10" s="30"/>
      <c r="Z10" s="30"/>
      <c r="AA10" s="30"/>
      <c r="AB10" s="30"/>
      <c r="AC10" s="30"/>
      <c r="AD10" s="30"/>
      <c r="AE10" s="30"/>
      <c r="AF10" s="30"/>
      <c r="AG10" s="30"/>
      <c r="AH10" s="30"/>
      <c r="AI10" s="30"/>
      <c r="AJ10" s="30"/>
      <c r="AK10" s="30"/>
      <c r="AL10" s="30"/>
      <c r="AM10" s="30"/>
      <c r="AN10" s="30"/>
      <c r="AO10" s="37"/>
      <c r="AP10" s="37"/>
      <c r="AQ10" s="38"/>
    </row>
    <row r="11" spans="1:63" s="3" customFormat="1" ht="15" x14ac:dyDescent="0.2">
      <c r="A11" s="39"/>
      <c r="B11" s="40"/>
      <c r="C11" s="41"/>
      <c r="D11" s="40"/>
      <c r="E11" s="40"/>
      <c r="F11" s="40"/>
      <c r="G11" s="42">
        <v>83</v>
      </c>
      <c r="H11" s="43" t="s">
        <v>51</v>
      </c>
      <c r="I11" s="43"/>
      <c r="J11" s="44"/>
      <c r="K11" s="45"/>
      <c r="L11" s="45"/>
      <c r="M11" s="44"/>
      <c r="N11" s="44"/>
      <c r="O11" s="46"/>
      <c r="P11" s="45"/>
      <c r="Q11" s="47"/>
      <c r="R11" s="48"/>
      <c r="S11" s="45"/>
      <c r="T11" s="45"/>
      <c r="U11" s="45"/>
      <c r="V11" s="49"/>
      <c r="W11" s="50"/>
      <c r="X11" s="45"/>
      <c r="Y11" s="44"/>
      <c r="Z11" s="44"/>
      <c r="AA11" s="44"/>
      <c r="AB11" s="44"/>
      <c r="AC11" s="44"/>
      <c r="AD11" s="44"/>
      <c r="AE11" s="44"/>
      <c r="AF11" s="44"/>
      <c r="AG11" s="44"/>
      <c r="AH11" s="44"/>
      <c r="AI11" s="44"/>
      <c r="AJ11" s="44"/>
      <c r="AK11" s="44"/>
      <c r="AL11" s="44"/>
      <c r="AM11" s="44"/>
      <c r="AN11" s="44"/>
      <c r="AO11" s="51"/>
      <c r="AP11" s="51"/>
      <c r="AQ11" s="52"/>
    </row>
    <row r="12" spans="1:63" s="61" customFormat="1" ht="63.6" customHeight="1" x14ac:dyDescent="0.2">
      <c r="A12" s="53"/>
      <c r="B12" s="54"/>
      <c r="C12" s="55"/>
      <c r="D12" s="54"/>
      <c r="E12" s="54"/>
      <c r="F12" s="55"/>
      <c r="G12" s="56"/>
      <c r="H12" s="54"/>
      <c r="I12" s="55"/>
      <c r="J12" s="2927">
        <v>244</v>
      </c>
      <c r="K12" s="2909" t="s">
        <v>52</v>
      </c>
      <c r="L12" s="2909" t="s">
        <v>53</v>
      </c>
      <c r="M12" s="2932">
        <v>12</v>
      </c>
      <c r="N12" s="2932" t="s">
        <v>54</v>
      </c>
      <c r="O12" s="2932" t="s">
        <v>55</v>
      </c>
      <c r="P12" s="2909" t="s">
        <v>56</v>
      </c>
      <c r="Q12" s="2933">
        <f>SUM(V12:V15)/R12</f>
        <v>1</v>
      </c>
      <c r="R12" s="2906">
        <f>SUM(V12:V15)</f>
        <v>627000000</v>
      </c>
      <c r="S12" s="2909" t="s">
        <v>57</v>
      </c>
      <c r="T12" s="2935" t="s">
        <v>58</v>
      </c>
      <c r="U12" s="57" t="s">
        <v>59</v>
      </c>
      <c r="V12" s="58">
        <v>113080000</v>
      </c>
      <c r="W12" s="59" t="s">
        <v>60</v>
      </c>
      <c r="X12" s="60" t="s">
        <v>61</v>
      </c>
      <c r="Y12" s="2931">
        <v>292684</v>
      </c>
      <c r="Z12" s="2930">
        <v>282326</v>
      </c>
      <c r="AA12" s="2930">
        <v>135912</v>
      </c>
      <c r="AB12" s="2930">
        <v>45122</v>
      </c>
      <c r="AC12" s="2930">
        <v>307101</v>
      </c>
      <c r="AD12" s="2930">
        <v>86875</v>
      </c>
      <c r="AE12" s="2930">
        <v>2145</v>
      </c>
      <c r="AF12" s="2930">
        <v>12718</v>
      </c>
      <c r="AG12" s="2930">
        <v>26</v>
      </c>
      <c r="AH12" s="2930">
        <v>37</v>
      </c>
      <c r="AI12" s="2899">
        <v>0</v>
      </c>
      <c r="AJ12" s="2899">
        <v>0</v>
      </c>
      <c r="AK12" s="2930">
        <v>53164</v>
      </c>
      <c r="AL12" s="2930">
        <v>16982</v>
      </c>
      <c r="AM12" s="2930">
        <v>6013</v>
      </c>
      <c r="AN12" s="2899">
        <f>SUM(AA12:AD12)</f>
        <v>575010</v>
      </c>
      <c r="AO12" s="2928">
        <v>43101</v>
      </c>
      <c r="AP12" s="2928">
        <v>43465</v>
      </c>
      <c r="AQ12" s="2893" t="s">
        <v>62</v>
      </c>
    </row>
    <row r="13" spans="1:63" s="61" customFormat="1" ht="72.75" customHeight="1" x14ac:dyDescent="0.2">
      <c r="A13" s="53"/>
      <c r="B13" s="54"/>
      <c r="C13" s="55"/>
      <c r="D13" s="54"/>
      <c r="E13" s="54"/>
      <c r="F13" s="55"/>
      <c r="G13" s="56"/>
      <c r="H13" s="54"/>
      <c r="I13" s="55"/>
      <c r="J13" s="2911"/>
      <c r="K13" s="2902"/>
      <c r="L13" s="2902"/>
      <c r="M13" s="2913"/>
      <c r="N13" s="2913"/>
      <c r="O13" s="2913"/>
      <c r="P13" s="2902"/>
      <c r="Q13" s="2934"/>
      <c r="R13" s="2907"/>
      <c r="S13" s="2902"/>
      <c r="T13" s="2936"/>
      <c r="U13" s="62" t="s">
        <v>63</v>
      </c>
      <c r="V13" s="63">
        <f>274230000+60000000</f>
        <v>334230000</v>
      </c>
      <c r="W13" s="59" t="s">
        <v>64</v>
      </c>
      <c r="X13" s="60" t="s">
        <v>65</v>
      </c>
      <c r="Y13" s="2896"/>
      <c r="Z13" s="2930"/>
      <c r="AA13" s="2930">
        <v>135912</v>
      </c>
      <c r="AB13" s="2930">
        <v>45122</v>
      </c>
      <c r="AC13" s="2930">
        <v>307101</v>
      </c>
      <c r="AD13" s="2930">
        <v>86875</v>
      </c>
      <c r="AE13" s="2930">
        <v>2145</v>
      </c>
      <c r="AF13" s="2930">
        <v>12718</v>
      </c>
      <c r="AG13" s="2930">
        <v>26</v>
      </c>
      <c r="AH13" s="2930">
        <v>37</v>
      </c>
      <c r="AI13" s="2899"/>
      <c r="AJ13" s="2899">
        <v>0</v>
      </c>
      <c r="AK13" s="2930">
        <v>53164</v>
      </c>
      <c r="AL13" s="2930">
        <v>16982</v>
      </c>
      <c r="AM13" s="2930">
        <v>6013</v>
      </c>
      <c r="AN13" s="2899"/>
      <c r="AO13" s="2929"/>
      <c r="AP13" s="2929"/>
      <c r="AQ13" s="2894"/>
    </row>
    <row r="14" spans="1:63" s="61" customFormat="1" ht="66" customHeight="1" x14ac:dyDescent="0.2">
      <c r="A14" s="53"/>
      <c r="B14" s="54"/>
      <c r="C14" s="55"/>
      <c r="D14" s="54"/>
      <c r="E14" s="54"/>
      <c r="F14" s="55"/>
      <c r="G14" s="56"/>
      <c r="H14" s="54"/>
      <c r="I14" s="55"/>
      <c r="J14" s="2911"/>
      <c r="K14" s="2902"/>
      <c r="L14" s="2902"/>
      <c r="M14" s="2913"/>
      <c r="N14" s="2913"/>
      <c r="O14" s="2913"/>
      <c r="P14" s="2902"/>
      <c r="Q14" s="2934"/>
      <c r="R14" s="2907"/>
      <c r="S14" s="2902"/>
      <c r="T14" s="2903" t="s">
        <v>66</v>
      </c>
      <c r="U14" s="64" t="s">
        <v>67</v>
      </c>
      <c r="V14" s="65">
        <v>119690000</v>
      </c>
      <c r="W14" s="59">
        <v>20</v>
      </c>
      <c r="X14" s="60" t="s">
        <v>61</v>
      </c>
      <c r="Y14" s="2896"/>
      <c r="Z14" s="2930"/>
      <c r="AA14" s="2930">
        <v>135912</v>
      </c>
      <c r="AB14" s="2930">
        <v>45122</v>
      </c>
      <c r="AC14" s="2930">
        <v>307101</v>
      </c>
      <c r="AD14" s="2930">
        <v>86875</v>
      </c>
      <c r="AE14" s="2930">
        <v>2145</v>
      </c>
      <c r="AF14" s="2930">
        <v>12718</v>
      </c>
      <c r="AG14" s="2930">
        <v>26</v>
      </c>
      <c r="AH14" s="2930">
        <v>37</v>
      </c>
      <c r="AI14" s="2899"/>
      <c r="AJ14" s="2899">
        <v>0</v>
      </c>
      <c r="AK14" s="2930">
        <v>53164</v>
      </c>
      <c r="AL14" s="2930">
        <v>16982</v>
      </c>
      <c r="AM14" s="2930">
        <v>6013</v>
      </c>
      <c r="AN14" s="2899"/>
      <c r="AO14" s="2929"/>
      <c r="AP14" s="2929"/>
      <c r="AQ14" s="2894"/>
    </row>
    <row r="15" spans="1:63" s="61" customFormat="1" ht="59.45" customHeight="1" x14ac:dyDescent="0.2">
      <c r="A15" s="53"/>
      <c r="B15" s="54"/>
      <c r="C15" s="55"/>
      <c r="D15" s="54"/>
      <c r="E15" s="54"/>
      <c r="F15" s="55"/>
      <c r="G15" s="56"/>
      <c r="H15" s="54"/>
      <c r="I15" s="55"/>
      <c r="J15" s="2911"/>
      <c r="K15" s="2902"/>
      <c r="L15" s="2902"/>
      <c r="M15" s="2913"/>
      <c r="N15" s="2913"/>
      <c r="O15" s="2913"/>
      <c r="P15" s="2902"/>
      <c r="Q15" s="2934"/>
      <c r="R15" s="2907"/>
      <c r="S15" s="2902"/>
      <c r="T15" s="2909"/>
      <c r="U15" s="64" t="s">
        <v>68</v>
      </c>
      <c r="V15" s="65">
        <v>60000000</v>
      </c>
      <c r="W15" s="59">
        <v>20</v>
      </c>
      <c r="X15" s="60" t="s">
        <v>61</v>
      </c>
      <c r="Y15" s="2896"/>
      <c r="Z15" s="2931"/>
      <c r="AA15" s="2931">
        <v>135912</v>
      </c>
      <c r="AB15" s="2931">
        <v>45122</v>
      </c>
      <c r="AC15" s="2931">
        <v>307101</v>
      </c>
      <c r="AD15" s="2931">
        <v>86875</v>
      </c>
      <c r="AE15" s="2931">
        <v>2145</v>
      </c>
      <c r="AF15" s="2931">
        <v>12718</v>
      </c>
      <c r="AG15" s="2931">
        <v>26</v>
      </c>
      <c r="AH15" s="2931">
        <v>37</v>
      </c>
      <c r="AI15" s="2944"/>
      <c r="AJ15" s="2944">
        <v>0</v>
      </c>
      <c r="AK15" s="2931">
        <v>53164</v>
      </c>
      <c r="AL15" s="2931">
        <v>16982</v>
      </c>
      <c r="AM15" s="2931">
        <v>6013</v>
      </c>
      <c r="AN15" s="2944"/>
      <c r="AO15" s="2929"/>
      <c r="AP15" s="2929"/>
      <c r="AQ15" s="2894"/>
    </row>
    <row r="16" spans="1:63" ht="169.5" customHeight="1" x14ac:dyDescent="0.2">
      <c r="A16" s="2920"/>
      <c r="B16" s="2921"/>
      <c r="C16" s="2922"/>
      <c r="D16" s="2923"/>
      <c r="E16" s="2923"/>
      <c r="F16" s="2924"/>
      <c r="G16" s="2925"/>
      <c r="H16" s="2926"/>
      <c r="I16" s="2927"/>
      <c r="J16" s="66">
        <v>245</v>
      </c>
      <c r="K16" s="67" t="s">
        <v>69</v>
      </c>
      <c r="L16" s="67" t="s">
        <v>70</v>
      </c>
      <c r="M16" s="68">
        <v>1</v>
      </c>
      <c r="N16" s="69" t="s">
        <v>71</v>
      </c>
      <c r="O16" s="68" t="s">
        <v>72</v>
      </c>
      <c r="P16" s="67" t="s">
        <v>73</v>
      </c>
      <c r="Q16" s="70">
        <f>SUM(V16)/R16</f>
        <v>1</v>
      </c>
      <c r="R16" s="71">
        <f>SUM(V16:V16)</f>
        <v>60000000</v>
      </c>
      <c r="S16" s="67" t="s">
        <v>74</v>
      </c>
      <c r="T16" s="67" t="s">
        <v>75</v>
      </c>
      <c r="U16" s="67" t="s">
        <v>76</v>
      </c>
      <c r="V16" s="72">
        <v>60000000</v>
      </c>
      <c r="W16" s="73">
        <v>20</v>
      </c>
      <c r="X16" s="67" t="s">
        <v>61</v>
      </c>
      <c r="Y16" s="74">
        <v>292684</v>
      </c>
      <c r="Z16" s="74">
        <v>282326</v>
      </c>
      <c r="AA16" s="75">
        <v>135912</v>
      </c>
      <c r="AB16" s="75">
        <v>45122</v>
      </c>
      <c r="AC16" s="75">
        <v>307101</v>
      </c>
      <c r="AD16" s="75">
        <v>86875</v>
      </c>
      <c r="AE16" s="75">
        <v>2145</v>
      </c>
      <c r="AF16" s="75">
        <v>12718</v>
      </c>
      <c r="AG16" s="75">
        <v>26</v>
      </c>
      <c r="AH16" s="75">
        <v>37</v>
      </c>
      <c r="AI16" s="75">
        <v>0</v>
      </c>
      <c r="AJ16" s="75">
        <v>0</v>
      </c>
      <c r="AK16" s="75">
        <v>53164</v>
      </c>
      <c r="AL16" s="75">
        <v>16982</v>
      </c>
      <c r="AM16" s="75">
        <v>6013</v>
      </c>
      <c r="AN16" s="75">
        <f>SUM(AA16:AD16)</f>
        <v>575010</v>
      </c>
      <c r="AO16" s="76">
        <v>43101</v>
      </c>
      <c r="AP16" s="76">
        <v>43465</v>
      </c>
      <c r="AQ16" s="77" t="s">
        <v>62</v>
      </c>
      <c r="AR16" s="3"/>
      <c r="AS16" s="3"/>
    </row>
    <row r="17" spans="1:47" ht="15" x14ac:dyDescent="0.2">
      <c r="A17" s="78"/>
      <c r="B17" s="61"/>
      <c r="C17" s="79"/>
      <c r="D17" s="80">
        <v>28</v>
      </c>
      <c r="E17" s="81" t="s">
        <v>77</v>
      </c>
      <c r="F17" s="82"/>
      <c r="G17" s="82"/>
      <c r="H17" s="82"/>
      <c r="I17" s="82"/>
      <c r="J17" s="30"/>
      <c r="K17" s="31"/>
      <c r="L17" s="31"/>
      <c r="M17" s="30"/>
      <c r="N17" s="30"/>
      <c r="O17" s="32"/>
      <c r="P17" s="31"/>
      <c r="Q17" s="33"/>
      <c r="R17" s="34"/>
      <c r="S17" s="31"/>
      <c r="T17" s="31"/>
      <c r="U17" s="31"/>
      <c r="V17" s="83"/>
      <c r="W17" s="36"/>
      <c r="X17" s="31"/>
      <c r="Y17" s="32"/>
      <c r="Z17" s="32"/>
      <c r="AA17" s="32"/>
      <c r="AB17" s="32"/>
      <c r="AC17" s="32"/>
      <c r="AD17" s="32"/>
      <c r="AE17" s="32"/>
      <c r="AF17" s="32"/>
      <c r="AG17" s="32"/>
      <c r="AH17" s="32"/>
      <c r="AI17" s="32"/>
      <c r="AJ17" s="32"/>
      <c r="AK17" s="32"/>
      <c r="AL17" s="32"/>
      <c r="AM17" s="32"/>
      <c r="AN17" s="32"/>
      <c r="AO17" s="32"/>
      <c r="AP17" s="32"/>
      <c r="AQ17" s="38"/>
      <c r="AR17" s="3"/>
      <c r="AS17" s="3"/>
    </row>
    <row r="18" spans="1:47" ht="15" customHeight="1" x14ac:dyDescent="0.2">
      <c r="A18" s="78"/>
      <c r="B18" s="61"/>
      <c r="C18" s="79"/>
      <c r="D18" s="84"/>
      <c r="E18" s="28"/>
      <c r="F18" s="85"/>
      <c r="G18" s="86">
        <v>89</v>
      </c>
      <c r="H18" s="2943" t="s">
        <v>78</v>
      </c>
      <c r="I18" s="2943"/>
      <c r="J18" s="2943"/>
      <c r="K18" s="2943"/>
      <c r="L18" s="2943"/>
      <c r="M18" s="2943"/>
      <c r="N18" s="2943"/>
      <c r="O18" s="46"/>
      <c r="P18" s="45"/>
      <c r="Q18" s="47"/>
      <c r="R18" s="48"/>
      <c r="S18" s="45"/>
      <c r="T18" s="45"/>
      <c r="U18" s="45"/>
      <c r="V18" s="87"/>
      <c r="W18" s="88"/>
      <c r="X18" s="45"/>
      <c r="Y18" s="46"/>
      <c r="Z18" s="46"/>
      <c r="AA18" s="46"/>
      <c r="AB18" s="46"/>
      <c r="AC18" s="46"/>
      <c r="AD18" s="46"/>
      <c r="AE18" s="46"/>
      <c r="AF18" s="46"/>
      <c r="AG18" s="46"/>
      <c r="AH18" s="46"/>
      <c r="AI18" s="46"/>
      <c r="AJ18" s="46"/>
      <c r="AK18" s="46"/>
      <c r="AL18" s="46"/>
      <c r="AM18" s="46"/>
      <c r="AN18" s="46"/>
      <c r="AO18" s="46"/>
      <c r="AP18" s="46"/>
      <c r="AQ18" s="52"/>
      <c r="AR18" s="3"/>
      <c r="AS18" s="3"/>
    </row>
    <row r="19" spans="1:47" ht="71.25" customHeight="1" x14ac:dyDescent="0.2">
      <c r="A19" s="78"/>
      <c r="B19" s="61"/>
      <c r="C19" s="79"/>
      <c r="D19" s="56"/>
      <c r="E19" s="54"/>
      <c r="F19" s="54"/>
      <c r="G19" s="89"/>
      <c r="H19" s="90"/>
      <c r="I19" s="66"/>
      <c r="J19" s="2911">
        <v>288</v>
      </c>
      <c r="K19" s="2902" t="s">
        <v>79</v>
      </c>
      <c r="L19" s="2902" t="s">
        <v>80</v>
      </c>
      <c r="M19" s="2913">
        <v>1</v>
      </c>
      <c r="N19" s="2913" t="s">
        <v>81</v>
      </c>
      <c r="O19" s="2913" t="s">
        <v>82</v>
      </c>
      <c r="P19" s="2902" t="s">
        <v>83</v>
      </c>
      <c r="Q19" s="2904">
        <f>SUM(V19:V21)/R19</f>
        <v>1</v>
      </c>
      <c r="R19" s="2906">
        <f>SUM(V19:V21)</f>
        <v>817000000</v>
      </c>
      <c r="S19" s="2909" t="s">
        <v>84</v>
      </c>
      <c r="T19" s="2910" t="s">
        <v>85</v>
      </c>
      <c r="U19" s="91" t="s">
        <v>86</v>
      </c>
      <c r="V19" s="92">
        <f>266600600+200000000</f>
        <v>466600600</v>
      </c>
      <c r="W19" s="59" t="s">
        <v>87</v>
      </c>
      <c r="X19" s="93" t="s">
        <v>88</v>
      </c>
      <c r="Y19" s="2896">
        <v>292684</v>
      </c>
      <c r="Z19" s="2896">
        <v>282326</v>
      </c>
      <c r="AA19" s="2896">
        <v>135912</v>
      </c>
      <c r="AB19" s="2896">
        <v>45122</v>
      </c>
      <c r="AC19" s="2896">
        <v>307101</v>
      </c>
      <c r="AD19" s="2896">
        <v>86875</v>
      </c>
      <c r="AE19" s="2896">
        <v>2145</v>
      </c>
      <c r="AF19" s="2896">
        <v>12718</v>
      </c>
      <c r="AG19" s="2896">
        <v>26</v>
      </c>
      <c r="AH19" s="2896">
        <v>37</v>
      </c>
      <c r="AI19" s="2898">
        <v>0</v>
      </c>
      <c r="AJ19" s="2898">
        <v>0</v>
      </c>
      <c r="AK19" s="2896">
        <v>53164</v>
      </c>
      <c r="AL19" s="2896">
        <v>16982</v>
      </c>
      <c r="AM19" s="2896">
        <v>6013</v>
      </c>
      <c r="AN19" s="2896">
        <f>SUM(AA19:AD21)</f>
        <v>575010</v>
      </c>
      <c r="AO19" s="2915">
        <v>43101</v>
      </c>
      <c r="AP19" s="2918">
        <v>43465</v>
      </c>
      <c r="AQ19" s="2893" t="s">
        <v>62</v>
      </c>
      <c r="AR19" s="3"/>
      <c r="AS19" s="3"/>
    </row>
    <row r="20" spans="1:47" ht="60" customHeight="1" x14ac:dyDescent="0.2">
      <c r="A20" s="78"/>
      <c r="B20" s="61"/>
      <c r="C20" s="79"/>
      <c r="D20" s="56"/>
      <c r="E20" s="54"/>
      <c r="F20" s="54"/>
      <c r="G20" s="56"/>
      <c r="H20" s="54"/>
      <c r="I20" s="55"/>
      <c r="J20" s="2911"/>
      <c r="K20" s="2902"/>
      <c r="L20" s="2902"/>
      <c r="M20" s="2913"/>
      <c r="N20" s="2913"/>
      <c r="O20" s="2913"/>
      <c r="P20" s="2902"/>
      <c r="Q20" s="2905"/>
      <c r="R20" s="2907"/>
      <c r="S20" s="2902"/>
      <c r="T20" s="2910"/>
      <c r="U20" s="91" t="s">
        <v>89</v>
      </c>
      <c r="V20" s="94">
        <v>29549400</v>
      </c>
      <c r="W20" s="59">
        <v>20</v>
      </c>
      <c r="X20" s="93" t="s">
        <v>61</v>
      </c>
      <c r="Y20" s="2896"/>
      <c r="Z20" s="2896"/>
      <c r="AA20" s="2896"/>
      <c r="AB20" s="2896"/>
      <c r="AC20" s="2896"/>
      <c r="AD20" s="2896"/>
      <c r="AE20" s="2896"/>
      <c r="AF20" s="2896"/>
      <c r="AG20" s="2896"/>
      <c r="AH20" s="2896"/>
      <c r="AI20" s="2899"/>
      <c r="AJ20" s="2899"/>
      <c r="AK20" s="2896"/>
      <c r="AL20" s="2896"/>
      <c r="AM20" s="2896"/>
      <c r="AN20" s="2896"/>
      <c r="AO20" s="2916"/>
      <c r="AP20" s="2919"/>
      <c r="AQ20" s="2894"/>
      <c r="AR20" s="3"/>
      <c r="AS20" s="3"/>
    </row>
    <row r="21" spans="1:47" ht="74.25" customHeight="1" thickBot="1" x14ac:dyDescent="0.25">
      <c r="A21" s="78"/>
      <c r="B21" s="61"/>
      <c r="C21" s="79"/>
      <c r="D21" s="56"/>
      <c r="E21" s="54"/>
      <c r="F21" s="54"/>
      <c r="G21" s="56"/>
      <c r="H21" s="54"/>
      <c r="I21" s="55"/>
      <c r="J21" s="2912"/>
      <c r="K21" s="2903"/>
      <c r="L21" s="2903"/>
      <c r="M21" s="2914"/>
      <c r="N21" s="2914"/>
      <c r="O21" s="2914"/>
      <c r="P21" s="2903"/>
      <c r="Q21" s="2905"/>
      <c r="R21" s="2908"/>
      <c r="S21" s="2903"/>
      <c r="T21" s="95" t="s">
        <v>90</v>
      </c>
      <c r="U21" s="96" t="s">
        <v>91</v>
      </c>
      <c r="V21" s="97">
        <v>320850000</v>
      </c>
      <c r="W21" s="98">
        <v>20</v>
      </c>
      <c r="X21" s="99" t="s">
        <v>61</v>
      </c>
      <c r="Y21" s="2897"/>
      <c r="Z21" s="2897"/>
      <c r="AA21" s="2897"/>
      <c r="AB21" s="2897"/>
      <c r="AC21" s="2897"/>
      <c r="AD21" s="2897"/>
      <c r="AE21" s="2897"/>
      <c r="AF21" s="2897"/>
      <c r="AG21" s="2897"/>
      <c r="AH21" s="2897"/>
      <c r="AI21" s="2899"/>
      <c r="AJ21" s="2899"/>
      <c r="AK21" s="2897"/>
      <c r="AL21" s="2897"/>
      <c r="AM21" s="2897"/>
      <c r="AN21" s="2897"/>
      <c r="AO21" s="2917"/>
      <c r="AP21" s="2919"/>
      <c r="AQ21" s="2895"/>
      <c r="AR21" s="3"/>
      <c r="AS21" s="3"/>
    </row>
    <row r="22" spans="1:47" s="26" customFormat="1" ht="27" customHeight="1" thickBot="1" x14ac:dyDescent="0.25">
      <c r="A22" s="100"/>
      <c r="B22" s="101"/>
      <c r="C22" s="101"/>
      <c r="D22" s="101"/>
      <c r="E22" s="101"/>
      <c r="F22" s="101"/>
      <c r="G22" s="101"/>
      <c r="H22" s="101"/>
      <c r="I22" s="101"/>
      <c r="J22" s="101"/>
      <c r="K22" s="101"/>
      <c r="L22" s="102"/>
      <c r="M22" s="103"/>
      <c r="N22" s="103"/>
      <c r="O22" s="104"/>
      <c r="P22" s="101"/>
      <c r="Q22" s="105"/>
      <c r="R22" s="106">
        <f>SUM(R12:R21)</f>
        <v>1504000000</v>
      </c>
      <c r="S22" s="100"/>
      <c r="T22" s="101"/>
      <c r="U22" s="107"/>
      <c r="V22" s="108">
        <f>SUM(V12:V21)</f>
        <v>1504000000</v>
      </c>
      <c r="W22" s="109"/>
      <c r="X22" s="101" t="s">
        <v>92</v>
      </c>
      <c r="Y22" s="103"/>
      <c r="Z22" s="103"/>
      <c r="AA22" s="103"/>
      <c r="AB22" s="103"/>
      <c r="AC22" s="103"/>
      <c r="AD22" s="103"/>
      <c r="AE22" s="103"/>
      <c r="AF22" s="103"/>
      <c r="AG22" s="103"/>
      <c r="AH22" s="103"/>
      <c r="AI22" s="103"/>
      <c r="AJ22" s="103"/>
      <c r="AK22" s="103"/>
      <c r="AL22" s="103"/>
      <c r="AM22" s="103"/>
      <c r="AN22" s="103"/>
      <c r="AO22" s="103"/>
      <c r="AP22" s="103"/>
      <c r="AQ22" s="110"/>
      <c r="AR22" s="61"/>
      <c r="AS22" s="61"/>
    </row>
    <row r="23" spans="1:47" ht="27" customHeight="1" x14ac:dyDescent="0.2">
      <c r="A23" s="111"/>
      <c r="B23" s="111"/>
      <c r="C23" s="111"/>
      <c r="D23" s="111"/>
      <c r="E23" s="111"/>
      <c r="F23" s="111"/>
      <c r="G23" s="111"/>
      <c r="H23" s="111"/>
      <c r="I23" s="111"/>
      <c r="J23" s="111"/>
      <c r="V23" s="115"/>
      <c r="Y23" s="3"/>
      <c r="Z23" s="3"/>
      <c r="AA23" s="3"/>
      <c r="AB23" s="3"/>
      <c r="AC23" s="3"/>
      <c r="AD23" s="3"/>
      <c r="AE23" s="3"/>
      <c r="AF23" s="3"/>
      <c r="AG23" s="3"/>
      <c r="AH23" s="3"/>
      <c r="AI23" s="3"/>
      <c r="AJ23" s="3"/>
      <c r="AK23" s="3"/>
      <c r="AL23" s="3"/>
      <c r="AM23" s="3"/>
      <c r="AN23" s="3"/>
      <c r="AO23" s="3"/>
      <c r="AP23" s="3"/>
      <c r="AQ23" s="112"/>
      <c r="AR23" s="3"/>
      <c r="AS23" s="3"/>
    </row>
    <row r="24" spans="1:47" ht="27" customHeight="1" x14ac:dyDescent="0.2">
      <c r="A24" s="111"/>
      <c r="B24" s="111"/>
      <c r="C24" s="111"/>
      <c r="D24" s="111"/>
      <c r="E24" s="111"/>
      <c r="F24" s="111"/>
      <c r="G24" s="111"/>
      <c r="H24" s="111"/>
      <c r="I24" s="111"/>
      <c r="J24" s="111"/>
      <c r="V24" s="115"/>
      <c r="Y24" s="3"/>
      <c r="Z24" s="3"/>
      <c r="AA24" s="3"/>
      <c r="AB24" s="3"/>
      <c r="AC24" s="3"/>
      <c r="AD24" s="3"/>
      <c r="AE24" s="3"/>
      <c r="AF24" s="3"/>
      <c r="AG24" s="3"/>
      <c r="AH24" s="3"/>
      <c r="AI24" s="3"/>
      <c r="AJ24" s="3"/>
      <c r="AK24" s="3"/>
      <c r="AL24" s="3"/>
      <c r="AM24" s="3"/>
      <c r="AN24" s="3"/>
      <c r="AO24" s="3"/>
      <c r="AP24" s="3"/>
      <c r="AQ24" s="112"/>
      <c r="AR24" s="3"/>
      <c r="AS24" s="3"/>
    </row>
    <row r="25" spans="1:47" s="117" customFormat="1" ht="16.5" x14ac:dyDescent="0.35">
      <c r="K25" s="118"/>
      <c r="L25" s="118"/>
      <c r="N25" s="119"/>
      <c r="O25" s="120"/>
      <c r="P25" s="121"/>
      <c r="Q25" s="122"/>
      <c r="R25" s="123"/>
      <c r="S25" s="118"/>
      <c r="T25" s="118"/>
      <c r="U25" s="118"/>
      <c r="V25" s="124"/>
      <c r="W25" s="125"/>
      <c r="X25" s="126"/>
      <c r="Z25" s="119"/>
      <c r="AB25" s="119"/>
      <c r="AD25" s="119"/>
      <c r="AF25" s="119"/>
      <c r="AH25" s="119"/>
      <c r="AJ25" s="119"/>
      <c r="AK25" s="127"/>
      <c r="AL25" s="127"/>
      <c r="AM25" s="127"/>
      <c r="AN25" s="127"/>
      <c r="AO25" s="127"/>
      <c r="AP25" s="127"/>
      <c r="AQ25" s="125"/>
      <c r="AR25" s="128"/>
      <c r="AS25" s="129"/>
      <c r="AT25" s="130"/>
      <c r="AU25" s="131"/>
    </row>
    <row r="26" spans="1:47" s="117" customFormat="1" ht="15" x14ac:dyDescent="0.25">
      <c r="K26" s="118"/>
      <c r="L26" s="118"/>
      <c r="N26" s="119"/>
      <c r="O26" s="2900" t="s">
        <v>93</v>
      </c>
      <c r="P26" s="2900"/>
      <c r="Q26" s="2900"/>
      <c r="R26" s="2900"/>
      <c r="S26" s="118"/>
      <c r="T26" s="118"/>
      <c r="U26" s="118"/>
      <c r="V26" s="124"/>
      <c r="W26" s="125"/>
      <c r="X26" s="126"/>
      <c r="Z26" s="119"/>
      <c r="AB26" s="119"/>
      <c r="AD26" s="119"/>
      <c r="AF26" s="119"/>
      <c r="AH26" s="119"/>
      <c r="AJ26" s="119"/>
      <c r="AK26" s="127"/>
      <c r="AL26" s="127"/>
      <c r="AM26" s="127"/>
      <c r="AN26" s="127"/>
      <c r="AO26" s="127"/>
      <c r="AP26" s="127"/>
      <c r="AQ26" s="125"/>
      <c r="AR26" s="128"/>
      <c r="AS26" s="129"/>
      <c r="AT26" s="130"/>
      <c r="AU26" s="131"/>
    </row>
    <row r="27" spans="1:47" s="117" customFormat="1" x14ac:dyDescent="0.2">
      <c r="K27" s="118"/>
      <c r="L27" s="118"/>
      <c r="N27" s="119"/>
      <c r="O27" s="2901" t="s">
        <v>94</v>
      </c>
      <c r="P27" s="2901"/>
      <c r="Q27" s="2901"/>
      <c r="R27" s="2901"/>
      <c r="S27" s="118"/>
      <c r="T27" s="118"/>
      <c r="U27" s="118"/>
      <c r="V27" s="124"/>
      <c r="W27" s="125"/>
      <c r="X27" s="126"/>
      <c r="Z27" s="119"/>
      <c r="AB27" s="119"/>
      <c r="AD27" s="119"/>
      <c r="AF27" s="119"/>
      <c r="AH27" s="119"/>
      <c r="AJ27" s="119"/>
      <c r="AK27" s="127"/>
      <c r="AL27" s="127"/>
      <c r="AM27" s="127"/>
      <c r="AN27" s="127"/>
      <c r="AO27" s="127"/>
      <c r="AP27" s="127"/>
      <c r="AQ27" s="125"/>
      <c r="AR27" s="128"/>
      <c r="AS27" s="129"/>
      <c r="AT27" s="130"/>
      <c r="AU27" s="131"/>
    </row>
    <row r="28" spans="1:47" ht="27" customHeight="1" x14ac:dyDescent="0.2">
      <c r="A28" s="111"/>
      <c r="B28" s="111"/>
      <c r="C28" s="111"/>
      <c r="D28" s="111"/>
      <c r="E28" s="111"/>
      <c r="F28" s="111"/>
      <c r="G28" s="111"/>
      <c r="H28" s="111"/>
      <c r="I28" s="111"/>
      <c r="J28" s="111"/>
      <c r="Y28" s="133"/>
      <c r="Z28" s="133"/>
      <c r="AA28" s="133"/>
      <c r="AB28" s="133"/>
    </row>
    <row r="29" spans="1:47" ht="27" customHeight="1" x14ac:dyDescent="0.2">
      <c r="A29" s="111"/>
      <c r="B29" s="111"/>
      <c r="C29" s="111"/>
      <c r="D29" s="111"/>
      <c r="E29" s="111"/>
      <c r="F29" s="111"/>
      <c r="G29" s="111"/>
      <c r="H29" s="111"/>
      <c r="I29" s="111"/>
      <c r="J29" s="111"/>
      <c r="Y29" s="133"/>
      <c r="Z29" s="133"/>
      <c r="AA29" s="133"/>
      <c r="AB29" s="133"/>
    </row>
    <row r="30" spans="1:47" ht="27" customHeight="1" x14ac:dyDescent="0.2">
      <c r="A30" s="111"/>
      <c r="B30" s="111"/>
      <c r="C30" s="111"/>
      <c r="D30" s="111"/>
      <c r="E30" s="111"/>
      <c r="F30" s="111"/>
      <c r="G30" s="111"/>
      <c r="H30" s="111"/>
      <c r="I30" s="111"/>
      <c r="J30" s="111"/>
      <c r="Y30" s="133"/>
      <c r="Z30" s="133"/>
      <c r="AA30" s="133"/>
      <c r="AB30" s="133"/>
    </row>
    <row r="31" spans="1:47" ht="27" customHeight="1" x14ac:dyDescent="0.2">
      <c r="A31" s="111"/>
      <c r="B31" s="111"/>
      <c r="C31" s="111"/>
      <c r="D31" s="111"/>
      <c r="E31" s="111"/>
      <c r="F31" s="111"/>
      <c r="G31" s="111"/>
      <c r="H31" s="111"/>
      <c r="I31" s="111"/>
      <c r="J31" s="111"/>
      <c r="Y31" s="133"/>
      <c r="Z31" s="133"/>
      <c r="AA31" s="133"/>
      <c r="AB31" s="133"/>
    </row>
    <row r="32" spans="1:47" ht="27" customHeight="1" x14ac:dyDescent="0.2">
      <c r="A32" s="111"/>
      <c r="B32" s="111"/>
      <c r="C32" s="111"/>
      <c r="D32" s="111"/>
      <c r="E32" s="111"/>
      <c r="F32" s="111"/>
      <c r="G32" s="111"/>
      <c r="H32" s="111"/>
      <c r="I32" s="111"/>
      <c r="J32" s="111"/>
      <c r="Y32" s="133"/>
      <c r="Z32" s="133"/>
      <c r="AA32" s="133"/>
      <c r="AB32" s="133"/>
    </row>
    <row r="33" spans="1:28" ht="27" customHeight="1" x14ac:dyDescent="0.2">
      <c r="A33" s="111"/>
      <c r="B33" s="111"/>
      <c r="C33" s="111"/>
      <c r="D33" s="111"/>
      <c r="E33" s="111"/>
      <c r="F33" s="111"/>
      <c r="G33" s="111"/>
      <c r="H33" s="111"/>
      <c r="I33" s="111"/>
      <c r="J33" s="111"/>
      <c r="Y33" s="133"/>
      <c r="Z33" s="133"/>
      <c r="AA33" s="133"/>
      <c r="AB33" s="133"/>
    </row>
    <row r="34" spans="1:28" ht="27" customHeight="1" x14ac:dyDescent="0.2">
      <c r="A34" s="111"/>
      <c r="B34" s="111"/>
      <c r="C34" s="111"/>
      <c r="D34" s="111"/>
      <c r="E34" s="111"/>
      <c r="F34" s="111"/>
      <c r="G34" s="111"/>
      <c r="H34" s="111"/>
      <c r="I34" s="111"/>
      <c r="J34" s="111"/>
      <c r="Y34" s="133"/>
      <c r="Z34" s="133"/>
      <c r="AA34" s="133"/>
      <c r="AB34" s="133"/>
    </row>
    <row r="35" spans="1:28" ht="27" customHeight="1" x14ac:dyDescent="0.2">
      <c r="A35" s="111"/>
      <c r="B35" s="111"/>
      <c r="C35" s="111"/>
      <c r="D35" s="111"/>
      <c r="E35" s="111"/>
      <c r="F35" s="111"/>
      <c r="G35" s="111"/>
      <c r="H35" s="111"/>
      <c r="I35" s="111"/>
      <c r="J35" s="111"/>
      <c r="Y35" s="133"/>
      <c r="Z35" s="133"/>
      <c r="AA35" s="133"/>
      <c r="AB35" s="133"/>
    </row>
    <row r="36" spans="1:28" ht="27" customHeight="1" x14ac:dyDescent="0.2">
      <c r="A36" s="111"/>
      <c r="B36" s="111"/>
      <c r="C36" s="111"/>
      <c r="D36" s="111"/>
      <c r="E36" s="111"/>
      <c r="F36" s="111"/>
      <c r="G36" s="111"/>
      <c r="H36" s="111"/>
      <c r="I36" s="111"/>
      <c r="J36" s="111"/>
      <c r="Y36" s="133"/>
      <c r="Z36" s="133"/>
      <c r="AA36" s="133"/>
      <c r="AB36" s="133"/>
    </row>
    <row r="37" spans="1:28" ht="27" customHeight="1" x14ac:dyDescent="0.2">
      <c r="A37" s="111"/>
      <c r="B37" s="111"/>
      <c r="C37" s="111"/>
      <c r="D37" s="111"/>
      <c r="E37" s="111"/>
      <c r="F37" s="111"/>
      <c r="G37" s="111"/>
      <c r="H37" s="111"/>
      <c r="I37" s="111"/>
      <c r="J37" s="111"/>
      <c r="Y37" s="133"/>
      <c r="Z37" s="133"/>
      <c r="AA37" s="133"/>
      <c r="AB37" s="133"/>
    </row>
    <row r="38" spans="1:28" ht="27" customHeight="1" x14ac:dyDescent="0.2">
      <c r="A38" s="111"/>
      <c r="B38" s="111"/>
      <c r="C38" s="111"/>
      <c r="D38" s="111"/>
      <c r="E38" s="111"/>
      <c r="F38" s="111"/>
      <c r="G38" s="111"/>
      <c r="H38" s="111"/>
      <c r="I38" s="111"/>
      <c r="J38" s="111"/>
      <c r="Y38" s="133"/>
      <c r="Z38" s="133"/>
      <c r="AA38" s="133"/>
      <c r="AB38" s="133"/>
    </row>
    <row r="39" spans="1:28" ht="27" customHeight="1" x14ac:dyDescent="0.2">
      <c r="A39" s="111"/>
      <c r="B39" s="111"/>
      <c r="C39" s="111"/>
      <c r="D39" s="111"/>
      <c r="E39" s="111"/>
      <c r="F39" s="111"/>
      <c r="G39" s="111"/>
      <c r="H39" s="111"/>
      <c r="I39" s="111"/>
      <c r="J39" s="111"/>
      <c r="Y39" s="133"/>
      <c r="Z39" s="133"/>
      <c r="AA39" s="133"/>
      <c r="AB39" s="133"/>
    </row>
    <row r="40" spans="1:28" ht="27" customHeight="1" x14ac:dyDescent="0.2">
      <c r="A40" s="111"/>
      <c r="B40" s="111"/>
      <c r="C40" s="111"/>
      <c r="D40" s="111"/>
      <c r="E40" s="111"/>
      <c r="F40" s="111"/>
      <c r="G40" s="111"/>
      <c r="H40" s="111"/>
      <c r="I40" s="111"/>
      <c r="J40" s="111"/>
      <c r="Y40" s="133"/>
      <c r="Z40" s="133"/>
      <c r="AA40" s="133"/>
      <c r="AB40" s="133"/>
    </row>
    <row r="41" spans="1:28" ht="27" customHeight="1" x14ac:dyDescent="0.2">
      <c r="A41" s="111"/>
      <c r="B41" s="111"/>
      <c r="C41" s="111"/>
      <c r="D41" s="111"/>
      <c r="E41" s="111"/>
      <c r="F41" s="111"/>
      <c r="G41" s="111"/>
      <c r="H41" s="111"/>
      <c r="I41" s="111"/>
      <c r="J41" s="111"/>
      <c r="Y41" s="133"/>
      <c r="Z41" s="133"/>
      <c r="AA41" s="133"/>
      <c r="AB41" s="133"/>
    </row>
    <row r="42" spans="1:28" ht="27" customHeight="1" x14ac:dyDescent="0.2">
      <c r="A42" s="111"/>
      <c r="B42" s="111"/>
      <c r="C42" s="111"/>
      <c r="D42" s="111"/>
      <c r="E42" s="111"/>
      <c r="F42" s="111"/>
      <c r="G42" s="111"/>
      <c r="H42" s="111"/>
      <c r="I42" s="111"/>
      <c r="J42" s="111"/>
      <c r="Y42" s="133"/>
      <c r="Z42" s="133"/>
      <c r="AA42" s="133"/>
      <c r="AB42" s="133"/>
    </row>
    <row r="43" spans="1:28" ht="27" customHeight="1" x14ac:dyDescent="0.2">
      <c r="A43" s="111"/>
      <c r="B43" s="111"/>
      <c r="C43" s="111"/>
      <c r="D43" s="111"/>
      <c r="E43" s="111"/>
      <c r="F43" s="111"/>
      <c r="G43" s="111"/>
      <c r="H43" s="111"/>
      <c r="I43" s="111"/>
      <c r="J43" s="111"/>
      <c r="Y43" s="133"/>
      <c r="Z43" s="133"/>
      <c r="AA43" s="133"/>
      <c r="AB43" s="133"/>
    </row>
    <row r="44" spans="1:28" ht="27" customHeight="1" x14ac:dyDescent="0.2">
      <c r="A44" s="111"/>
      <c r="B44" s="111"/>
      <c r="C44" s="111"/>
      <c r="D44" s="111"/>
      <c r="E44" s="111"/>
      <c r="F44" s="111"/>
      <c r="G44" s="111"/>
      <c r="H44" s="111"/>
      <c r="I44" s="111"/>
      <c r="J44" s="111"/>
      <c r="Y44" s="133"/>
      <c r="Z44" s="133"/>
      <c r="AA44" s="133"/>
      <c r="AB44" s="133"/>
    </row>
    <row r="45" spans="1:28" ht="27" customHeight="1" x14ac:dyDescent="0.2">
      <c r="A45" s="111"/>
      <c r="B45" s="111"/>
      <c r="C45" s="111"/>
      <c r="D45" s="111"/>
      <c r="E45" s="111"/>
      <c r="F45" s="111"/>
      <c r="G45" s="111"/>
      <c r="H45" s="111"/>
      <c r="I45" s="111"/>
      <c r="J45" s="111"/>
      <c r="Y45" s="133"/>
      <c r="Z45" s="133"/>
      <c r="AA45" s="133"/>
      <c r="AB45" s="133"/>
    </row>
    <row r="46" spans="1:28" ht="27" customHeight="1" x14ac:dyDescent="0.2">
      <c r="A46" s="111"/>
      <c r="B46" s="111"/>
      <c r="C46" s="111"/>
      <c r="D46" s="111"/>
      <c r="E46" s="111"/>
      <c r="F46" s="111"/>
      <c r="G46" s="111"/>
      <c r="H46" s="111"/>
      <c r="I46" s="111"/>
      <c r="J46" s="111"/>
      <c r="Y46" s="133"/>
      <c r="Z46" s="133"/>
      <c r="AA46" s="133"/>
      <c r="AB46" s="133"/>
    </row>
    <row r="47" spans="1:28" ht="27" customHeight="1" x14ac:dyDescent="0.2">
      <c r="A47" s="111"/>
      <c r="B47" s="111"/>
      <c r="C47" s="111"/>
      <c r="D47" s="111"/>
      <c r="E47" s="111"/>
      <c r="F47" s="111"/>
      <c r="G47" s="111"/>
      <c r="H47" s="111"/>
      <c r="I47" s="111"/>
      <c r="J47" s="111"/>
      <c r="Y47" s="133"/>
      <c r="Z47" s="133"/>
      <c r="AA47" s="133"/>
      <c r="AB47" s="133"/>
    </row>
    <row r="48" spans="1:28" ht="27" customHeight="1" x14ac:dyDescent="0.2">
      <c r="A48" s="111"/>
      <c r="B48" s="111"/>
      <c r="C48" s="111"/>
      <c r="D48" s="111"/>
      <c r="E48" s="111"/>
      <c r="F48" s="111"/>
      <c r="G48" s="111"/>
      <c r="H48" s="111"/>
      <c r="I48" s="111"/>
      <c r="J48" s="111"/>
      <c r="Y48" s="133"/>
      <c r="Z48" s="133"/>
      <c r="AA48" s="133"/>
      <c r="AB48" s="133"/>
    </row>
    <row r="49" spans="1:28" ht="27" customHeight="1" x14ac:dyDescent="0.2">
      <c r="A49" s="111"/>
      <c r="B49" s="111"/>
      <c r="C49" s="111"/>
      <c r="D49" s="111"/>
      <c r="E49" s="111"/>
      <c r="F49" s="111"/>
      <c r="G49" s="111"/>
      <c r="H49" s="111"/>
      <c r="I49" s="111"/>
      <c r="J49" s="111"/>
      <c r="Y49" s="133"/>
      <c r="Z49" s="133"/>
      <c r="AA49" s="133"/>
      <c r="AB49" s="133"/>
    </row>
    <row r="50" spans="1:28" ht="27" customHeight="1" x14ac:dyDescent="0.2">
      <c r="A50" s="111"/>
      <c r="B50" s="111"/>
      <c r="C50" s="111"/>
      <c r="D50" s="111"/>
      <c r="E50" s="111"/>
      <c r="F50" s="111"/>
      <c r="G50" s="111"/>
      <c r="H50" s="111"/>
      <c r="I50" s="111"/>
      <c r="J50" s="111"/>
      <c r="Y50" s="133"/>
      <c r="Z50" s="133"/>
      <c r="AA50" s="133"/>
      <c r="AB50" s="133"/>
    </row>
    <row r="51" spans="1:28" ht="27" customHeight="1" x14ac:dyDescent="0.2">
      <c r="A51" s="111"/>
      <c r="B51" s="111"/>
      <c r="C51" s="111"/>
      <c r="D51" s="111"/>
      <c r="E51" s="111"/>
      <c r="F51" s="111"/>
      <c r="G51" s="111"/>
      <c r="H51" s="111"/>
      <c r="I51" s="111"/>
      <c r="J51" s="111"/>
      <c r="Y51" s="133"/>
      <c r="Z51" s="133"/>
      <c r="AA51" s="133"/>
      <c r="AB51" s="133"/>
    </row>
    <row r="52" spans="1:28" ht="27" customHeight="1" x14ac:dyDescent="0.2">
      <c r="A52" s="111"/>
      <c r="B52" s="111"/>
      <c r="C52" s="111"/>
      <c r="D52" s="111"/>
      <c r="E52" s="111"/>
      <c r="F52" s="111"/>
      <c r="G52" s="111"/>
      <c r="H52" s="111"/>
      <c r="I52" s="111"/>
      <c r="J52" s="111"/>
      <c r="Y52" s="133"/>
      <c r="Z52" s="133"/>
      <c r="AA52" s="133"/>
      <c r="AB52" s="133"/>
    </row>
    <row r="53" spans="1:28" ht="27" customHeight="1" x14ac:dyDescent="0.2">
      <c r="A53" s="111"/>
      <c r="B53" s="111"/>
      <c r="C53" s="111"/>
      <c r="D53" s="111"/>
      <c r="E53" s="111"/>
      <c r="F53" s="111"/>
      <c r="G53" s="111"/>
      <c r="H53" s="111"/>
      <c r="I53" s="111"/>
      <c r="J53" s="111"/>
      <c r="Y53" s="133"/>
      <c r="Z53" s="133"/>
      <c r="AA53" s="133"/>
      <c r="AB53" s="133"/>
    </row>
    <row r="54" spans="1:28" ht="27" customHeight="1" x14ac:dyDescent="0.2">
      <c r="A54" s="111"/>
      <c r="B54" s="111"/>
      <c r="C54" s="111"/>
      <c r="D54" s="111"/>
      <c r="E54" s="111"/>
      <c r="F54" s="111"/>
      <c r="G54" s="111"/>
      <c r="H54" s="111"/>
      <c r="I54" s="111"/>
      <c r="J54" s="111"/>
      <c r="Y54" s="133"/>
      <c r="Z54" s="133"/>
      <c r="AA54" s="133"/>
      <c r="AB54" s="133"/>
    </row>
    <row r="55" spans="1:28" ht="27" customHeight="1" x14ac:dyDescent="0.2">
      <c r="A55" s="111"/>
      <c r="B55" s="111"/>
      <c r="C55" s="111"/>
      <c r="D55" s="111"/>
      <c r="E55" s="111"/>
      <c r="F55" s="111"/>
      <c r="G55" s="111"/>
      <c r="H55" s="111"/>
      <c r="I55" s="111"/>
      <c r="J55" s="111"/>
      <c r="Y55" s="133"/>
      <c r="Z55" s="133"/>
      <c r="AA55" s="133"/>
      <c r="AB55" s="133"/>
    </row>
    <row r="56" spans="1:28" ht="27" customHeight="1" x14ac:dyDescent="0.2">
      <c r="A56" s="111"/>
      <c r="B56" s="111"/>
      <c r="C56" s="111"/>
      <c r="D56" s="111"/>
      <c r="E56" s="111"/>
      <c r="F56" s="111"/>
      <c r="G56" s="111"/>
      <c r="H56" s="111"/>
      <c r="I56" s="111"/>
      <c r="J56" s="111"/>
      <c r="Y56" s="133"/>
      <c r="Z56" s="133"/>
      <c r="AA56" s="133"/>
      <c r="AB56" s="133"/>
    </row>
    <row r="57" spans="1:28" ht="27" customHeight="1" x14ac:dyDescent="0.2">
      <c r="A57" s="111"/>
      <c r="B57" s="111"/>
      <c r="C57" s="111"/>
      <c r="D57" s="111"/>
      <c r="E57" s="111"/>
      <c r="F57" s="111"/>
      <c r="G57" s="111"/>
      <c r="H57" s="111"/>
      <c r="I57" s="111"/>
      <c r="J57" s="111"/>
      <c r="Y57" s="133"/>
      <c r="Z57" s="133"/>
      <c r="AA57" s="133"/>
      <c r="AB57" s="133"/>
    </row>
    <row r="58" spans="1:28" ht="27" customHeight="1" x14ac:dyDescent="0.2">
      <c r="A58" s="111"/>
      <c r="B58" s="111"/>
      <c r="C58" s="111"/>
      <c r="D58" s="111"/>
      <c r="E58" s="111"/>
      <c r="F58" s="111"/>
      <c r="G58" s="111"/>
      <c r="H58" s="111"/>
      <c r="I58" s="111"/>
      <c r="J58" s="111"/>
      <c r="Y58" s="133"/>
      <c r="Z58" s="133"/>
      <c r="AA58" s="133"/>
      <c r="AB58" s="133"/>
    </row>
    <row r="59" spans="1:28" ht="27" customHeight="1" x14ac:dyDescent="0.2">
      <c r="A59" s="111"/>
      <c r="B59" s="111"/>
      <c r="C59" s="111"/>
      <c r="D59" s="111"/>
      <c r="E59" s="111"/>
      <c r="F59" s="111"/>
      <c r="G59" s="111"/>
      <c r="H59" s="111"/>
      <c r="I59" s="111"/>
      <c r="J59" s="111"/>
      <c r="Y59" s="133"/>
      <c r="Z59" s="133"/>
      <c r="AA59" s="133"/>
      <c r="AB59" s="133"/>
    </row>
    <row r="60" spans="1:28" ht="27" customHeight="1" x14ac:dyDescent="0.2">
      <c r="A60" s="111"/>
      <c r="B60" s="111"/>
      <c r="C60" s="111"/>
      <c r="D60" s="111"/>
      <c r="E60" s="111"/>
      <c r="F60" s="111"/>
      <c r="G60" s="111"/>
      <c r="H60" s="111"/>
      <c r="I60" s="111"/>
      <c r="J60" s="111"/>
      <c r="Y60" s="133"/>
      <c r="Z60" s="133"/>
      <c r="AA60" s="133"/>
      <c r="AB60" s="133"/>
    </row>
    <row r="61" spans="1:28" ht="27" customHeight="1" x14ac:dyDescent="0.2">
      <c r="A61" s="111"/>
      <c r="B61" s="111"/>
      <c r="C61" s="111"/>
      <c r="D61" s="111"/>
      <c r="E61" s="111"/>
      <c r="F61" s="111"/>
      <c r="G61" s="111"/>
      <c r="H61" s="111"/>
      <c r="I61" s="111"/>
      <c r="J61" s="111"/>
      <c r="Y61" s="133"/>
      <c r="Z61" s="133"/>
      <c r="AA61" s="133"/>
      <c r="AB61" s="133"/>
    </row>
    <row r="62" spans="1:28" ht="27" customHeight="1" x14ac:dyDescent="0.2">
      <c r="A62" s="111"/>
      <c r="B62" s="111"/>
      <c r="C62" s="111"/>
      <c r="D62" s="111"/>
      <c r="E62" s="111"/>
      <c r="F62" s="111"/>
      <c r="G62" s="111"/>
      <c r="H62" s="111"/>
      <c r="I62" s="111"/>
      <c r="J62" s="111"/>
      <c r="Y62" s="133"/>
      <c r="Z62" s="133"/>
      <c r="AA62" s="133"/>
      <c r="AB62" s="133"/>
    </row>
    <row r="63" spans="1:28" ht="27" customHeight="1" x14ac:dyDescent="0.2">
      <c r="A63" s="111"/>
      <c r="B63" s="111"/>
      <c r="C63" s="111"/>
      <c r="D63" s="111"/>
      <c r="E63" s="111"/>
      <c r="F63" s="111"/>
      <c r="G63" s="111"/>
      <c r="H63" s="111"/>
      <c r="I63" s="111"/>
      <c r="J63" s="111"/>
      <c r="Y63" s="133"/>
      <c r="Z63" s="133"/>
      <c r="AA63" s="133"/>
      <c r="AB63" s="133"/>
    </row>
    <row r="64" spans="1:28" ht="27" customHeight="1" x14ac:dyDescent="0.2">
      <c r="A64" s="111"/>
      <c r="B64" s="111"/>
      <c r="C64" s="111"/>
      <c r="D64" s="111"/>
      <c r="E64" s="111"/>
      <c r="F64" s="111"/>
      <c r="G64" s="111"/>
      <c r="H64" s="111"/>
      <c r="I64" s="111"/>
      <c r="J64" s="111"/>
      <c r="Y64" s="133"/>
      <c r="Z64" s="133"/>
      <c r="AA64" s="133"/>
      <c r="AB64" s="133"/>
    </row>
    <row r="65" spans="1:28" ht="27" customHeight="1" x14ac:dyDescent="0.2">
      <c r="A65" s="111"/>
      <c r="B65" s="111"/>
      <c r="C65" s="111"/>
      <c r="D65" s="111"/>
      <c r="E65" s="111"/>
      <c r="F65" s="111"/>
      <c r="G65" s="111"/>
      <c r="H65" s="111"/>
      <c r="I65" s="111"/>
      <c r="J65" s="111"/>
      <c r="Y65" s="133"/>
      <c r="Z65" s="133"/>
      <c r="AA65" s="133"/>
      <c r="AB65" s="133"/>
    </row>
    <row r="66" spans="1:28" ht="27" customHeight="1" x14ac:dyDescent="0.2">
      <c r="A66" s="111"/>
      <c r="B66" s="111"/>
      <c r="C66" s="111"/>
      <c r="D66" s="111"/>
      <c r="E66" s="111"/>
      <c r="F66" s="111"/>
      <c r="G66" s="111"/>
      <c r="H66" s="111"/>
      <c r="I66" s="111"/>
      <c r="J66" s="111"/>
      <c r="Y66" s="133"/>
      <c r="Z66" s="133"/>
      <c r="AA66" s="133"/>
      <c r="AB66" s="133"/>
    </row>
    <row r="67" spans="1:28" ht="27" customHeight="1" x14ac:dyDescent="0.2">
      <c r="A67" s="111"/>
      <c r="B67" s="111"/>
      <c r="C67" s="111"/>
      <c r="D67" s="111"/>
      <c r="E67" s="111"/>
      <c r="F67" s="111"/>
      <c r="G67" s="111"/>
      <c r="H67" s="111"/>
      <c r="I67" s="111"/>
      <c r="J67" s="111"/>
      <c r="Y67" s="133"/>
      <c r="Z67" s="133"/>
      <c r="AA67" s="133"/>
      <c r="AB67" s="133"/>
    </row>
    <row r="68" spans="1:28" ht="27" customHeight="1" x14ac:dyDescent="0.2">
      <c r="A68" s="111"/>
      <c r="B68" s="111"/>
      <c r="C68" s="111"/>
      <c r="D68" s="111"/>
      <c r="E68" s="111"/>
      <c r="F68" s="111"/>
      <c r="G68" s="111"/>
      <c r="H68" s="111"/>
      <c r="I68" s="111"/>
      <c r="J68" s="111"/>
      <c r="Y68" s="133"/>
      <c r="Z68" s="133"/>
      <c r="AA68" s="133"/>
      <c r="AB68" s="133"/>
    </row>
    <row r="69" spans="1:28" ht="27" customHeight="1" x14ac:dyDescent="0.2">
      <c r="A69" s="111"/>
      <c r="B69" s="111"/>
      <c r="C69" s="111"/>
      <c r="D69" s="111"/>
      <c r="E69" s="111"/>
      <c r="F69" s="111"/>
      <c r="G69" s="111"/>
      <c r="H69" s="111"/>
      <c r="I69" s="111"/>
      <c r="J69" s="111"/>
      <c r="Y69" s="133"/>
      <c r="Z69" s="133"/>
      <c r="AA69" s="133"/>
      <c r="AB69" s="133"/>
    </row>
    <row r="70" spans="1:28" ht="27" customHeight="1" x14ac:dyDescent="0.2">
      <c r="A70" s="111"/>
      <c r="B70" s="111"/>
      <c r="C70" s="111"/>
      <c r="D70" s="111"/>
      <c r="E70" s="111"/>
      <c r="F70" s="111"/>
      <c r="G70" s="111"/>
      <c r="H70" s="111"/>
      <c r="I70" s="111"/>
      <c r="J70" s="111"/>
      <c r="Y70" s="133"/>
      <c r="Z70" s="133"/>
      <c r="AA70" s="133"/>
      <c r="AB70" s="133"/>
    </row>
    <row r="71" spans="1:28" ht="27" customHeight="1" x14ac:dyDescent="0.2">
      <c r="A71" s="111"/>
      <c r="B71" s="111"/>
      <c r="C71" s="111"/>
      <c r="D71" s="111"/>
      <c r="E71" s="111"/>
      <c r="F71" s="111"/>
      <c r="G71" s="111"/>
      <c r="H71" s="111"/>
      <c r="I71" s="111"/>
      <c r="J71" s="111"/>
      <c r="Y71" s="133"/>
      <c r="Z71" s="133"/>
      <c r="AA71" s="133"/>
      <c r="AB71" s="133"/>
    </row>
    <row r="72" spans="1:28" ht="27" customHeight="1" x14ac:dyDescent="0.2">
      <c r="A72" s="111"/>
      <c r="B72" s="111"/>
      <c r="C72" s="111"/>
      <c r="D72" s="111"/>
      <c r="E72" s="111"/>
      <c r="F72" s="111"/>
      <c r="G72" s="111"/>
      <c r="H72" s="111"/>
      <c r="I72" s="111"/>
      <c r="J72" s="111"/>
      <c r="Y72" s="133"/>
      <c r="Z72" s="133"/>
      <c r="AA72" s="133"/>
      <c r="AB72" s="133"/>
    </row>
    <row r="73" spans="1:28" ht="27" customHeight="1" x14ac:dyDescent="0.2">
      <c r="A73" s="111"/>
      <c r="B73" s="111"/>
      <c r="C73" s="111"/>
      <c r="D73" s="111"/>
      <c r="E73" s="111"/>
      <c r="F73" s="111"/>
      <c r="G73" s="111"/>
      <c r="H73" s="111"/>
      <c r="I73" s="111"/>
      <c r="J73" s="111"/>
      <c r="Y73" s="133"/>
      <c r="Z73" s="133"/>
      <c r="AA73" s="133"/>
      <c r="AB73" s="133"/>
    </row>
    <row r="74" spans="1:28" ht="27" customHeight="1" x14ac:dyDescent="0.2">
      <c r="A74" s="111"/>
      <c r="B74" s="111"/>
      <c r="C74" s="111"/>
      <c r="D74" s="111"/>
      <c r="E74" s="111"/>
      <c r="F74" s="111"/>
      <c r="G74" s="111"/>
      <c r="H74" s="111"/>
      <c r="I74" s="111"/>
      <c r="J74" s="111"/>
      <c r="Y74" s="133"/>
      <c r="Z74" s="133"/>
      <c r="AA74" s="133"/>
      <c r="AB74" s="133"/>
    </row>
    <row r="75" spans="1:28" ht="27" customHeight="1" x14ac:dyDescent="0.2">
      <c r="A75" s="111"/>
      <c r="B75" s="111"/>
      <c r="C75" s="111"/>
      <c r="D75" s="111"/>
      <c r="E75" s="111"/>
      <c r="F75" s="111"/>
      <c r="G75" s="111"/>
      <c r="H75" s="111"/>
      <c r="I75" s="111"/>
      <c r="J75" s="111"/>
      <c r="Y75" s="133"/>
      <c r="Z75" s="133"/>
      <c r="AA75" s="133"/>
      <c r="AB75" s="133"/>
    </row>
    <row r="76" spans="1:28" ht="27" customHeight="1" x14ac:dyDescent="0.2">
      <c r="A76" s="111"/>
      <c r="B76" s="111"/>
      <c r="C76" s="111"/>
      <c r="D76" s="111"/>
      <c r="E76" s="111"/>
      <c r="F76" s="111"/>
      <c r="G76" s="111"/>
      <c r="H76" s="111"/>
      <c r="I76" s="111"/>
      <c r="J76" s="111"/>
      <c r="Y76" s="133"/>
      <c r="Z76" s="133"/>
      <c r="AA76" s="133"/>
      <c r="AB76" s="133"/>
    </row>
    <row r="77" spans="1:28" ht="27" customHeight="1" x14ac:dyDescent="0.2">
      <c r="A77" s="111"/>
      <c r="B77" s="111"/>
      <c r="C77" s="111"/>
      <c r="D77" s="111"/>
      <c r="E77" s="111"/>
      <c r="F77" s="111"/>
      <c r="G77" s="111"/>
      <c r="H77" s="111"/>
      <c r="I77" s="111"/>
      <c r="J77" s="111"/>
      <c r="Y77" s="133"/>
      <c r="Z77" s="133"/>
      <c r="AA77" s="133"/>
      <c r="AB77" s="133"/>
    </row>
    <row r="78" spans="1:28" ht="27" customHeight="1" x14ac:dyDescent="0.2">
      <c r="A78" s="111"/>
      <c r="B78" s="111"/>
      <c r="C78" s="111"/>
      <c r="D78" s="111"/>
      <c r="E78" s="111"/>
      <c r="F78" s="111"/>
      <c r="G78" s="111"/>
      <c r="H78" s="111"/>
      <c r="I78" s="111"/>
      <c r="J78" s="111"/>
      <c r="Y78" s="133"/>
      <c r="Z78" s="133"/>
      <c r="AA78" s="133"/>
      <c r="AB78" s="133"/>
    </row>
    <row r="79" spans="1:28" ht="27" customHeight="1" x14ac:dyDescent="0.2">
      <c r="A79" s="111"/>
      <c r="B79" s="111"/>
      <c r="C79" s="111"/>
      <c r="D79" s="111"/>
      <c r="E79" s="111"/>
      <c r="F79" s="111"/>
      <c r="G79" s="111"/>
      <c r="H79" s="111"/>
      <c r="I79" s="111"/>
      <c r="J79" s="111"/>
      <c r="Y79" s="133"/>
      <c r="Z79" s="133"/>
      <c r="AA79" s="133"/>
      <c r="AB79" s="133"/>
    </row>
    <row r="80" spans="1:28" ht="27" customHeight="1" x14ac:dyDescent="0.2">
      <c r="A80" s="111"/>
      <c r="B80" s="111"/>
      <c r="C80" s="111"/>
      <c r="D80" s="111"/>
      <c r="E80" s="111"/>
      <c r="F80" s="111"/>
      <c r="G80" s="111"/>
      <c r="H80" s="111"/>
      <c r="I80" s="111"/>
      <c r="J80" s="111"/>
    </row>
    <row r="81" spans="12:23" s="111" customFormat="1" ht="27" customHeight="1" x14ac:dyDescent="0.2">
      <c r="L81" s="112"/>
      <c r="M81" s="3"/>
      <c r="N81" s="3"/>
      <c r="O81" s="13"/>
      <c r="Q81" s="113"/>
      <c r="R81" s="114"/>
      <c r="V81" s="132"/>
      <c r="W81" s="116"/>
    </row>
    <row r="82" spans="12:23" s="111" customFormat="1" ht="27" customHeight="1" x14ac:dyDescent="0.2">
      <c r="L82" s="112"/>
      <c r="M82" s="3"/>
      <c r="N82" s="3"/>
      <c r="O82" s="13"/>
      <c r="Q82" s="113"/>
      <c r="R82" s="114"/>
      <c r="V82" s="132"/>
      <c r="W82" s="116"/>
    </row>
    <row r="83" spans="12:23" s="111" customFormat="1" ht="27" customHeight="1" x14ac:dyDescent="0.2">
      <c r="L83" s="112"/>
      <c r="M83" s="3"/>
      <c r="N83" s="3"/>
      <c r="O83" s="13"/>
      <c r="Q83" s="113"/>
      <c r="R83" s="114"/>
      <c r="V83" s="132"/>
      <c r="W83" s="116"/>
    </row>
    <row r="84" spans="12:23" s="111" customFormat="1" ht="27" customHeight="1" x14ac:dyDescent="0.2">
      <c r="L84" s="112"/>
      <c r="M84" s="3"/>
      <c r="N84" s="3"/>
      <c r="O84" s="13"/>
      <c r="Q84" s="113"/>
      <c r="R84" s="114"/>
      <c r="V84" s="132"/>
      <c r="W84" s="116"/>
    </row>
    <row r="85" spans="12:23" s="111" customFormat="1" ht="27" customHeight="1" x14ac:dyDescent="0.2">
      <c r="L85" s="112"/>
      <c r="M85" s="3"/>
      <c r="N85" s="3"/>
      <c r="O85" s="13"/>
      <c r="Q85" s="113"/>
      <c r="R85" s="114"/>
      <c r="V85" s="132"/>
      <c r="W85" s="116"/>
    </row>
    <row r="86" spans="12:23" s="111" customFormat="1" ht="27" customHeight="1" x14ac:dyDescent="0.2">
      <c r="L86" s="112"/>
      <c r="M86" s="3"/>
      <c r="N86" s="3"/>
      <c r="O86" s="13"/>
      <c r="Q86" s="113"/>
      <c r="R86" s="114"/>
      <c r="V86" s="132"/>
      <c r="W86" s="116"/>
    </row>
    <row r="87" spans="12:23" s="111" customFormat="1" ht="27" customHeight="1" x14ac:dyDescent="0.2">
      <c r="L87" s="112"/>
      <c r="M87" s="3"/>
      <c r="N87" s="3"/>
      <c r="O87" s="13"/>
      <c r="Q87" s="113"/>
      <c r="R87" s="114"/>
      <c r="V87" s="132"/>
      <c r="W87" s="116"/>
    </row>
  </sheetData>
  <sheetProtection password="CBEB" sheet="1" objects="1" scenarios="1"/>
  <mergeCells count="101">
    <mergeCell ref="A7:A8"/>
    <mergeCell ref="B7:C8"/>
    <mergeCell ref="D7:D8"/>
    <mergeCell ref="E7:F8"/>
    <mergeCell ref="G7:G8"/>
    <mergeCell ref="A1:AO4"/>
    <mergeCell ref="A5:M6"/>
    <mergeCell ref="N5:AQ5"/>
    <mergeCell ref="N6:X6"/>
    <mergeCell ref="Y6:AN6"/>
    <mergeCell ref="H7:I8"/>
    <mergeCell ref="J7:J8"/>
    <mergeCell ref="K7:K8"/>
    <mergeCell ref="L7:L8"/>
    <mergeCell ref="M7:M8"/>
    <mergeCell ref="W7:W8"/>
    <mergeCell ref="X7:X8"/>
    <mergeCell ref="Y7:Z7"/>
    <mergeCell ref="AA7:AD7"/>
    <mergeCell ref="O7:O8"/>
    <mergeCell ref="P7:P8"/>
    <mergeCell ref="Q7:Q8"/>
    <mergeCell ref="R7:R8"/>
    <mergeCell ref="S7:S8"/>
    <mergeCell ref="T7:T8"/>
    <mergeCell ref="L12:L15"/>
    <mergeCell ref="M12:M15"/>
    <mergeCell ref="N12:N15"/>
    <mergeCell ref="U7:U8"/>
    <mergeCell ref="V7:V8"/>
    <mergeCell ref="N7:N8"/>
    <mergeCell ref="AE7:AJ7"/>
    <mergeCell ref="AK7:AM7"/>
    <mergeCell ref="J12:J15"/>
    <mergeCell ref="K12:K15"/>
    <mergeCell ref="AO7:AO8"/>
    <mergeCell ref="AP7:AP8"/>
    <mergeCell ref="AQ7:AQ8"/>
    <mergeCell ref="AN7:AN8"/>
    <mergeCell ref="H18:N18"/>
    <mergeCell ref="AK12:AK15"/>
    <mergeCell ref="AL12:AL15"/>
    <mergeCell ref="AM12:AM15"/>
    <mergeCell ref="AN12:AN15"/>
    <mergeCell ref="AE12:AE15"/>
    <mergeCell ref="AF12:AF15"/>
    <mergeCell ref="AG12:AG15"/>
    <mergeCell ref="AH12:AH15"/>
    <mergeCell ref="AI12:AI15"/>
    <mergeCell ref="AJ12:AJ15"/>
    <mergeCell ref="Y12:Y15"/>
    <mergeCell ref="Z12:Z15"/>
    <mergeCell ref="AA12:AA15"/>
    <mergeCell ref="AB12:AB15"/>
    <mergeCell ref="AC12:AC15"/>
    <mergeCell ref="AQ12:AQ15"/>
    <mergeCell ref="T14:T15"/>
    <mergeCell ref="AO12:AO15"/>
    <mergeCell ref="AP12:AP15"/>
    <mergeCell ref="AD12:AD15"/>
    <mergeCell ref="O12:O15"/>
    <mergeCell ref="P12:P15"/>
    <mergeCell ref="Q12:Q15"/>
    <mergeCell ref="R12:R15"/>
    <mergeCell ref="S12:S15"/>
    <mergeCell ref="T12:T13"/>
    <mergeCell ref="J19:J21"/>
    <mergeCell ref="K19:K21"/>
    <mergeCell ref="L19:L21"/>
    <mergeCell ref="M19:M21"/>
    <mergeCell ref="N19:N21"/>
    <mergeCell ref="O19:O21"/>
    <mergeCell ref="AO19:AO21"/>
    <mergeCell ref="AP19:AP21"/>
    <mergeCell ref="A16:C16"/>
    <mergeCell ref="D16:F16"/>
    <mergeCell ref="G16:I16"/>
    <mergeCell ref="AQ19:AQ21"/>
    <mergeCell ref="AF19:AF21"/>
    <mergeCell ref="AG19:AG21"/>
    <mergeCell ref="AH19:AH21"/>
    <mergeCell ref="AI19:AI21"/>
    <mergeCell ref="AJ19:AJ21"/>
    <mergeCell ref="AK19:AK21"/>
    <mergeCell ref="O26:R26"/>
    <mergeCell ref="O27:R27"/>
    <mergeCell ref="AL19:AL21"/>
    <mergeCell ref="AM19:AM21"/>
    <mergeCell ref="AN19:AN21"/>
    <mergeCell ref="Z19:Z21"/>
    <mergeCell ref="AA19:AA21"/>
    <mergeCell ref="AB19:AB21"/>
    <mergeCell ref="AC19:AC21"/>
    <mergeCell ref="AD19:AD21"/>
    <mergeCell ref="AE19:AE21"/>
    <mergeCell ref="P19:P21"/>
    <mergeCell ref="Q19:Q21"/>
    <mergeCell ref="R19:R21"/>
    <mergeCell ref="S19:S21"/>
    <mergeCell ref="T19:T20"/>
    <mergeCell ref="Y19:Y2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PA ADMINISTRATIVA</vt:lpstr>
      <vt:lpstr>PA PLANEACION</vt:lpstr>
      <vt:lpstr>PA HACIENDA</vt:lpstr>
      <vt:lpstr>PA INFRAESTRUCTURA</vt:lpstr>
      <vt:lpstr>PA INTERIOR</vt:lpstr>
      <vt:lpstr>PA CULTURA</vt:lpstr>
      <vt:lpstr>PA TURISMO</vt:lpstr>
      <vt:lpstr>PA AGRICULTURA</vt:lpstr>
      <vt:lpstr>PA PRIVADA </vt:lpstr>
      <vt:lpstr>PA EDUCACION</vt:lpstr>
      <vt:lpstr>PA FAMILIA</vt:lpstr>
      <vt:lpstr>PA REP JUDICIAL</vt:lpstr>
      <vt:lpstr>PA SALUD</vt:lpstr>
      <vt:lpstr>PA INDEPORTES</vt:lpstr>
      <vt:lpstr>PA IDTQ</vt:lpstr>
      <vt:lpstr>PA PROMOTORA</vt:lpstr>
      <vt:lpstr>'PA PLANEACION'!Área_de_impresión</vt:lpstr>
      <vt:lpstr>'PA PLANEACION'!Títulos_a_imprimir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2018-04-18T12:31:22Z</dcterms:created>
  <dcterms:modified xsi:type="dcterms:W3CDTF">2018-06-01T19:59:47Z</dcterms:modified>
</cp:coreProperties>
</file>